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tables/table4.xml" ContentType="application/vnd.openxmlformats-officedocument.spreadsheetml.table+xml"/>
  <Override PartName="/xl/queryTables/queryTable2.xml" ContentType="application/vnd.openxmlformats-officedocument.spreadsheetml.queryTable+xml"/>
  <Override PartName="/xl/tables/table5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\\corporativo\SGT\REAJUSTE\Permissionárias de Distribuição\2022\04- ABRIL\2-Cerci - Michelle\Estrutura\"/>
    </mc:Choice>
  </mc:AlternateContent>
  <xr:revisionPtr revIDLastSave="0" documentId="13_ncr:1_{4BAB74FB-E299-4EFB-A9FA-2FC27EB20503}" xr6:coauthVersionLast="47" xr6:coauthVersionMax="47" xr10:uidLastSave="{00000000-0000-0000-0000-000000000000}"/>
  <bookViews>
    <workbookView xWindow="-120" yWindow="-120" windowWidth="20730" windowHeight="11160" firstSheet="22" activeTab="29" xr2:uid="{479CB9B9-6E0D-44B8-ADC7-D5C04015F8DB}"/>
  </bookViews>
  <sheets>
    <sheet name="Mercado_Receita" sheetId="1" r:id="rId1"/>
    <sheet name="EVENTOS" sheetId="2" r:id="rId2"/>
    <sheet name="TAR FIN" sheetId="15" r:id="rId3"/>
    <sheet name="MERCADO TUSD" sheetId="3" r:id="rId4"/>
    <sheet name="MERCADO TE" sheetId="4" r:id="rId5"/>
    <sheet name="CUSTOS" sheetId="5" r:id="rId6"/>
    <sheet name="TRANSICAO" sheetId="14" r:id="rId7"/>
    <sheet name="TR TUSD" sheetId="6" r:id="rId8"/>
    <sheet name="TUSD BE" sheetId="7" r:id="rId9"/>
    <sheet name="TUSD BF" sheetId="8" r:id="rId10"/>
    <sheet name="TUSD CVA" sheetId="9" r:id="rId11"/>
    <sheet name="TR TE" sheetId="10" r:id="rId12"/>
    <sheet name="TE BE" sheetId="11" r:id="rId13"/>
    <sheet name="TE BF" sheetId="12" r:id="rId14"/>
    <sheet name="TE CVA" sheetId="13" r:id="rId15"/>
    <sheet name="EFEITO" sheetId="16" r:id="rId16"/>
    <sheet name="SUBSIDIO" sheetId="17" r:id="rId17"/>
    <sheet name="TabDinEfeito" sheetId="18" r:id="rId18"/>
    <sheet name="TabDinSubsidio" sheetId="19" r:id="rId19"/>
    <sheet name="TABELAS REH" sheetId="34" r:id="rId20"/>
    <sheet name="CONSISTENCIA" sheetId="27" r:id="rId21"/>
    <sheet name="TUSD" sheetId="29" r:id="rId22"/>
    <sheet name="TE" sheetId="30" r:id="rId23"/>
    <sheet name="RESUMO TUSD" sheetId="31" r:id="rId24"/>
    <sheet name="RESUMO TE" sheetId="32" r:id="rId25"/>
    <sheet name="Descontos" sheetId="20" r:id="rId26"/>
    <sheet name="ERD" sheetId="33" r:id="rId27"/>
    <sheet name="TA - Aplicação" sheetId="35" r:id="rId28"/>
    <sheet name="TA - BE" sheetId="36" r:id="rId29"/>
    <sheet name="TA - CVA" sheetId="37" r:id="rId30"/>
  </sheets>
  <definedNames>
    <definedName name="DadosExternos_1" localSheetId="27" hidden="1">'TA - Aplicação'!$B$3:$AQ$50</definedName>
    <definedName name="DadosExternos_1" localSheetId="28" hidden="1">'TA - BE'!$B$3:$AQ$50</definedName>
    <definedName name="DadosExternos_1" localSheetId="29" hidden="1">'TA - CVA'!$B$3:$AQ$50</definedName>
  </definedNames>
  <calcPr calcId="191029" iterate="1"/>
  <pivotCaches>
    <pivotCache cacheId="0" r:id="rId31"/>
    <pivotCache cacheId="1" r:id="rId3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33" i="34" l="1"/>
  <c r="V32" i="34"/>
  <c r="V31" i="34"/>
  <c r="V30" i="34"/>
  <c r="V29" i="34"/>
  <c r="V28" i="34"/>
  <c r="V27" i="34"/>
  <c r="V26" i="34"/>
  <c r="V21" i="34"/>
  <c r="V16" i="34"/>
  <c r="V25" i="34"/>
  <c r="V20" i="34"/>
  <c r="V15" i="34"/>
  <c r="V24" i="34"/>
  <c r="V23" i="34"/>
  <c r="V22" i="34"/>
  <c r="V19" i="34"/>
  <c r="V18" i="34"/>
  <c r="V17" i="34"/>
  <c r="V14" i="34"/>
  <c r="V13" i="34"/>
  <c r="V12" i="34"/>
  <c r="V11" i="34"/>
  <c r="V9" i="34"/>
  <c r="V10" i="34"/>
  <c r="V8" i="34"/>
  <c r="V7" i="34"/>
  <c r="V6" i="34"/>
  <c r="V5" i="34"/>
  <c r="J11" i="34"/>
  <c r="J10" i="34"/>
  <c r="J6" i="34"/>
  <c r="J5" i="34"/>
  <c r="I3" i="33"/>
  <c r="B2" i="33"/>
  <c r="C2" i="33"/>
  <c r="D2" i="33"/>
  <c r="E2" i="33"/>
  <c r="F2" i="33"/>
  <c r="G2" i="33"/>
  <c r="H2" i="33"/>
  <c r="I2" i="33"/>
  <c r="J2" i="33"/>
  <c r="K2" i="33"/>
  <c r="L2" i="33"/>
  <c r="B11" i="33"/>
  <c r="K5" i="32" l="1"/>
  <c r="J5" i="32"/>
  <c r="I5" i="32"/>
  <c r="H5" i="32"/>
  <c r="G5" i="32"/>
  <c r="F5" i="32"/>
  <c r="E5" i="32"/>
  <c r="D5" i="32"/>
  <c r="C5" i="32"/>
  <c r="B5" i="32"/>
  <c r="I2" i="32"/>
  <c r="W5" i="31"/>
  <c r="V5" i="31"/>
  <c r="U5" i="31"/>
  <c r="T5" i="31"/>
  <c r="S5" i="31"/>
  <c r="R5" i="31"/>
  <c r="Q5" i="31"/>
  <c r="P5" i="31"/>
  <c r="O5" i="31"/>
  <c r="N5" i="31"/>
  <c r="M5" i="31"/>
  <c r="L5" i="31"/>
  <c r="K5" i="31"/>
  <c r="J5" i="31"/>
  <c r="I5" i="31"/>
  <c r="H5" i="31"/>
  <c r="G5" i="31"/>
  <c r="F5" i="31"/>
  <c r="E5" i="31"/>
  <c r="D5" i="31"/>
  <c r="C5" i="31"/>
  <c r="B5" i="31"/>
  <c r="I2" i="31"/>
  <c r="AE13" i="27"/>
  <c r="AD13" i="27"/>
  <c r="AC13" i="27"/>
  <c r="AB13" i="27"/>
  <c r="AA13" i="27"/>
  <c r="W13" i="27"/>
  <c r="V13" i="27"/>
  <c r="U13" i="27"/>
  <c r="AI13" i="27" s="1"/>
  <c r="T13" i="27"/>
  <c r="S13" i="27"/>
  <c r="Y13" i="27" s="1"/>
  <c r="AG13" i="27" s="1"/>
  <c r="R13" i="27"/>
  <c r="X13" i="27" s="1"/>
  <c r="AF13" i="27" s="1"/>
  <c r="AE12" i="27"/>
  <c r="AD12" i="27"/>
  <c r="AE8" i="27"/>
  <c r="AD8" i="27"/>
  <c r="AC8" i="27"/>
  <c r="AB8" i="27"/>
  <c r="AA8" i="27"/>
  <c r="W8" i="27"/>
  <c r="V8" i="27"/>
  <c r="U8" i="27"/>
  <c r="AI8" i="27" s="1"/>
  <c r="T8" i="27"/>
  <c r="S8" i="27"/>
  <c r="Y8" i="27" s="1"/>
  <c r="AG8" i="27" s="1"/>
  <c r="R8" i="27"/>
  <c r="X8" i="27" s="1"/>
  <c r="AF8" i="27" s="1"/>
  <c r="AE7" i="27"/>
  <c r="AD7" i="27"/>
  <c r="AE6" i="27"/>
  <c r="AD6" i="27"/>
  <c r="AC6" i="27"/>
  <c r="AB6" i="27"/>
  <c r="AA6" i="27"/>
  <c r="W6" i="27"/>
  <c r="V6" i="27"/>
  <c r="U6" i="27"/>
  <c r="AI6" i="27" s="1"/>
  <c r="T6" i="27"/>
  <c r="S6" i="27"/>
  <c r="Y6" i="27" s="1"/>
  <c r="AG6" i="27" s="1"/>
  <c r="R6" i="27"/>
  <c r="X6" i="27" s="1"/>
  <c r="AF6" i="27" s="1"/>
  <c r="AE5" i="27"/>
  <c r="AD5" i="27"/>
  <c r="AC5" i="27"/>
  <c r="AB5" i="27"/>
  <c r="AA5" i="27"/>
  <c r="W5" i="27"/>
  <c r="V5" i="27"/>
  <c r="U5" i="27"/>
  <c r="AI5" i="27" s="1"/>
  <c r="T5" i="27"/>
  <c r="S5" i="27"/>
  <c r="Y5" i="27" s="1"/>
  <c r="AG5" i="27" s="1"/>
  <c r="R5" i="27"/>
  <c r="X5" i="27" s="1"/>
  <c r="AF5" i="27" s="1"/>
  <c r="AE4" i="27"/>
  <c r="AD4" i="27"/>
  <c r="AC4" i="27"/>
  <c r="AB4" i="27"/>
  <c r="AA4" i="27"/>
  <c r="W4" i="27"/>
  <c r="AJ4" i="27" s="1"/>
  <c r="V4" i="27"/>
  <c r="U4" i="27"/>
  <c r="AI4" i="27" s="1"/>
  <c r="T4" i="27"/>
  <c r="S4" i="27"/>
  <c r="Y4" i="27" s="1"/>
  <c r="R4" i="27"/>
  <c r="X4" i="27" s="1"/>
  <c r="AF4" i="27" s="1"/>
  <c r="AE3" i="27"/>
  <c r="AD3" i="27"/>
  <c r="AC3" i="27"/>
  <c r="AB3" i="27"/>
  <c r="AA3" i="27"/>
  <c r="W3" i="27"/>
  <c r="V3" i="27"/>
  <c r="U3" i="27"/>
  <c r="AI3" i="27" s="1"/>
  <c r="T3" i="27"/>
  <c r="S3" i="27"/>
  <c r="Y3" i="27" s="1"/>
  <c r="AG3" i="27" s="1"/>
  <c r="R3" i="27"/>
  <c r="X3" i="27" s="1"/>
  <c r="J456" i="27"/>
  <c r="M456" i="27" s="1"/>
  <c r="J455" i="27"/>
  <c r="J454" i="27"/>
  <c r="M454" i="27" s="1"/>
  <c r="J453" i="27"/>
  <c r="M453" i="27" s="1"/>
  <c r="J452" i="27"/>
  <c r="M452" i="27" s="1"/>
  <c r="J451" i="27"/>
  <c r="J450" i="27"/>
  <c r="M450" i="27" s="1"/>
  <c r="J449" i="27"/>
  <c r="M449" i="27" s="1"/>
  <c r="J448" i="27"/>
  <c r="M448" i="27" s="1"/>
  <c r="J447" i="27"/>
  <c r="J446" i="27"/>
  <c r="M446" i="27" s="1"/>
  <c r="J445" i="27"/>
  <c r="M445" i="27" s="1"/>
  <c r="M469" i="27"/>
  <c r="J469" i="27"/>
  <c r="J468" i="27"/>
  <c r="M468" i="27" s="1"/>
  <c r="M467" i="27"/>
  <c r="J467" i="27"/>
  <c r="J466" i="27"/>
  <c r="M466" i="27" s="1"/>
  <c r="M465" i="27"/>
  <c r="J465" i="27"/>
  <c r="J464" i="27"/>
  <c r="M464" i="27" s="1"/>
  <c r="M463" i="27"/>
  <c r="J463" i="27"/>
  <c r="M462" i="27"/>
  <c r="J462" i="27"/>
  <c r="J461" i="27"/>
  <c r="M461" i="27" s="1"/>
  <c r="M460" i="27"/>
  <c r="J460" i="27"/>
  <c r="J459" i="27"/>
  <c r="M459" i="27" s="1"/>
  <c r="M458" i="27"/>
  <c r="J458" i="27"/>
  <c r="J457" i="27"/>
  <c r="M455" i="27"/>
  <c r="M451" i="27"/>
  <c r="M447" i="27"/>
  <c r="J444" i="27"/>
  <c r="M444" i="27" s="1"/>
  <c r="J443" i="27"/>
  <c r="M443" i="27" s="1"/>
  <c r="M442" i="27"/>
  <c r="J442" i="27"/>
  <c r="J441" i="27"/>
  <c r="M441" i="27" s="1"/>
  <c r="M440" i="27"/>
  <c r="J440" i="27"/>
  <c r="J439" i="27"/>
  <c r="M439" i="27" s="1"/>
  <c r="M438" i="27"/>
  <c r="J438" i="27"/>
  <c r="J437" i="27"/>
  <c r="M437" i="27" s="1"/>
  <c r="J436" i="27"/>
  <c r="M436" i="27" s="1"/>
  <c r="J435" i="27"/>
  <c r="M435" i="27" s="1"/>
  <c r="M434" i="27"/>
  <c r="J434" i="27"/>
  <c r="J433" i="27"/>
  <c r="M433" i="27" s="1"/>
  <c r="M432" i="27"/>
  <c r="J432" i="27"/>
  <c r="J431" i="27"/>
  <c r="M431" i="27" s="1"/>
  <c r="M430" i="27"/>
  <c r="J430" i="27"/>
  <c r="J429" i="27"/>
  <c r="M429" i="27" s="1"/>
  <c r="J428" i="27"/>
  <c r="M428" i="27" s="1"/>
  <c r="J427" i="27"/>
  <c r="M427" i="27" s="1"/>
  <c r="M426" i="27"/>
  <c r="J426" i="27"/>
  <c r="J425" i="27"/>
  <c r="M425" i="27" s="1"/>
  <c r="M424" i="27"/>
  <c r="J424" i="27"/>
  <c r="J423" i="27"/>
  <c r="M423" i="27" s="1"/>
  <c r="M422" i="27"/>
  <c r="J422" i="27"/>
  <c r="J421" i="27"/>
  <c r="M421" i="27" s="1"/>
  <c r="J420" i="27"/>
  <c r="M420" i="27" s="1"/>
  <c r="J419" i="27"/>
  <c r="M419" i="27" s="1"/>
  <c r="M418" i="27"/>
  <c r="J418" i="27"/>
  <c r="J417" i="27"/>
  <c r="M417" i="27" s="1"/>
  <c r="M416" i="27"/>
  <c r="J416" i="27"/>
  <c r="J415" i="27"/>
  <c r="M415" i="27" s="1"/>
  <c r="M414" i="27"/>
  <c r="J414" i="27"/>
  <c r="J413" i="27"/>
  <c r="M413" i="27" s="1"/>
  <c r="M412" i="27"/>
  <c r="J412" i="27"/>
  <c r="M411" i="27"/>
  <c r="J411" i="27"/>
  <c r="M410" i="27"/>
  <c r="J410" i="27"/>
  <c r="J409" i="27"/>
  <c r="M409" i="27" s="1"/>
  <c r="J408" i="27"/>
  <c r="M408" i="27" s="1"/>
  <c r="M407" i="27"/>
  <c r="J407" i="27"/>
  <c r="J406" i="27"/>
  <c r="M406" i="27" s="1"/>
  <c r="J405" i="27"/>
  <c r="M405" i="27" s="1"/>
  <c r="M404" i="27"/>
  <c r="J404" i="27"/>
  <c r="M403" i="27"/>
  <c r="J403" i="27"/>
  <c r="M402" i="27"/>
  <c r="J402" i="27"/>
  <c r="J401" i="27"/>
  <c r="M401" i="27" s="1"/>
  <c r="M400" i="27"/>
  <c r="J400" i="27"/>
  <c r="J399" i="27"/>
  <c r="M399" i="27" s="1"/>
  <c r="M398" i="27"/>
  <c r="J398" i="27"/>
  <c r="J397" i="27"/>
  <c r="M397" i="27" s="1"/>
  <c r="M396" i="27"/>
  <c r="J396" i="27"/>
  <c r="M395" i="27"/>
  <c r="J395" i="27"/>
  <c r="M394" i="27"/>
  <c r="J394" i="27"/>
  <c r="J393" i="27"/>
  <c r="M393" i="27" s="1"/>
  <c r="J392" i="27"/>
  <c r="M392" i="27" s="1"/>
  <c r="M391" i="27"/>
  <c r="J391" i="27"/>
  <c r="J390" i="27"/>
  <c r="M390" i="27" s="1"/>
  <c r="J389" i="27"/>
  <c r="M389" i="27" s="1"/>
  <c r="M388" i="27"/>
  <c r="J388" i="27"/>
  <c r="M387" i="27"/>
  <c r="J387" i="27"/>
  <c r="M386" i="27"/>
  <c r="J386" i="27"/>
  <c r="J385" i="27"/>
  <c r="M385" i="27" s="1"/>
  <c r="M384" i="27"/>
  <c r="J384" i="27"/>
  <c r="J383" i="27"/>
  <c r="M383" i="27" s="1"/>
  <c r="M382" i="27"/>
  <c r="J382" i="27"/>
  <c r="J381" i="27"/>
  <c r="M381" i="27" s="1"/>
  <c r="M380" i="27"/>
  <c r="J380" i="27"/>
  <c r="M379" i="27"/>
  <c r="J379" i="27"/>
  <c r="M378" i="27"/>
  <c r="J378" i="27"/>
  <c r="J377" i="27"/>
  <c r="M377" i="27" s="1"/>
  <c r="J376" i="27"/>
  <c r="M376" i="27" s="1"/>
  <c r="M375" i="27"/>
  <c r="J375" i="27"/>
  <c r="J374" i="27"/>
  <c r="M374" i="27" s="1"/>
  <c r="J373" i="27"/>
  <c r="M373" i="27" s="1"/>
  <c r="M372" i="27"/>
  <c r="J372" i="27"/>
  <c r="M371" i="27"/>
  <c r="J371" i="27"/>
  <c r="M370" i="27"/>
  <c r="J370" i="27"/>
  <c r="J369" i="27"/>
  <c r="M369" i="27" s="1"/>
  <c r="M368" i="27"/>
  <c r="J368" i="27"/>
  <c r="J367" i="27"/>
  <c r="M367" i="27" s="1"/>
  <c r="M366" i="27"/>
  <c r="J366" i="27"/>
  <c r="J365" i="27"/>
  <c r="M365" i="27" s="1"/>
  <c r="J364" i="27"/>
  <c r="M364" i="27" s="1"/>
  <c r="J363" i="27"/>
  <c r="M363" i="27" s="1"/>
  <c r="M362" i="27"/>
  <c r="J362" i="27"/>
  <c r="J361" i="27"/>
  <c r="M361" i="27" s="1"/>
  <c r="M360" i="27"/>
  <c r="J360" i="27"/>
  <c r="J359" i="27"/>
  <c r="M359" i="27" s="1"/>
  <c r="M358" i="27"/>
  <c r="J358" i="27"/>
  <c r="J357" i="27"/>
  <c r="M357" i="27" s="1"/>
  <c r="J356" i="27"/>
  <c r="M356" i="27" s="1"/>
  <c r="J355" i="27"/>
  <c r="M355" i="27" s="1"/>
  <c r="M354" i="27"/>
  <c r="J354" i="27"/>
  <c r="J353" i="27"/>
  <c r="M353" i="27" s="1"/>
  <c r="M352" i="27"/>
  <c r="J352" i="27"/>
  <c r="J351" i="27"/>
  <c r="M351" i="27" s="1"/>
  <c r="M350" i="27"/>
  <c r="J350" i="27"/>
  <c r="J349" i="27"/>
  <c r="M349" i="27" s="1"/>
  <c r="M348" i="27"/>
  <c r="J348" i="27"/>
  <c r="M347" i="27"/>
  <c r="J347" i="27"/>
  <c r="M346" i="27"/>
  <c r="J346" i="27"/>
  <c r="J345" i="27"/>
  <c r="M345" i="27" s="1"/>
  <c r="J344" i="27"/>
  <c r="M344" i="27" s="1"/>
  <c r="M343" i="27"/>
  <c r="J343" i="27"/>
  <c r="J342" i="27"/>
  <c r="M342" i="27" s="1"/>
  <c r="J341" i="27"/>
  <c r="M341" i="27" s="1"/>
  <c r="M340" i="27"/>
  <c r="J340" i="27"/>
  <c r="M339" i="27"/>
  <c r="J339" i="27"/>
  <c r="M338" i="27"/>
  <c r="J338" i="27"/>
  <c r="J337" i="27"/>
  <c r="M337" i="27" s="1"/>
  <c r="M336" i="27"/>
  <c r="J336" i="27"/>
  <c r="J335" i="27"/>
  <c r="M335" i="27" s="1"/>
  <c r="M334" i="27"/>
  <c r="J334" i="27"/>
  <c r="J333" i="27"/>
  <c r="M333" i="27" s="1"/>
  <c r="M332" i="27"/>
  <c r="J332" i="27"/>
  <c r="M331" i="27"/>
  <c r="J331" i="27"/>
  <c r="M330" i="27"/>
  <c r="J330" i="27"/>
  <c r="J329" i="27"/>
  <c r="M329" i="27" s="1"/>
  <c r="J328" i="27"/>
  <c r="M328" i="27" s="1"/>
  <c r="M327" i="27"/>
  <c r="J327" i="27"/>
  <c r="J326" i="27"/>
  <c r="M326" i="27" s="1"/>
  <c r="J325" i="27"/>
  <c r="M325" i="27" s="1"/>
  <c r="M324" i="27"/>
  <c r="J324" i="27"/>
  <c r="M323" i="27"/>
  <c r="J323" i="27"/>
  <c r="M322" i="27"/>
  <c r="J322" i="27"/>
  <c r="J321" i="27"/>
  <c r="J320" i="27"/>
  <c r="M320" i="27" s="1"/>
  <c r="J319" i="27"/>
  <c r="M319" i="27" s="1"/>
  <c r="J318" i="27"/>
  <c r="M318" i="27" s="1"/>
  <c r="J317" i="27"/>
  <c r="M317" i="27" s="1"/>
  <c r="J316" i="27"/>
  <c r="M316" i="27" s="1"/>
  <c r="J315" i="27"/>
  <c r="M315" i="27" s="1"/>
  <c r="M314" i="27"/>
  <c r="J314" i="27"/>
  <c r="J313" i="27"/>
  <c r="M313" i="27" s="1"/>
  <c r="J312" i="27"/>
  <c r="M312" i="27" s="1"/>
  <c r="J311" i="27"/>
  <c r="M311" i="27" s="1"/>
  <c r="M310" i="27"/>
  <c r="J310" i="27"/>
  <c r="J309" i="27"/>
  <c r="M309" i="27" s="1"/>
  <c r="J308" i="27"/>
  <c r="M308" i="27" s="1"/>
  <c r="J307" i="27"/>
  <c r="M307" i="27" s="1"/>
  <c r="J306" i="27"/>
  <c r="M306" i="27" s="1"/>
  <c r="J305" i="27"/>
  <c r="M305" i="27" s="1"/>
  <c r="J304" i="27"/>
  <c r="M304" i="27" s="1"/>
  <c r="J303" i="27"/>
  <c r="M303" i="27" s="1"/>
  <c r="J302" i="27"/>
  <c r="M302" i="27" s="1"/>
  <c r="J301" i="27"/>
  <c r="M301" i="27" s="1"/>
  <c r="J300" i="27"/>
  <c r="M300" i="27" s="1"/>
  <c r="J299" i="27"/>
  <c r="M299" i="27" s="1"/>
  <c r="J298" i="27"/>
  <c r="M298" i="27" s="1"/>
  <c r="J297" i="27"/>
  <c r="M297" i="27" s="1"/>
  <c r="J296" i="27"/>
  <c r="M296" i="27" s="1"/>
  <c r="J295" i="27"/>
  <c r="M295" i="27" s="1"/>
  <c r="J294" i="27"/>
  <c r="M294" i="27" s="1"/>
  <c r="J293" i="27"/>
  <c r="M293" i="27" s="1"/>
  <c r="J292" i="27"/>
  <c r="M292" i="27" s="1"/>
  <c r="J291" i="27"/>
  <c r="M291" i="27" s="1"/>
  <c r="J290" i="27"/>
  <c r="M290" i="27" s="1"/>
  <c r="J289" i="27"/>
  <c r="M289" i="27" s="1"/>
  <c r="J288" i="27"/>
  <c r="M288" i="27" s="1"/>
  <c r="J287" i="27"/>
  <c r="M287" i="27" s="1"/>
  <c r="J286" i="27"/>
  <c r="M286" i="27" s="1"/>
  <c r="J285" i="27"/>
  <c r="M285" i="27" s="1"/>
  <c r="J284" i="27"/>
  <c r="M284" i="27" s="1"/>
  <c r="J283" i="27"/>
  <c r="M283" i="27" s="1"/>
  <c r="J282" i="27"/>
  <c r="M282" i="27" s="1"/>
  <c r="J281" i="27"/>
  <c r="M281" i="27" s="1"/>
  <c r="J280" i="27"/>
  <c r="M280" i="27" s="1"/>
  <c r="J279" i="27"/>
  <c r="M279" i="27" s="1"/>
  <c r="J278" i="27"/>
  <c r="M278" i="27" s="1"/>
  <c r="J277" i="27"/>
  <c r="M277" i="27" s="1"/>
  <c r="J276" i="27"/>
  <c r="M276" i="27" s="1"/>
  <c r="J275" i="27"/>
  <c r="M275" i="27" s="1"/>
  <c r="J274" i="27"/>
  <c r="M274" i="27" s="1"/>
  <c r="J273" i="27"/>
  <c r="M273" i="27" s="1"/>
  <c r="J272" i="27"/>
  <c r="M272" i="27" s="1"/>
  <c r="J271" i="27"/>
  <c r="M271" i="27" s="1"/>
  <c r="J270" i="27"/>
  <c r="M270" i="27" s="1"/>
  <c r="J269" i="27"/>
  <c r="M269" i="27" s="1"/>
  <c r="J268" i="27"/>
  <c r="M268" i="27" s="1"/>
  <c r="J267" i="27"/>
  <c r="M267" i="27" s="1"/>
  <c r="J266" i="27"/>
  <c r="M266" i="27" s="1"/>
  <c r="J265" i="27"/>
  <c r="M265" i="27" s="1"/>
  <c r="J264" i="27"/>
  <c r="M264" i="27" s="1"/>
  <c r="J263" i="27"/>
  <c r="M263" i="27" s="1"/>
  <c r="J262" i="27"/>
  <c r="M262" i="27" s="1"/>
  <c r="J261" i="27"/>
  <c r="M261" i="27" s="1"/>
  <c r="J260" i="27"/>
  <c r="M260" i="27" s="1"/>
  <c r="J259" i="27"/>
  <c r="M259" i="27" s="1"/>
  <c r="J258" i="27"/>
  <c r="M258" i="27" s="1"/>
  <c r="J257" i="27"/>
  <c r="M257" i="27" s="1"/>
  <c r="J256" i="27"/>
  <c r="M256" i="27" s="1"/>
  <c r="J255" i="27"/>
  <c r="M255" i="27" s="1"/>
  <c r="J254" i="27"/>
  <c r="M254" i="27" s="1"/>
  <c r="J253" i="27"/>
  <c r="M253" i="27" s="1"/>
  <c r="J252" i="27"/>
  <c r="M252" i="27" s="1"/>
  <c r="J251" i="27"/>
  <c r="M251" i="27" s="1"/>
  <c r="J250" i="27"/>
  <c r="M250" i="27" s="1"/>
  <c r="J249" i="27"/>
  <c r="M249" i="27" s="1"/>
  <c r="J248" i="27"/>
  <c r="M248" i="27" s="1"/>
  <c r="J247" i="27"/>
  <c r="M247" i="27" s="1"/>
  <c r="J246" i="27"/>
  <c r="M246" i="27" s="1"/>
  <c r="J245" i="27"/>
  <c r="M245" i="27" s="1"/>
  <c r="J244" i="27"/>
  <c r="M244" i="27" s="1"/>
  <c r="M243" i="27"/>
  <c r="J243" i="27"/>
  <c r="J242" i="27"/>
  <c r="M242" i="27" s="1"/>
  <c r="M241" i="27"/>
  <c r="J241" i="27"/>
  <c r="J240" i="27"/>
  <c r="M240" i="27" s="1"/>
  <c r="M239" i="27"/>
  <c r="J239" i="27"/>
  <c r="J238" i="27"/>
  <c r="M238" i="27" s="1"/>
  <c r="J237" i="27"/>
  <c r="M237" i="27" s="1"/>
  <c r="J236" i="27"/>
  <c r="M236" i="27" s="1"/>
  <c r="M235" i="27"/>
  <c r="J235" i="27"/>
  <c r="J234" i="27"/>
  <c r="M234" i="27" s="1"/>
  <c r="M233" i="27"/>
  <c r="J233" i="27"/>
  <c r="J232" i="27"/>
  <c r="M232" i="27" s="1"/>
  <c r="M231" i="27"/>
  <c r="J231" i="27"/>
  <c r="J230" i="27"/>
  <c r="M230" i="27" s="1"/>
  <c r="J229" i="27"/>
  <c r="M229" i="27" s="1"/>
  <c r="J228" i="27"/>
  <c r="M228" i="27" s="1"/>
  <c r="M227" i="27"/>
  <c r="J227" i="27"/>
  <c r="J226" i="27"/>
  <c r="M226" i="27" s="1"/>
  <c r="M225" i="27"/>
  <c r="J225" i="27"/>
  <c r="J224" i="27"/>
  <c r="M224" i="27" s="1"/>
  <c r="M223" i="27"/>
  <c r="J223" i="27"/>
  <c r="J222" i="27"/>
  <c r="M222" i="27" s="1"/>
  <c r="J221" i="27"/>
  <c r="M221" i="27" s="1"/>
  <c r="J220" i="27"/>
  <c r="M220" i="27" s="1"/>
  <c r="M219" i="27"/>
  <c r="J219" i="27"/>
  <c r="J218" i="27"/>
  <c r="M218" i="27" s="1"/>
  <c r="M217" i="27"/>
  <c r="J217" i="27"/>
  <c r="J216" i="27"/>
  <c r="M216" i="27" s="1"/>
  <c r="M215" i="27"/>
  <c r="J215" i="27"/>
  <c r="J214" i="27"/>
  <c r="M214" i="27" s="1"/>
  <c r="J213" i="27"/>
  <c r="M213" i="27" s="1"/>
  <c r="J212" i="27"/>
  <c r="M212" i="27" s="1"/>
  <c r="M211" i="27"/>
  <c r="J211" i="27"/>
  <c r="J210" i="27"/>
  <c r="M210" i="27" s="1"/>
  <c r="M209" i="27"/>
  <c r="J209" i="27"/>
  <c r="J208" i="27"/>
  <c r="M208" i="27" s="1"/>
  <c r="M207" i="27"/>
  <c r="J207" i="27"/>
  <c r="J206" i="27"/>
  <c r="M206" i="27" s="1"/>
  <c r="J205" i="27"/>
  <c r="M205" i="27" s="1"/>
  <c r="J204" i="27"/>
  <c r="M204" i="27" s="1"/>
  <c r="M203" i="27"/>
  <c r="J203" i="27"/>
  <c r="J202" i="27"/>
  <c r="M202" i="27" s="1"/>
  <c r="M201" i="27"/>
  <c r="J201" i="27"/>
  <c r="J200" i="27"/>
  <c r="M200" i="27" s="1"/>
  <c r="M199" i="27"/>
  <c r="J199" i="27"/>
  <c r="J198" i="27"/>
  <c r="M198" i="27" s="1"/>
  <c r="J197" i="27"/>
  <c r="M197" i="27" s="1"/>
  <c r="J196" i="27"/>
  <c r="M196" i="27" s="1"/>
  <c r="M195" i="27"/>
  <c r="J195" i="27"/>
  <c r="J194" i="27"/>
  <c r="M194" i="27" s="1"/>
  <c r="M193" i="27"/>
  <c r="J193" i="27"/>
  <c r="J192" i="27"/>
  <c r="M192" i="27" s="1"/>
  <c r="M191" i="27"/>
  <c r="J191" i="27"/>
  <c r="J190" i="27"/>
  <c r="M190" i="27" s="1"/>
  <c r="J189" i="27"/>
  <c r="M189" i="27" s="1"/>
  <c r="J188" i="27"/>
  <c r="M188" i="27" s="1"/>
  <c r="J187" i="27"/>
  <c r="M187" i="27" s="1"/>
  <c r="J186" i="27"/>
  <c r="M186" i="27" s="1"/>
  <c r="J185" i="27"/>
  <c r="M185" i="27" s="1"/>
  <c r="J184" i="27"/>
  <c r="M184" i="27" s="1"/>
  <c r="J183" i="27"/>
  <c r="M183" i="27" s="1"/>
  <c r="J182" i="27"/>
  <c r="M182" i="27" s="1"/>
  <c r="J181" i="27"/>
  <c r="M181" i="27" s="1"/>
  <c r="J180" i="27"/>
  <c r="M180" i="27" s="1"/>
  <c r="J179" i="27"/>
  <c r="M179" i="27" s="1"/>
  <c r="J178" i="27"/>
  <c r="M178" i="27" s="1"/>
  <c r="J177" i="27"/>
  <c r="M177" i="27" s="1"/>
  <c r="J176" i="27"/>
  <c r="M176" i="27" s="1"/>
  <c r="J175" i="27"/>
  <c r="M175" i="27" s="1"/>
  <c r="J174" i="27"/>
  <c r="M174" i="27" s="1"/>
  <c r="J173" i="27"/>
  <c r="M173" i="27" s="1"/>
  <c r="J172" i="27"/>
  <c r="M172" i="27" s="1"/>
  <c r="J171" i="27"/>
  <c r="M171" i="27" s="1"/>
  <c r="J170" i="27"/>
  <c r="J169" i="27"/>
  <c r="M169" i="27" s="1"/>
  <c r="J168" i="27"/>
  <c r="M168" i="27" s="1"/>
  <c r="J167" i="27"/>
  <c r="M167" i="27" s="1"/>
  <c r="J166" i="27"/>
  <c r="M166" i="27" s="1"/>
  <c r="J165" i="27"/>
  <c r="M165" i="27" s="1"/>
  <c r="J164" i="27"/>
  <c r="M164" i="27" s="1"/>
  <c r="J163" i="27"/>
  <c r="M163" i="27" s="1"/>
  <c r="J162" i="27"/>
  <c r="M162" i="27" s="1"/>
  <c r="J161" i="27"/>
  <c r="M161" i="27" s="1"/>
  <c r="J160" i="27"/>
  <c r="M160" i="27" s="1"/>
  <c r="J159" i="27"/>
  <c r="M159" i="27" s="1"/>
  <c r="J158" i="27"/>
  <c r="M158" i="27" s="1"/>
  <c r="L157" i="27"/>
  <c r="O157" i="27" s="1"/>
  <c r="K157" i="27"/>
  <c r="N157" i="27" s="1"/>
  <c r="L156" i="27"/>
  <c r="O156" i="27" s="1"/>
  <c r="K156" i="27"/>
  <c r="N156" i="27" s="1"/>
  <c r="L155" i="27"/>
  <c r="O155" i="27" s="1"/>
  <c r="K155" i="27"/>
  <c r="N155" i="27" s="1"/>
  <c r="L154" i="27"/>
  <c r="O154" i="27" s="1"/>
  <c r="K154" i="27"/>
  <c r="N154" i="27" s="1"/>
  <c r="L153" i="27"/>
  <c r="O153" i="27" s="1"/>
  <c r="K153" i="27"/>
  <c r="N153" i="27" s="1"/>
  <c r="N152" i="27"/>
  <c r="L152" i="27"/>
  <c r="O152" i="27" s="1"/>
  <c r="K152" i="27"/>
  <c r="L151" i="27"/>
  <c r="O151" i="27" s="1"/>
  <c r="K151" i="27"/>
  <c r="N151" i="27" s="1"/>
  <c r="N150" i="27"/>
  <c r="L150" i="27"/>
  <c r="O150" i="27" s="1"/>
  <c r="K150" i="27"/>
  <c r="L149" i="27"/>
  <c r="O149" i="27" s="1"/>
  <c r="K149" i="27"/>
  <c r="N149" i="27" s="1"/>
  <c r="L148" i="27"/>
  <c r="O148" i="27" s="1"/>
  <c r="K148" i="27"/>
  <c r="N148" i="27" s="1"/>
  <c r="L147" i="27"/>
  <c r="O147" i="27" s="1"/>
  <c r="K147" i="27"/>
  <c r="N147" i="27" s="1"/>
  <c r="L146" i="27"/>
  <c r="O146" i="27" s="1"/>
  <c r="K146" i="27"/>
  <c r="N146" i="27" s="1"/>
  <c r="J145" i="27"/>
  <c r="M145" i="27" s="1"/>
  <c r="J144" i="27"/>
  <c r="M144" i="27" s="1"/>
  <c r="J143" i="27"/>
  <c r="M143" i="27" s="1"/>
  <c r="J142" i="27"/>
  <c r="M142" i="27" s="1"/>
  <c r="J141" i="27"/>
  <c r="M141" i="27" s="1"/>
  <c r="J140" i="27"/>
  <c r="M140" i="27" s="1"/>
  <c r="J139" i="27"/>
  <c r="M139" i="27" s="1"/>
  <c r="J138" i="27"/>
  <c r="M138" i="27" s="1"/>
  <c r="J137" i="27"/>
  <c r="M137" i="27" s="1"/>
  <c r="J136" i="27"/>
  <c r="M136" i="27" s="1"/>
  <c r="J135" i="27"/>
  <c r="M135" i="27" s="1"/>
  <c r="J134" i="27"/>
  <c r="M134" i="27" s="1"/>
  <c r="J133" i="27"/>
  <c r="M133" i="27" s="1"/>
  <c r="J132" i="27"/>
  <c r="M132" i="27" s="1"/>
  <c r="J131" i="27"/>
  <c r="M131" i="27" s="1"/>
  <c r="J130" i="27"/>
  <c r="M130" i="27" s="1"/>
  <c r="J129" i="27"/>
  <c r="M129" i="27" s="1"/>
  <c r="J128" i="27"/>
  <c r="M128" i="27" s="1"/>
  <c r="J127" i="27"/>
  <c r="M127" i="27" s="1"/>
  <c r="J126" i="27"/>
  <c r="M126" i="27" s="1"/>
  <c r="J125" i="27"/>
  <c r="M125" i="27" s="1"/>
  <c r="J124" i="27"/>
  <c r="M124" i="27" s="1"/>
  <c r="J123" i="27"/>
  <c r="M123" i="27" s="1"/>
  <c r="J122" i="27"/>
  <c r="M122" i="27" s="1"/>
  <c r="L121" i="27"/>
  <c r="O121" i="27" s="1"/>
  <c r="K121" i="27"/>
  <c r="N121" i="27" s="1"/>
  <c r="O120" i="27"/>
  <c r="N120" i="27"/>
  <c r="L120" i="27"/>
  <c r="K120" i="27"/>
  <c r="L119" i="27"/>
  <c r="O119" i="27" s="1"/>
  <c r="K119" i="27"/>
  <c r="N119" i="27" s="1"/>
  <c r="L118" i="27"/>
  <c r="O118" i="27" s="1"/>
  <c r="K118" i="27"/>
  <c r="N118" i="27" s="1"/>
  <c r="L117" i="27"/>
  <c r="O117" i="27" s="1"/>
  <c r="K117" i="27"/>
  <c r="N117" i="27" s="1"/>
  <c r="O116" i="27"/>
  <c r="N116" i="27"/>
  <c r="L116" i="27"/>
  <c r="K116" i="27"/>
  <c r="L115" i="27"/>
  <c r="O115" i="27" s="1"/>
  <c r="K115" i="27"/>
  <c r="N115" i="27" s="1"/>
  <c r="L114" i="27"/>
  <c r="O114" i="27" s="1"/>
  <c r="K114" i="27"/>
  <c r="N114" i="27" s="1"/>
  <c r="L113" i="27"/>
  <c r="O113" i="27" s="1"/>
  <c r="K113" i="27"/>
  <c r="N113" i="27" s="1"/>
  <c r="O112" i="27"/>
  <c r="N112" i="27"/>
  <c r="L112" i="27"/>
  <c r="K112" i="27"/>
  <c r="L111" i="27"/>
  <c r="O111" i="27" s="1"/>
  <c r="K111" i="27"/>
  <c r="N111" i="27" s="1"/>
  <c r="L110" i="27"/>
  <c r="O110" i="27" s="1"/>
  <c r="K110" i="27"/>
  <c r="N110" i="27" s="1"/>
  <c r="M109" i="27"/>
  <c r="J109" i="27"/>
  <c r="J108" i="27"/>
  <c r="M108" i="27" s="1"/>
  <c r="M107" i="27"/>
  <c r="J107" i="27"/>
  <c r="J106" i="27"/>
  <c r="M106" i="27" s="1"/>
  <c r="M105" i="27"/>
  <c r="J105" i="27"/>
  <c r="J104" i="27"/>
  <c r="M104" i="27" s="1"/>
  <c r="J103" i="27"/>
  <c r="M103" i="27" s="1"/>
  <c r="J102" i="27"/>
  <c r="M102" i="27" s="1"/>
  <c r="M101" i="27"/>
  <c r="J101" i="27"/>
  <c r="J100" i="27"/>
  <c r="M100" i="27" s="1"/>
  <c r="M99" i="27"/>
  <c r="J99" i="27"/>
  <c r="J98" i="27"/>
  <c r="M98" i="27" s="1"/>
  <c r="M97" i="27"/>
  <c r="J97" i="27"/>
  <c r="J96" i="27"/>
  <c r="M96" i="27" s="1"/>
  <c r="J95" i="27"/>
  <c r="M95" i="27" s="1"/>
  <c r="J94" i="27"/>
  <c r="M94" i="27" s="1"/>
  <c r="M93" i="27"/>
  <c r="J93" i="27"/>
  <c r="J92" i="27"/>
  <c r="M92" i="27" s="1"/>
  <c r="M91" i="27"/>
  <c r="J91" i="27"/>
  <c r="J90" i="27"/>
  <c r="M90" i="27" s="1"/>
  <c r="M89" i="27"/>
  <c r="J89" i="27"/>
  <c r="J88" i="27"/>
  <c r="M88" i="27" s="1"/>
  <c r="J87" i="27"/>
  <c r="M87" i="27" s="1"/>
  <c r="J86" i="27"/>
  <c r="M86" i="27" s="1"/>
  <c r="L85" i="27"/>
  <c r="O85" i="27" s="1"/>
  <c r="K85" i="27"/>
  <c r="N85" i="27" s="1"/>
  <c r="O84" i="27"/>
  <c r="N84" i="27"/>
  <c r="L84" i="27"/>
  <c r="K84" i="27"/>
  <c r="L83" i="27"/>
  <c r="O83" i="27" s="1"/>
  <c r="K83" i="27"/>
  <c r="N83" i="27" s="1"/>
  <c r="L82" i="27"/>
  <c r="O82" i="27" s="1"/>
  <c r="K82" i="27"/>
  <c r="N82" i="27" s="1"/>
  <c r="L81" i="27"/>
  <c r="O81" i="27" s="1"/>
  <c r="K81" i="27"/>
  <c r="N81" i="27" s="1"/>
  <c r="O80" i="27"/>
  <c r="N80" i="27"/>
  <c r="L80" i="27"/>
  <c r="K80" i="27"/>
  <c r="L79" i="27"/>
  <c r="O79" i="27" s="1"/>
  <c r="K79" i="27"/>
  <c r="N79" i="27" s="1"/>
  <c r="L78" i="27"/>
  <c r="O78" i="27" s="1"/>
  <c r="K78" i="27"/>
  <c r="N78" i="27" s="1"/>
  <c r="L77" i="27"/>
  <c r="O77" i="27" s="1"/>
  <c r="K77" i="27"/>
  <c r="N77" i="27" s="1"/>
  <c r="O76" i="27"/>
  <c r="N76" i="27"/>
  <c r="L76" i="27"/>
  <c r="K76" i="27"/>
  <c r="L75" i="27"/>
  <c r="O75" i="27" s="1"/>
  <c r="K75" i="27"/>
  <c r="N75" i="27" s="1"/>
  <c r="L74" i="27"/>
  <c r="O74" i="27" s="1"/>
  <c r="K74" i="27"/>
  <c r="N74" i="27" s="1"/>
  <c r="M73" i="27"/>
  <c r="J73" i="27"/>
  <c r="J72" i="27"/>
  <c r="M72" i="27" s="1"/>
  <c r="M71" i="27"/>
  <c r="J71" i="27"/>
  <c r="J70" i="27"/>
  <c r="M70" i="27" s="1"/>
  <c r="M69" i="27"/>
  <c r="J69" i="27"/>
  <c r="J68" i="27"/>
  <c r="M68" i="27" s="1"/>
  <c r="J67" i="27"/>
  <c r="M67" i="27" s="1"/>
  <c r="J66" i="27"/>
  <c r="M66" i="27" s="1"/>
  <c r="M65" i="27"/>
  <c r="J65" i="27"/>
  <c r="J64" i="27"/>
  <c r="M64" i="27" s="1"/>
  <c r="M63" i="27"/>
  <c r="J63" i="27"/>
  <c r="J62" i="27"/>
  <c r="M62" i="27" s="1"/>
  <c r="M61" i="27"/>
  <c r="J61" i="27"/>
  <c r="J60" i="27"/>
  <c r="M60" i="27" s="1"/>
  <c r="J59" i="27"/>
  <c r="M59" i="27" s="1"/>
  <c r="J58" i="27"/>
  <c r="M58" i="27" s="1"/>
  <c r="J57" i="27"/>
  <c r="M57" i="27" s="1"/>
  <c r="J56" i="27"/>
  <c r="M56" i="27" s="1"/>
  <c r="J55" i="27"/>
  <c r="M55" i="27" s="1"/>
  <c r="J54" i="27"/>
  <c r="M54" i="27" s="1"/>
  <c r="J53" i="27"/>
  <c r="M53" i="27" s="1"/>
  <c r="J52" i="27"/>
  <c r="M52" i="27" s="1"/>
  <c r="J51" i="27"/>
  <c r="M51" i="27" s="1"/>
  <c r="J50" i="27"/>
  <c r="M50" i="27" s="1"/>
  <c r="L49" i="27"/>
  <c r="O49" i="27" s="1"/>
  <c r="K49" i="27"/>
  <c r="N49" i="27" s="1"/>
  <c r="L48" i="27"/>
  <c r="O48" i="27" s="1"/>
  <c r="K48" i="27"/>
  <c r="N48" i="27" s="1"/>
  <c r="L47" i="27"/>
  <c r="O47" i="27" s="1"/>
  <c r="K47" i="27"/>
  <c r="N47" i="27" s="1"/>
  <c r="N46" i="27"/>
  <c r="L46" i="27"/>
  <c r="O46" i="27" s="1"/>
  <c r="K46" i="27"/>
  <c r="L45" i="27"/>
  <c r="O45" i="27" s="1"/>
  <c r="K45" i="27"/>
  <c r="N45" i="27" s="1"/>
  <c r="N44" i="27"/>
  <c r="L44" i="27"/>
  <c r="O44" i="27" s="1"/>
  <c r="K44" i="27"/>
  <c r="L43" i="27"/>
  <c r="O43" i="27" s="1"/>
  <c r="K43" i="27"/>
  <c r="N43" i="27" s="1"/>
  <c r="L42" i="27"/>
  <c r="O42" i="27" s="1"/>
  <c r="K42" i="27"/>
  <c r="N42" i="27" s="1"/>
  <c r="L41" i="27"/>
  <c r="O41" i="27" s="1"/>
  <c r="K41" i="27"/>
  <c r="N41" i="27" s="1"/>
  <c r="L40" i="27"/>
  <c r="O40" i="27" s="1"/>
  <c r="K40" i="27"/>
  <c r="N40" i="27" s="1"/>
  <c r="L39" i="27"/>
  <c r="O39" i="27" s="1"/>
  <c r="K39" i="27"/>
  <c r="N39" i="27" s="1"/>
  <c r="N38" i="27"/>
  <c r="L38" i="27"/>
  <c r="O38" i="27" s="1"/>
  <c r="K38" i="27"/>
  <c r="J37" i="27"/>
  <c r="M37" i="27" s="1"/>
  <c r="J36" i="27"/>
  <c r="M36" i="27" s="1"/>
  <c r="J35" i="27"/>
  <c r="M35" i="27" s="1"/>
  <c r="J34" i="27"/>
  <c r="M34" i="27" s="1"/>
  <c r="J33" i="27"/>
  <c r="M33" i="27" s="1"/>
  <c r="J32" i="27"/>
  <c r="M32" i="27" s="1"/>
  <c r="J31" i="27"/>
  <c r="M31" i="27" s="1"/>
  <c r="J30" i="27"/>
  <c r="M30" i="27" s="1"/>
  <c r="J29" i="27"/>
  <c r="M29" i="27" s="1"/>
  <c r="J28" i="27"/>
  <c r="M28" i="27" s="1"/>
  <c r="J27" i="27"/>
  <c r="M27" i="27" s="1"/>
  <c r="J26" i="27"/>
  <c r="M26" i="27" s="1"/>
  <c r="P11" i="5"/>
  <c r="P10" i="5"/>
  <c r="P9" i="5"/>
  <c r="R11" i="5"/>
  <c r="R10" i="5"/>
  <c r="R9" i="5"/>
  <c r="F43" i="5"/>
  <c r="E43" i="5"/>
  <c r="D43" i="5"/>
  <c r="F26" i="5"/>
  <c r="E26" i="5"/>
  <c r="D26" i="5"/>
  <c r="F25" i="5"/>
  <c r="E25" i="5"/>
  <c r="D25" i="5"/>
  <c r="F24" i="5"/>
  <c r="E24" i="5"/>
  <c r="D24" i="5"/>
  <c r="D13" i="5"/>
  <c r="F38" i="5"/>
  <c r="F17" i="5"/>
  <c r="F16" i="5"/>
  <c r="F12" i="5"/>
  <c r="F11" i="5"/>
  <c r="M15" i="5"/>
  <c r="M7" i="5"/>
  <c r="F35" i="5" s="1"/>
  <c r="X456" i="16"/>
  <c r="W456" i="16"/>
  <c r="X455" i="16"/>
  <c r="W455" i="16"/>
  <c r="X454" i="16"/>
  <c r="W454" i="16"/>
  <c r="X453" i="16"/>
  <c r="W453" i="16"/>
  <c r="X452" i="16"/>
  <c r="W452" i="16"/>
  <c r="X451" i="16"/>
  <c r="W451" i="16"/>
  <c r="X450" i="16"/>
  <c r="W450" i="16"/>
  <c r="X449" i="16"/>
  <c r="W449" i="16"/>
  <c r="X448" i="16"/>
  <c r="W448" i="16"/>
  <c r="X447" i="16"/>
  <c r="W447" i="16"/>
  <c r="X446" i="16"/>
  <c r="W446" i="16"/>
  <c r="X445" i="16"/>
  <c r="W445" i="16"/>
  <c r="AD137" i="17"/>
  <c r="X137" i="17"/>
  <c r="W137" i="17"/>
  <c r="AD136" i="17"/>
  <c r="X136" i="17"/>
  <c r="W136" i="17"/>
  <c r="AD135" i="17"/>
  <c r="X135" i="17"/>
  <c r="W135" i="17"/>
  <c r="AD134" i="17"/>
  <c r="X134" i="17"/>
  <c r="W134" i="17"/>
  <c r="AD133" i="17"/>
  <c r="X133" i="17"/>
  <c r="W133" i="17"/>
  <c r="AD132" i="17"/>
  <c r="X132" i="17"/>
  <c r="W132" i="17"/>
  <c r="AD131" i="17"/>
  <c r="X131" i="17"/>
  <c r="W131" i="17"/>
  <c r="AD130" i="17"/>
  <c r="X130" i="17"/>
  <c r="W130" i="17"/>
  <c r="AD129" i="17"/>
  <c r="X129" i="17"/>
  <c r="W129" i="17"/>
  <c r="AD128" i="17"/>
  <c r="X128" i="17"/>
  <c r="W128" i="17"/>
  <c r="AD127" i="17"/>
  <c r="X127" i="17"/>
  <c r="W127" i="17"/>
  <c r="AD126" i="17"/>
  <c r="AD11" i="27" s="1"/>
  <c r="X126" i="17"/>
  <c r="W126" i="17"/>
  <c r="M40" i="5"/>
  <c r="M39" i="5"/>
  <c r="M38" i="5"/>
  <c r="AJ9" i="17"/>
  <c r="AI9" i="17"/>
  <c r="AJ4" i="17"/>
  <c r="AI4" i="17"/>
  <c r="AJ3" i="17"/>
  <c r="AI3" i="17"/>
  <c r="AJ2" i="17"/>
  <c r="AI2" i="17"/>
  <c r="AD125" i="17"/>
  <c r="AD124" i="17"/>
  <c r="AD123" i="17"/>
  <c r="AD122" i="17"/>
  <c r="AD121" i="17"/>
  <c r="AD120" i="17"/>
  <c r="AD119" i="17"/>
  <c r="AD118" i="17"/>
  <c r="AD117" i="17"/>
  <c r="AD116" i="17"/>
  <c r="AD115" i="17"/>
  <c r="AD114" i="17"/>
  <c r="AD113" i="17"/>
  <c r="AD112" i="17"/>
  <c r="AD111" i="17"/>
  <c r="AD110" i="17"/>
  <c r="AD109" i="17"/>
  <c r="AD108" i="17"/>
  <c r="AD107" i="17"/>
  <c r="AD106" i="17"/>
  <c r="AD105" i="17"/>
  <c r="AD104" i="17"/>
  <c r="AD103" i="17"/>
  <c r="AD102" i="17"/>
  <c r="AD101" i="17"/>
  <c r="AD100" i="17"/>
  <c r="AD99" i="17"/>
  <c r="AD98" i="17"/>
  <c r="AD97" i="17"/>
  <c r="AD96" i="17"/>
  <c r="AD95" i="17"/>
  <c r="AD94" i="17"/>
  <c r="AD93" i="17"/>
  <c r="AD92" i="17"/>
  <c r="AD91" i="17"/>
  <c r="AD90" i="17"/>
  <c r="AD89" i="17"/>
  <c r="AD88" i="17"/>
  <c r="AD87" i="17"/>
  <c r="AD86" i="17"/>
  <c r="AD85" i="17"/>
  <c r="AD84" i="17"/>
  <c r="AD83" i="17"/>
  <c r="AD82" i="17"/>
  <c r="AD81" i="17"/>
  <c r="AD80" i="17"/>
  <c r="AD79" i="17"/>
  <c r="AD78" i="17"/>
  <c r="AD77" i="17"/>
  <c r="AD10" i="27" s="1"/>
  <c r="AD76" i="17"/>
  <c r="AD75" i="17"/>
  <c r="AD74" i="17"/>
  <c r="AD73" i="17"/>
  <c r="AD72" i="17"/>
  <c r="AD71" i="17"/>
  <c r="AD70" i="17"/>
  <c r="AD69" i="17"/>
  <c r="AD68" i="17"/>
  <c r="AD67" i="17"/>
  <c r="AD66" i="17"/>
  <c r="AD65" i="17"/>
  <c r="AD64" i="17"/>
  <c r="AD63" i="17"/>
  <c r="AD62" i="17"/>
  <c r="AD61" i="17"/>
  <c r="AD60" i="17"/>
  <c r="AD59" i="17"/>
  <c r="AD58" i="17"/>
  <c r="AD57" i="17"/>
  <c r="AD56" i="17"/>
  <c r="AD55" i="17"/>
  <c r="AD54" i="17"/>
  <c r="AD53" i="17"/>
  <c r="AD52" i="17"/>
  <c r="AD51" i="17"/>
  <c r="AD50" i="17"/>
  <c r="AD49" i="17"/>
  <c r="AD48" i="17"/>
  <c r="AD47" i="17"/>
  <c r="AD46" i="17"/>
  <c r="AD45" i="17"/>
  <c r="AD44" i="17"/>
  <c r="AD43" i="17"/>
  <c r="AD42" i="17"/>
  <c r="AD41" i="17"/>
  <c r="AD40" i="17"/>
  <c r="AD39" i="17"/>
  <c r="AD38" i="17"/>
  <c r="AD37" i="17"/>
  <c r="AD36" i="17"/>
  <c r="AD35" i="17"/>
  <c r="AD34" i="17"/>
  <c r="AD33" i="17"/>
  <c r="AD32" i="17"/>
  <c r="AD31" i="17"/>
  <c r="AD30" i="17"/>
  <c r="AD29" i="17"/>
  <c r="AD28" i="17"/>
  <c r="AD27" i="17"/>
  <c r="AD26" i="17"/>
  <c r="AD25" i="17"/>
  <c r="AD24" i="17"/>
  <c r="AD23" i="17"/>
  <c r="AD22" i="17"/>
  <c r="AD21" i="17"/>
  <c r="AD20" i="17"/>
  <c r="AD19" i="17"/>
  <c r="AD18" i="17"/>
  <c r="AD17" i="17"/>
  <c r="AD16" i="17"/>
  <c r="AD15" i="17"/>
  <c r="AD14" i="17"/>
  <c r="AD13" i="17"/>
  <c r="AD12" i="17"/>
  <c r="AD11" i="17"/>
  <c r="AD10" i="17"/>
  <c r="AD9" i="17"/>
  <c r="AD8" i="17"/>
  <c r="AD7" i="17"/>
  <c r="AD6" i="17"/>
  <c r="AD5" i="17"/>
  <c r="AD4" i="17"/>
  <c r="AD3" i="17"/>
  <c r="AD2" i="17"/>
  <c r="AD9" i="27" s="1"/>
  <c r="V137" i="17"/>
  <c r="AB137" i="17" s="1"/>
  <c r="V136" i="17"/>
  <c r="AB136" i="17" s="1"/>
  <c r="V135" i="17"/>
  <c r="AB135" i="17" s="1"/>
  <c r="V134" i="17"/>
  <c r="AB134" i="17" s="1"/>
  <c r="V133" i="17"/>
  <c r="AB133" i="17" s="1"/>
  <c r="V132" i="17"/>
  <c r="AB132" i="17" s="1"/>
  <c r="V131" i="17"/>
  <c r="AB131" i="17" s="1"/>
  <c r="V130" i="17"/>
  <c r="AB130" i="17" s="1"/>
  <c r="V129" i="17"/>
  <c r="AB129" i="17" s="1"/>
  <c r="V128" i="17"/>
  <c r="AB128" i="17" s="1"/>
  <c r="V127" i="17"/>
  <c r="AB127" i="17" s="1"/>
  <c r="V126" i="17"/>
  <c r="AB126" i="17" s="1"/>
  <c r="X125" i="17"/>
  <c r="W125" i="17"/>
  <c r="V125" i="17"/>
  <c r="AB125" i="17" s="1"/>
  <c r="X124" i="17"/>
  <c r="W124" i="17"/>
  <c r="V124" i="17"/>
  <c r="AB124" i="17" s="1"/>
  <c r="X123" i="17"/>
  <c r="W123" i="17"/>
  <c r="V123" i="17"/>
  <c r="AB123" i="17" s="1"/>
  <c r="X122" i="17"/>
  <c r="W122" i="17"/>
  <c r="V122" i="17"/>
  <c r="AB122" i="17" s="1"/>
  <c r="X121" i="17"/>
  <c r="W121" i="17"/>
  <c r="V121" i="17"/>
  <c r="AB121" i="17" s="1"/>
  <c r="X120" i="17"/>
  <c r="W120" i="17"/>
  <c r="V120" i="17"/>
  <c r="AB120" i="17" s="1"/>
  <c r="X119" i="17"/>
  <c r="W119" i="17"/>
  <c r="V119" i="17"/>
  <c r="AB119" i="17" s="1"/>
  <c r="X118" i="17"/>
  <c r="W118" i="17"/>
  <c r="V118" i="17"/>
  <c r="AB118" i="17" s="1"/>
  <c r="X117" i="17"/>
  <c r="W117" i="17"/>
  <c r="V117" i="17"/>
  <c r="AB117" i="17" s="1"/>
  <c r="X116" i="17"/>
  <c r="W116" i="17"/>
  <c r="V116" i="17"/>
  <c r="AB116" i="17" s="1"/>
  <c r="X115" i="17"/>
  <c r="W115" i="17"/>
  <c r="V115" i="17"/>
  <c r="AB115" i="17" s="1"/>
  <c r="X114" i="17"/>
  <c r="W114" i="17"/>
  <c r="V114" i="17"/>
  <c r="AB114" i="17" s="1"/>
  <c r="X113" i="17"/>
  <c r="W113" i="17"/>
  <c r="V113" i="17"/>
  <c r="AB113" i="17" s="1"/>
  <c r="X112" i="17"/>
  <c r="W112" i="17"/>
  <c r="V112" i="17"/>
  <c r="AB112" i="17" s="1"/>
  <c r="X111" i="17"/>
  <c r="W111" i="17"/>
  <c r="V111" i="17"/>
  <c r="AB111" i="17" s="1"/>
  <c r="X110" i="17"/>
  <c r="W110" i="17"/>
  <c r="V110" i="17"/>
  <c r="AB110" i="17" s="1"/>
  <c r="X109" i="17"/>
  <c r="W109" i="17"/>
  <c r="V109" i="17"/>
  <c r="AB109" i="17" s="1"/>
  <c r="X108" i="17"/>
  <c r="W108" i="17"/>
  <c r="V108" i="17"/>
  <c r="AB108" i="17" s="1"/>
  <c r="X107" i="17"/>
  <c r="W107" i="17"/>
  <c r="V107" i="17"/>
  <c r="AB107" i="17" s="1"/>
  <c r="X106" i="17"/>
  <c r="W106" i="17"/>
  <c r="V106" i="17"/>
  <c r="AB106" i="17" s="1"/>
  <c r="X105" i="17"/>
  <c r="W105" i="17"/>
  <c r="V105" i="17"/>
  <c r="AB105" i="17" s="1"/>
  <c r="X104" i="17"/>
  <c r="W104" i="17"/>
  <c r="V104" i="17"/>
  <c r="AB104" i="17" s="1"/>
  <c r="X103" i="17"/>
  <c r="W103" i="17"/>
  <c r="V103" i="17"/>
  <c r="AB103" i="17" s="1"/>
  <c r="X102" i="17"/>
  <c r="W102" i="17"/>
  <c r="V102" i="17"/>
  <c r="AB102" i="17" s="1"/>
  <c r="X101" i="17"/>
  <c r="W101" i="17"/>
  <c r="V101" i="17"/>
  <c r="AB101" i="17" s="1"/>
  <c r="X100" i="17"/>
  <c r="W100" i="17"/>
  <c r="V100" i="17"/>
  <c r="AB100" i="17" s="1"/>
  <c r="X99" i="17"/>
  <c r="W99" i="17"/>
  <c r="V99" i="17"/>
  <c r="AB99" i="17" s="1"/>
  <c r="X98" i="17"/>
  <c r="W98" i="17"/>
  <c r="V98" i="17"/>
  <c r="AB98" i="17" s="1"/>
  <c r="X97" i="17"/>
  <c r="W97" i="17"/>
  <c r="V97" i="17"/>
  <c r="AB97" i="17" s="1"/>
  <c r="X96" i="17"/>
  <c r="W96" i="17"/>
  <c r="V96" i="17"/>
  <c r="AB96" i="17" s="1"/>
  <c r="X95" i="17"/>
  <c r="W95" i="17"/>
  <c r="V95" i="17"/>
  <c r="AB95" i="17" s="1"/>
  <c r="X94" i="17"/>
  <c r="W94" i="17"/>
  <c r="V94" i="17"/>
  <c r="AB94" i="17" s="1"/>
  <c r="X93" i="17"/>
  <c r="W93" i="17"/>
  <c r="V93" i="17"/>
  <c r="AB93" i="17" s="1"/>
  <c r="X92" i="17"/>
  <c r="W92" i="17"/>
  <c r="V92" i="17"/>
  <c r="AB92" i="17" s="1"/>
  <c r="X91" i="17"/>
  <c r="W91" i="17"/>
  <c r="V91" i="17"/>
  <c r="AB91" i="17" s="1"/>
  <c r="X90" i="17"/>
  <c r="W90" i="17"/>
  <c r="V90" i="17"/>
  <c r="AB90" i="17" s="1"/>
  <c r="X89" i="17"/>
  <c r="W89" i="17"/>
  <c r="V89" i="17"/>
  <c r="AB89" i="17" s="1"/>
  <c r="X88" i="17"/>
  <c r="W88" i="17"/>
  <c r="V88" i="17"/>
  <c r="AB88" i="17" s="1"/>
  <c r="X87" i="17"/>
  <c r="W87" i="17"/>
  <c r="V87" i="17"/>
  <c r="AB87" i="17" s="1"/>
  <c r="X86" i="17"/>
  <c r="W86" i="17"/>
  <c r="V86" i="17"/>
  <c r="AB86" i="17" s="1"/>
  <c r="X85" i="17"/>
  <c r="W85" i="17"/>
  <c r="V85" i="17"/>
  <c r="AB85" i="17" s="1"/>
  <c r="X84" i="17"/>
  <c r="W84" i="17"/>
  <c r="V84" i="17"/>
  <c r="AB84" i="17" s="1"/>
  <c r="X83" i="17"/>
  <c r="W83" i="17"/>
  <c r="V83" i="17"/>
  <c r="AB83" i="17" s="1"/>
  <c r="X82" i="17"/>
  <c r="W82" i="17"/>
  <c r="V82" i="17"/>
  <c r="AB82" i="17" s="1"/>
  <c r="X81" i="17"/>
  <c r="W81" i="17"/>
  <c r="V81" i="17"/>
  <c r="AB81" i="17" s="1"/>
  <c r="X80" i="17"/>
  <c r="W80" i="17"/>
  <c r="V80" i="17"/>
  <c r="AB80" i="17" s="1"/>
  <c r="X79" i="17"/>
  <c r="W79" i="17"/>
  <c r="V79" i="17"/>
  <c r="AB79" i="17" s="1"/>
  <c r="X78" i="17"/>
  <c r="W78" i="17"/>
  <c r="V78" i="17"/>
  <c r="AB78" i="17" s="1"/>
  <c r="X77" i="17"/>
  <c r="W77" i="17"/>
  <c r="V77" i="17"/>
  <c r="AB77" i="17" s="1"/>
  <c r="X76" i="17"/>
  <c r="W76" i="17"/>
  <c r="V76" i="17"/>
  <c r="AB76" i="17" s="1"/>
  <c r="X75" i="17"/>
  <c r="W75" i="17"/>
  <c r="V75" i="17"/>
  <c r="AB75" i="17" s="1"/>
  <c r="X74" i="17"/>
  <c r="W74" i="17"/>
  <c r="V74" i="17"/>
  <c r="AB74" i="17" s="1"/>
  <c r="X73" i="17"/>
  <c r="W73" i="17"/>
  <c r="V73" i="17"/>
  <c r="AB73" i="17" s="1"/>
  <c r="X72" i="17"/>
  <c r="W72" i="17"/>
  <c r="V72" i="17"/>
  <c r="AB72" i="17" s="1"/>
  <c r="X71" i="17"/>
  <c r="W71" i="17"/>
  <c r="V71" i="17"/>
  <c r="AB71" i="17" s="1"/>
  <c r="X70" i="17"/>
  <c r="W70" i="17"/>
  <c r="V70" i="17"/>
  <c r="AB70" i="17" s="1"/>
  <c r="X69" i="17"/>
  <c r="W69" i="17"/>
  <c r="V69" i="17"/>
  <c r="AB69" i="17" s="1"/>
  <c r="X68" i="17"/>
  <c r="W68" i="17"/>
  <c r="V68" i="17"/>
  <c r="AB68" i="17" s="1"/>
  <c r="X67" i="17"/>
  <c r="W67" i="17"/>
  <c r="V67" i="17"/>
  <c r="AB67" i="17" s="1"/>
  <c r="X66" i="17"/>
  <c r="W66" i="17"/>
  <c r="V66" i="17"/>
  <c r="AB66" i="17" s="1"/>
  <c r="X65" i="17"/>
  <c r="W65" i="17"/>
  <c r="V65" i="17"/>
  <c r="AB65" i="17" s="1"/>
  <c r="X64" i="17"/>
  <c r="W64" i="17"/>
  <c r="AC64" i="17" s="1"/>
  <c r="V64" i="17"/>
  <c r="AB64" i="17" s="1"/>
  <c r="X63" i="17"/>
  <c r="W63" i="17"/>
  <c r="V63" i="17"/>
  <c r="AB63" i="17" s="1"/>
  <c r="X62" i="17"/>
  <c r="W62" i="17"/>
  <c r="V62" i="17"/>
  <c r="AB62" i="17" s="1"/>
  <c r="X61" i="17"/>
  <c r="W61" i="17"/>
  <c r="V61" i="17"/>
  <c r="AB61" i="17" s="1"/>
  <c r="X60" i="17"/>
  <c r="W60" i="17"/>
  <c r="V60" i="17"/>
  <c r="AB60" i="17" s="1"/>
  <c r="X59" i="17"/>
  <c r="W59" i="17"/>
  <c r="V59" i="17"/>
  <c r="AB59" i="17" s="1"/>
  <c r="X58" i="17"/>
  <c r="W58" i="17"/>
  <c r="V58" i="17"/>
  <c r="AB58" i="17" s="1"/>
  <c r="X57" i="17"/>
  <c r="W57" i="17"/>
  <c r="V57" i="17"/>
  <c r="AB57" i="17" s="1"/>
  <c r="X56" i="17"/>
  <c r="W56" i="17"/>
  <c r="AC56" i="17" s="1"/>
  <c r="V56" i="17"/>
  <c r="AB56" i="17" s="1"/>
  <c r="X55" i="17"/>
  <c r="W55" i="17"/>
  <c r="V55" i="17"/>
  <c r="AB55" i="17" s="1"/>
  <c r="X54" i="17"/>
  <c r="W54" i="17"/>
  <c r="V54" i="17"/>
  <c r="AB54" i="17" s="1"/>
  <c r="X53" i="17"/>
  <c r="W53" i="17"/>
  <c r="V53" i="17"/>
  <c r="AB53" i="17" s="1"/>
  <c r="X52" i="17"/>
  <c r="W52" i="17"/>
  <c r="V52" i="17"/>
  <c r="AB52" i="17" s="1"/>
  <c r="X51" i="17"/>
  <c r="W51" i="17"/>
  <c r="V51" i="17"/>
  <c r="AB51" i="17" s="1"/>
  <c r="X50" i="17"/>
  <c r="W50" i="17"/>
  <c r="V50" i="17"/>
  <c r="AB50" i="17" s="1"/>
  <c r="X49" i="17"/>
  <c r="W49" i="17"/>
  <c r="V49" i="17"/>
  <c r="AB49" i="17" s="1"/>
  <c r="X48" i="17"/>
  <c r="W48" i="17"/>
  <c r="AC48" i="17" s="1"/>
  <c r="V48" i="17"/>
  <c r="AB48" i="17" s="1"/>
  <c r="X47" i="17"/>
  <c r="W47" i="17"/>
  <c r="V47" i="17"/>
  <c r="AB47" i="17" s="1"/>
  <c r="X46" i="17"/>
  <c r="W46" i="17"/>
  <c r="V46" i="17"/>
  <c r="AB46" i="17" s="1"/>
  <c r="X45" i="17"/>
  <c r="W45" i="17"/>
  <c r="V45" i="17"/>
  <c r="AB45" i="17" s="1"/>
  <c r="X44" i="17"/>
  <c r="W44" i="17"/>
  <c r="V44" i="17"/>
  <c r="AB44" i="17" s="1"/>
  <c r="X43" i="17"/>
  <c r="W43" i="17"/>
  <c r="V43" i="17"/>
  <c r="AB43" i="17" s="1"/>
  <c r="X42" i="17"/>
  <c r="W42" i="17"/>
  <c r="V42" i="17"/>
  <c r="AB42" i="17" s="1"/>
  <c r="X41" i="17"/>
  <c r="W41" i="17"/>
  <c r="V41" i="17"/>
  <c r="AB41" i="17" s="1"/>
  <c r="X40" i="17"/>
  <c r="W40" i="17"/>
  <c r="AC40" i="17" s="1"/>
  <c r="V40" i="17"/>
  <c r="AB40" i="17" s="1"/>
  <c r="X39" i="17"/>
  <c r="AC39" i="17" s="1"/>
  <c r="W39" i="17"/>
  <c r="V39" i="17"/>
  <c r="AB39" i="17" s="1"/>
  <c r="X38" i="17"/>
  <c r="W38" i="17"/>
  <c r="V38" i="17"/>
  <c r="AB38" i="17" s="1"/>
  <c r="X37" i="17"/>
  <c r="W37" i="17"/>
  <c r="V37" i="17"/>
  <c r="AB37" i="17" s="1"/>
  <c r="X36" i="17"/>
  <c r="W36" i="17"/>
  <c r="V36" i="17"/>
  <c r="AB36" i="17" s="1"/>
  <c r="X35" i="17"/>
  <c r="AC35" i="17" s="1"/>
  <c r="W35" i="17"/>
  <c r="V35" i="17"/>
  <c r="AB35" i="17" s="1"/>
  <c r="X34" i="17"/>
  <c r="W34" i="17"/>
  <c r="V34" i="17"/>
  <c r="AB34" i="17" s="1"/>
  <c r="X33" i="17"/>
  <c r="W33" i="17"/>
  <c r="V33" i="17"/>
  <c r="AB33" i="17" s="1"/>
  <c r="X32" i="17"/>
  <c r="W32" i="17"/>
  <c r="AC32" i="17" s="1"/>
  <c r="V32" i="17"/>
  <c r="AB32" i="17" s="1"/>
  <c r="X31" i="17"/>
  <c r="AC31" i="17" s="1"/>
  <c r="W31" i="17"/>
  <c r="V31" i="17"/>
  <c r="AB31" i="17" s="1"/>
  <c r="X30" i="17"/>
  <c r="W30" i="17"/>
  <c r="V30" i="17"/>
  <c r="AB30" i="17" s="1"/>
  <c r="X29" i="17"/>
  <c r="W29" i="17"/>
  <c r="V29" i="17"/>
  <c r="AB29" i="17" s="1"/>
  <c r="X28" i="17"/>
  <c r="W28" i="17"/>
  <c r="V28" i="17"/>
  <c r="AB28" i="17" s="1"/>
  <c r="X27" i="17"/>
  <c r="W27" i="17"/>
  <c r="V27" i="17"/>
  <c r="AB27" i="17" s="1"/>
  <c r="X26" i="17"/>
  <c r="W26" i="17"/>
  <c r="V26" i="17"/>
  <c r="AB26" i="17" s="1"/>
  <c r="X25" i="17"/>
  <c r="W25" i="17"/>
  <c r="V25" i="17"/>
  <c r="AB25" i="17" s="1"/>
  <c r="X24" i="17"/>
  <c r="W24" i="17"/>
  <c r="AC24" i="17" s="1"/>
  <c r="V24" i="17"/>
  <c r="AB24" i="17" s="1"/>
  <c r="X23" i="17"/>
  <c r="AC23" i="17" s="1"/>
  <c r="W23" i="17"/>
  <c r="V23" i="17"/>
  <c r="AB23" i="17" s="1"/>
  <c r="X22" i="17"/>
  <c r="W22" i="17"/>
  <c r="V22" i="17"/>
  <c r="AB22" i="17" s="1"/>
  <c r="X21" i="17"/>
  <c r="W21" i="17"/>
  <c r="V21" i="17"/>
  <c r="AB21" i="17" s="1"/>
  <c r="X20" i="17"/>
  <c r="W20" i="17"/>
  <c r="V20" i="17"/>
  <c r="AB20" i="17" s="1"/>
  <c r="X19" i="17"/>
  <c r="AC19" i="17" s="1"/>
  <c r="W19" i="17"/>
  <c r="V19" i="17"/>
  <c r="AB19" i="17" s="1"/>
  <c r="X18" i="17"/>
  <c r="W18" i="17"/>
  <c r="AC18" i="17" s="1"/>
  <c r="V18" i="17"/>
  <c r="AB18" i="17" s="1"/>
  <c r="X17" i="17"/>
  <c r="W17" i="17"/>
  <c r="V17" i="17"/>
  <c r="AB17" i="17" s="1"/>
  <c r="X16" i="17"/>
  <c r="W16" i="17"/>
  <c r="AC16" i="17" s="1"/>
  <c r="V16" i="17"/>
  <c r="AB16" i="17" s="1"/>
  <c r="X15" i="17"/>
  <c r="AC15" i="17" s="1"/>
  <c r="W15" i="17"/>
  <c r="V15" i="17"/>
  <c r="AB15" i="17" s="1"/>
  <c r="X14" i="17"/>
  <c r="W14" i="17"/>
  <c r="V14" i="17"/>
  <c r="AB14" i="17" s="1"/>
  <c r="X13" i="17"/>
  <c r="W13" i="17"/>
  <c r="V13" i="17"/>
  <c r="AB13" i="17" s="1"/>
  <c r="X12" i="17"/>
  <c r="W12" i="17"/>
  <c r="V12" i="17"/>
  <c r="AB12" i="17" s="1"/>
  <c r="X11" i="17"/>
  <c r="W11" i="17"/>
  <c r="V11" i="17"/>
  <c r="AB11" i="17" s="1"/>
  <c r="X10" i="17"/>
  <c r="W10" i="17"/>
  <c r="V10" i="17"/>
  <c r="AB10" i="17" s="1"/>
  <c r="X9" i="17"/>
  <c r="W9" i="17"/>
  <c r="V9" i="17"/>
  <c r="AB9" i="17" s="1"/>
  <c r="X8" i="17"/>
  <c r="W8" i="17"/>
  <c r="V8" i="17"/>
  <c r="AB8" i="17" s="1"/>
  <c r="X7" i="17"/>
  <c r="AC7" i="17" s="1"/>
  <c r="W7" i="17"/>
  <c r="V7" i="17"/>
  <c r="AB7" i="17" s="1"/>
  <c r="X6" i="17"/>
  <c r="W6" i="17"/>
  <c r="V6" i="17"/>
  <c r="AB6" i="17" s="1"/>
  <c r="X5" i="17"/>
  <c r="W5" i="17"/>
  <c r="V5" i="17"/>
  <c r="AB5" i="17" s="1"/>
  <c r="X4" i="17"/>
  <c r="W4" i="17"/>
  <c r="AC4" i="17" s="1"/>
  <c r="V4" i="17"/>
  <c r="AB4" i="17" s="1"/>
  <c r="X3" i="17"/>
  <c r="AC3" i="17" s="1"/>
  <c r="W3" i="17"/>
  <c r="V3" i="17"/>
  <c r="AB3" i="17" s="1"/>
  <c r="X2" i="17"/>
  <c r="W2" i="17"/>
  <c r="AC2" i="17" s="1"/>
  <c r="V2" i="17"/>
  <c r="AB2" i="17" s="1"/>
  <c r="AE469" i="16"/>
  <c r="AE468" i="16"/>
  <c r="AE467" i="16"/>
  <c r="AE466" i="16"/>
  <c r="AE465" i="16"/>
  <c r="AE464" i="16"/>
  <c r="AE463" i="16"/>
  <c r="AE462" i="16"/>
  <c r="AE461" i="16"/>
  <c r="AE460" i="16"/>
  <c r="AE459" i="16"/>
  <c r="AE458" i="16"/>
  <c r="AE457" i="16"/>
  <c r="AA12" i="27" s="1"/>
  <c r="AE456" i="16"/>
  <c r="AD456" i="16"/>
  <c r="AC456" i="16"/>
  <c r="AE455" i="16"/>
  <c r="AD455" i="16"/>
  <c r="AC455" i="16"/>
  <c r="AE454" i="16"/>
  <c r="AD454" i="16"/>
  <c r="AC454" i="16"/>
  <c r="AE453" i="16"/>
  <c r="AD453" i="16"/>
  <c r="AC453" i="16"/>
  <c r="AE452" i="16"/>
  <c r="AD452" i="16"/>
  <c r="AC452" i="16"/>
  <c r="AE451" i="16"/>
  <c r="AD451" i="16"/>
  <c r="AC451" i="16"/>
  <c r="AE450" i="16"/>
  <c r="AD450" i="16"/>
  <c r="AC450" i="16"/>
  <c r="AE449" i="16"/>
  <c r="AD449" i="16"/>
  <c r="AC449" i="16"/>
  <c r="AE448" i="16"/>
  <c r="AD448" i="16"/>
  <c r="AC448" i="16"/>
  <c r="AE447" i="16"/>
  <c r="AD447" i="16"/>
  <c r="AC447" i="16"/>
  <c r="AE446" i="16"/>
  <c r="AD446" i="16"/>
  <c r="AC446" i="16"/>
  <c r="AE445" i="16"/>
  <c r="AD445" i="16"/>
  <c r="AC445" i="16"/>
  <c r="AE444" i="16"/>
  <c r="AE443" i="16"/>
  <c r="AE442" i="16"/>
  <c r="AE441" i="16"/>
  <c r="AE440" i="16"/>
  <c r="AE439" i="16"/>
  <c r="AE438" i="16"/>
  <c r="AE437" i="16"/>
  <c r="AE436" i="16"/>
  <c r="AE435" i="16"/>
  <c r="AE434" i="16"/>
  <c r="AE433" i="16"/>
  <c r="AE432" i="16"/>
  <c r="AE431" i="16"/>
  <c r="AE430" i="16"/>
  <c r="AE429" i="16"/>
  <c r="AE428" i="16"/>
  <c r="AE427" i="16"/>
  <c r="AE426" i="16"/>
  <c r="AE425" i="16"/>
  <c r="AE424" i="16"/>
  <c r="AE423" i="16"/>
  <c r="AE422" i="16"/>
  <c r="AE421" i="16"/>
  <c r="AE420" i="16"/>
  <c r="AE419" i="16"/>
  <c r="AE418" i="16"/>
  <c r="AE417" i="16"/>
  <c r="AE416" i="16"/>
  <c r="AE415" i="16"/>
  <c r="AE414" i="16"/>
  <c r="AE413" i="16"/>
  <c r="AE412" i="16"/>
  <c r="AE411" i="16"/>
  <c r="AE410" i="16"/>
  <c r="AE409" i="16"/>
  <c r="AE408" i="16"/>
  <c r="AE407" i="16"/>
  <c r="AE406" i="16"/>
  <c r="AE405" i="16"/>
  <c r="AE404" i="16"/>
  <c r="AE403" i="16"/>
  <c r="AE402" i="16"/>
  <c r="AE401" i="16"/>
  <c r="AE400" i="16"/>
  <c r="AE399" i="16"/>
  <c r="AE398" i="16"/>
  <c r="AE397" i="16"/>
  <c r="AE396" i="16"/>
  <c r="AE395" i="16"/>
  <c r="AE394" i="16"/>
  <c r="AE393" i="16"/>
  <c r="AE392" i="16"/>
  <c r="AE391" i="16"/>
  <c r="AE390" i="16"/>
  <c r="AE389" i="16"/>
  <c r="AE388" i="16"/>
  <c r="AE387" i="16"/>
  <c r="AE386" i="16"/>
  <c r="AE385" i="16"/>
  <c r="AE384" i="16"/>
  <c r="AE383" i="16"/>
  <c r="AE382" i="16"/>
  <c r="AE381" i="16"/>
  <c r="AE380" i="16"/>
  <c r="AE379" i="16"/>
  <c r="AE378" i="16"/>
  <c r="AE377" i="16"/>
  <c r="AE376" i="16"/>
  <c r="AE375" i="16"/>
  <c r="AE374" i="16"/>
  <c r="AE373" i="16"/>
  <c r="AE372" i="16"/>
  <c r="AE371" i="16"/>
  <c r="AE370" i="16"/>
  <c r="AA11" i="27" s="1"/>
  <c r="AE369" i="16"/>
  <c r="AE368" i="16"/>
  <c r="AE367" i="16"/>
  <c r="AE366" i="16"/>
  <c r="AE365" i="16"/>
  <c r="AE364" i="16"/>
  <c r="AE363" i="16"/>
  <c r="AE362" i="16"/>
  <c r="AE361" i="16"/>
  <c r="AE360" i="16"/>
  <c r="AE359" i="16"/>
  <c r="AE358" i="16"/>
  <c r="AE357" i="16"/>
  <c r="AE356" i="16"/>
  <c r="AE355" i="16"/>
  <c r="AE354" i="16"/>
  <c r="AE353" i="16"/>
  <c r="AE352" i="16"/>
  <c r="AE351" i="16"/>
  <c r="AE350" i="16"/>
  <c r="AE349" i="16"/>
  <c r="AE348" i="16"/>
  <c r="AE347" i="16"/>
  <c r="AE346" i="16"/>
  <c r="AE345" i="16"/>
  <c r="AE344" i="16"/>
  <c r="AE343" i="16"/>
  <c r="AE342" i="16"/>
  <c r="AE341" i="16"/>
  <c r="AE340" i="16"/>
  <c r="AE339" i="16"/>
  <c r="AE338" i="16"/>
  <c r="AE337" i="16"/>
  <c r="AE336" i="16"/>
  <c r="AE335" i="16"/>
  <c r="AE334" i="16"/>
  <c r="AE333" i="16"/>
  <c r="AE332" i="16"/>
  <c r="AE331" i="16"/>
  <c r="AE330" i="16"/>
  <c r="AE329" i="16"/>
  <c r="AE328" i="16"/>
  <c r="AE327" i="16"/>
  <c r="AE326" i="16"/>
  <c r="AE325" i="16"/>
  <c r="AE324" i="16"/>
  <c r="AE323" i="16"/>
  <c r="AE322" i="16"/>
  <c r="AE321" i="16"/>
  <c r="AA10" i="27" s="1"/>
  <c r="AE320" i="16"/>
  <c r="AE319" i="16"/>
  <c r="AE318" i="16"/>
  <c r="AE317" i="16"/>
  <c r="AE316" i="16"/>
  <c r="AE315" i="16"/>
  <c r="AE314" i="16"/>
  <c r="AE313" i="16"/>
  <c r="AE312" i="16"/>
  <c r="AE311" i="16"/>
  <c r="AE310" i="16"/>
  <c r="AE309" i="16"/>
  <c r="AE308" i="16"/>
  <c r="AE307" i="16"/>
  <c r="AE306" i="16"/>
  <c r="AE305" i="16"/>
  <c r="AE304" i="16"/>
  <c r="AE303" i="16"/>
  <c r="AE302" i="16"/>
  <c r="AE301" i="16"/>
  <c r="AE300" i="16"/>
  <c r="AE299" i="16"/>
  <c r="AE298" i="16"/>
  <c r="AE297" i="16"/>
  <c r="AE296" i="16"/>
  <c r="AE295" i="16"/>
  <c r="AE294" i="16"/>
  <c r="AE293" i="16"/>
  <c r="AE292" i="16"/>
  <c r="AE291" i="16"/>
  <c r="AE290" i="16"/>
  <c r="AE289" i="16"/>
  <c r="AE288" i="16"/>
  <c r="AE287" i="16"/>
  <c r="AE286" i="16"/>
  <c r="AE285" i="16"/>
  <c r="AE284" i="16"/>
  <c r="AE283" i="16"/>
  <c r="AE282" i="16"/>
  <c r="AE281" i="16"/>
  <c r="AE280" i="16"/>
  <c r="AE279" i="16"/>
  <c r="AE278" i="16"/>
  <c r="AE277" i="16"/>
  <c r="AE276" i="16"/>
  <c r="AE275" i="16"/>
  <c r="AE274" i="16"/>
  <c r="AE273" i="16"/>
  <c r="AE272" i="16"/>
  <c r="AE271" i="16"/>
  <c r="AE270" i="16"/>
  <c r="AE269" i="16"/>
  <c r="AE268" i="16"/>
  <c r="AE267" i="16"/>
  <c r="AE266" i="16"/>
  <c r="AE265" i="16"/>
  <c r="AE264" i="16"/>
  <c r="AE263" i="16"/>
  <c r="AE262" i="16"/>
  <c r="AE261" i="16"/>
  <c r="AE260" i="16"/>
  <c r="AE259" i="16"/>
  <c r="AE258" i="16"/>
  <c r="AE257" i="16"/>
  <c r="AE256" i="16"/>
  <c r="AE255" i="16"/>
  <c r="AE254" i="16"/>
  <c r="AE253" i="16"/>
  <c r="AE252" i="16"/>
  <c r="AE251" i="16"/>
  <c r="AE250" i="16"/>
  <c r="AE249" i="16"/>
  <c r="AE248" i="16"/>
  <c r="AE247" i="16"/>
  <c r="AE246" i="16"/>
  <c r="AE245" i="16"/>
  <c r="AE244" i="16"/>
  <c r="AE243" i="16"/>
  <c r="AE242" i="16"/>
  <c r="AE241" i="16"/>
  <c r="AE240" i="16"/>
  <c r="AE239" i="16"/>
  <c r="AE238" i="16"/>
  <c r="AE237" i="16"/>
  <c r="AE236" i="16"/>
  <c r="AE235" i="16"/>
  <c r="AE234" i="16"/>
  <c r="AE233" i="16"/>
  <c r="AE232" i="16"/>
  <c r="AE231" i="16"/>
  <c r="AE230" i="16"/>
  <c r="AE229" i="16"/>
  <c r="AE228" i="16"/>
  <c r="AE227" i="16"/>
  <c r="AE226" i="16"/>
  <c r="AE225" i="16"/>
  <c r="AE224" i="16"/>
  <c r="AE223" i="16"/>
  <c r="AE222" i="16"/>
  <c r="AE221" i="16"/>
  <c r="AE220" i="16"/>
  <c r="AE219" i="16"/>
  <c r="AE218" i="16"/>
  <c r="AE217" i="16"/>
  <c r="AE216" i="16"/>
  <c r="AE215" i="16"/>
  <c r="AE214" i="16"/>
  <c r="AE213" i="16"/>
  <c r="AE212" i="16"/>
  <c r="AE211" i="16"/>
  <c r="AE210" i="16"/>
  <c r="AE209" i="16"/>
  <c r="AE208" i="16"/>
  <c r="AE207" i="16"/>
  <c r="AE206" i="16"/>
  <c r="AE205" i="16"/>
  <c r="AE204" i="16"/>
  <c r="AE203" i="16"/>
  <c r="AE202" i="16"/>
  <c r="AE201" i="16"/>
  <c r="AE200" i="16"/>
  <c r="AE199" i="16"/>
  <c r="AE198" i="16"/>
  <c r="AE197" i="16"/>
  <c r="AE196" i="16"/>
  <c r="AE195" i="16"/>
  <c r="AE194" i="16"/>
  <c r="AE193" i="16"/>
  <c r="AE192" i="16"/>
  <c r="AE191" i="16"/>
  <c r="AE190" i="16"/>
  <c r="AE189" i="16"/>
  <c r="AE188" i="16"/>
  <c r="AE187" i="16"/>
  <c r="AE186" i="16"/>
  <c r="AE185" i="16"/>
  <c r="AE184" i="16"/>
  <c r="AE183" i="16"/>
  <c r="AE182" i="16"/>
  <c r="AE181" i="16"/>
  <c r="AE180" i="16"/>
  <c r="AE179" i="16"/>
  <c r="AE178" i="16"/>
  <c r="AE177" i="16"/>
  <c r="AE176" i="16"/>
  <c r="AE175" i="16"/>
  <c r="AE174" i="16"/>
  <c r="AE173" i="16"/>
  <c r="AE172" i="16"/>
  <c r="AE171" i="16"/>
  <c r="AE170" i="16"/>
  <c r="AA9" i="27" s="1"/>
  <c r="AE169" i="16"/>
  <c r="AE168" i="16"/>
  <c r="AE167" i="16"/>
  <c r="AE166" i="16"/>
  <c r="AE165" i="16"/>
  <c r="AE164" i="16"/>
  <c r="AE163" i="16"/>
  <c r="AE162" i="16"/>
  <c r="AE161" i="16"/>
  <c r="AE160" i="16"/>
  <c r="AE159" i="16"/>
  <c r="AE158" i="16"/>
  <c r="AG157" i="16"/>
  <c r="AF157" i="16"/>
  <c r="AG156" i="16"/>
  <c r="AF156" i="16"/>
  <c r="AG155" i="16"/>
  <c r="AF155" i="16"/>
  <c r="AG154" i="16"/>
  <c r="AF154" i="16"/>
  <c r="AG153" i="16"/>
  <c r="AF153" i="16"/>
  <c r="AG152" i="16"/>
  <c r="AF152" i="16"/>
  <c r="AG151" i="16"/>
  <c r="AF151" i="16"/>
  <c r="AG150" i="16"/>
  <c r="AF150" i="16"/>
  <c r="AG149" i="16"/>
  <c r="AF149" i="16"/>
  <c r="AG148" i="16"/>
  <c r="AF148" i="16"/>
  <c r="AG147" i="16"/>
  <c r="AF147" i="16"/>
  <c r="AG146" i="16"/>
  <c r="AF146" i="16"/>
  <c r="AE145" i="16"/>
  <c r="AE144" i="16"/>
  <c r="AE143" i="16"/>
  <c r="AE142" i="16"/>
  <c r="AE141" i="16"/>
  <c r="AE140" i="16"/>
  <c r="AE139" i="16"/>
  <c r="AE138" i="16"/>
  <c r="AE137" i="16"/>
  <c r="AE136" i="16"/>
  <c r="AE135" i="16"/>
  <c r="AE134" i="16"/>
  <c r="AE133" i="16"/>
  <c r="AE132" i="16"/>
  <c r="AE131" i="16"/>
  <c r="AE130" i="16"/>
  <c r="AE129" i="16"/>
  <c r="AE128" i="16"/>
  <c r="AE127" i="16"/>
  <c r="AE126" i="16"/>
  <c r="AE125" i="16"/>
  <c r="AE124" i="16"/>
  <c r="AE123" i="16"/>
  <c r="AE122" i="16"/>
  <c r="AG121" i="16"/>
  <c r="AF121" i="16"/>
  <c r="AG120" i="16"/>
  <c r="AF120" i="16"/>
  <c r="AG119" i="16"/>
  <c r="AF119" i="16"/>
  <c r="AG118" i="16"/>
  <c r="AF118" i="16"/>
  <c r="AG117" i="16"/>
  <c r="AF117" i="16"/>
  <c r="AG116" i="16"/>
  <c r="AF116" i="16"/>
  <c r="AG115" i="16"/>
  <c r="AF115" i="16"/>
  <c r="AG114" i="16"/>
  <c r="AF114" i="16"/>
  <c r="AG113" i="16"/>
  <c r="AF113" i="16"/>
  <c r="AG112" i="16"/>
  <c r="AF112" i="16"/>
  <c r="AG111" i="16"/>
  <c r="AF111" i="16"/>
  <c r="AG110" i="16"/>
  <c r="AF110" i="16"/>
  <c r="AE109" i="16"/>
  <c r="AE108" i="16"/>
  <c r="AE107" i="16"/>
  <c r="AE106" i="16"/>
  <c r="AE105" i="16"/>
  <c r="AE104" i="16"/>
  <c r="AE103" i="16"/>
  <c r="AE102" i="16"/>
  <c r="AE101" i="16"/>
  <c r="AE100" i="16"/>
  <c r="AE99" i="16"/>
  <c r="AE98" i="16"/>
  <c r="AE97" i="16"/>
  <c r="AE96" i="16"/>
  <c r="AE95" i="16"/>
  <c r="AE94" i="16"/>
  <c r="AE93" i="16"/>
  <c r="AE92" i="16"/>
  <c r="AE91" i="16"/>
  <c r="AE90" i="16"/>
  <c r="AE89" i="16"/>
  <c r="AE88" i="16"/>
  <c r="AE87" i="16"/>
  <c r="AE86" i="16"/>
  <c r="AG85" i="16"/>
  <c r="AF85" i="16"/>
  <c r="AG84" i="16"/>
  <c r="AF84" i="16"/>
  <c r="AG83" i="16"/>
  <c r="AF83" i="16"/>
  <c r="AG82" i="16"/>
  <c r="AF82" i="16"/>
  <c r="AG81" i="16"/>
  <c r="AF81" i="16"/>
  <c r="AG80" i="16"/>
  <c r="AF80" i="16"/>
  <c r="AG79" i="16"/>
  <c r="AF79" i="16"/>
  <c r="AG78" i="16"/>
  <c r="AF78" i="16"/>
  <c r="AG77" i="16"/>
  <c r="AF77" i="16"/>
  <c r="AG76" i="16"/>
  <c r="AF76" i="16"/>
  <c r="AG75" i="16"/>
  <c r="AF75" i="16"/>
  <c r="AG74" i="16"/>
  <c r="AF74" i="16"/>
  <c r="AE73" i="16"/>
  <c r="AE72" i="16"/>
  <c r="AE71" i="16"/>
  <c r="AE70" i="16"/>
  <c r="AE69" i="16"/>
  <c r="AE68" i="16"/>
  <c r="AE67" i="16"/>
  <c r="AE66" i="16"/>
  <c r="AE65" i="16"/>
  <c r="AE64" i="16"/>
  <c r="AE63" i="16"/>
  <c r="AE62" i="16"/>
  <c r="AE61" i="16"/>
  <c r="AE60" i="16"/>
  <c r="AE59" i="16"/>
  <c r="AE58" i="16"/>
  <c r="AE57" i="16"/>
  <c r="AE56" i="16"/>
  <c r="AE55" i="16"/>
  <c r="AE54" i="16"/>
  <c r="AE53" i="16"/>
  <c r="AE52" i="16"/>
  <c r="AE51" i="16"/>
  <c r="AE50" i="16"/>
  <c r="AG49" i="16"/>
  <c r="AF49" i="16"/>
  <c r="AG48" i="16"/>
  <c r="AF48" i="16"/>
  <c r="AG47" i="16"/>
  <c r="AF47" i="16"/>
  <c r="AG46" i="16"/>
  <c r="AF46" i="16"/>
  <c r="AG45" i="16"/>
  <c r="AF45" i="16"/>
  <c r="AG44" i="16"/>
  <c r="AF44" i="16"/>
  <c r="AG43" i="16"/>
  <c r="AF43" i="16"/>
  <c r="AG42" i="16"/>
  <c r="AF42" i="16"/>
  <c r="AG41" i="16"/>
  <c r="AF41" i="16"/>
  <c r="AG40" i="16"/>
  <c r="AF40" i="16"/>
  <c r="AG39" i="16"/>
  <c r="AF39" i="16"/>
  <c r="AG38" i="16"/>
  <c r="AF38" i="16"/>
  <c r="AE37" i="16"/>
  <c r="AE36" i="16"/>
  <c r="AE35" i="16"/>
  <c r="AE34" i="16"/>
  <c r="AE33" i="16"/>
  <c r="AE32" i="16"/>
  <c r="AE31" i="16"/>
  <c r="AE30" i="16"/>
  <c r="AE29" i="16"/>
  <c r="AE28" i="16"/>
  <c r="AE27" i="16"/>
  <c r="AE26" i="16"/>
  <c r="X469" i="16"/>
  <c r="AD469" i="16" s="1"/>
  <c r="W469" i="16"/>
  <c r="AC469" i="16" s="1"/>
  <c r="V469" i="16"/>
  <c r="AB469" i="16" s="1"/>
  <c r="X468" i="16"/>
  <c r="AD468" i="16" s="1"/>
  <c r="W468" i="16"/>
  <c r="AC468" i="16" s="1"/>
  <c r="V468" i="16"/>
  <c r="AB468" i="16" s="1"/>
  <c r="X467" i="16"/>
  <c r="AD467" i="16" s="1"/>
  <c r="W467" i="16"/>
  <c r="AC467" i="16" s="1"/>
  <c r="V467" i="16"/>
  <c r="AB467" i="16" s="1"/>
  <c r="X466" i="16"/>
  <c r="AD466" i="16" s="1"/>
  <c r="W466" i="16"/>
  <c r="AC466" i="16" s="1"/>
  <c r="V466" i="16"/>
  <c r="AB466" i="16" s="1"/>
  <c r="X465" i="16"/>
  <c r="AD465" i="16" s="1"/>
  <c r="W465" i="16"/>
  <c r="AC465" i="16" s="1"/>
  <c r="V465" i="16"/>
  <c r="AB465" i="16" s="1"/>
  <c r="X464" i="16"/>
  <c r="AD464" i="16" s="1"/>
  <c r="W464" i="16"/>
  <c r="AC464" i="16" s="1"/>
  <c r="V464" i="16"/>
  <c r="AB464" i="16" s="1"/>
  <c r="X463" i="16"/>
  <c r="AD463" i="16" s="1"/>
  <c r="W463" i="16"/>
  <c r="AC463" i="16" s="1"/>
  <c r="V463" i="16"/>
  <c r="AB463" i="16" s="1"/>
  <c r="X462" i="16"/>
  <c r="AD462" i="16" s="1"/>
  <c r="W462" i="16"/>
  <c r="AC462" i="16" s="1"/>
  <c r="V462" i="16"/>
  <c r="AB462" i="16" s="1"/>
  <c r="X461" i="16"/>
  <c r="AD461" i="16" s="1"/>
  <c r="W461" i="16"/>
  <c r="AC461" i="16" s="1"/>
  <c r="V461" i="16"/>
  <c r="AB461" i="16" s="1"/>
  <c r="X460" i="16"/>
  <c r="AD460" i="16" s="1"/>
  <c r="W460" i="16"/>
  <c r="AC460" i="16" s="1"/>
  <c r="V460" i="16"/>
  <c r="AB460" i="16" s="1"/>
  <c r="X459" i="16"/>
  <c r="AD459" i="16" s="1"/>
  <c r="W459" i="16"/>
  <c r="AC459" i="16" s="1"/>
  <c r="V459" i="16"/>
  <c r="AB459" i="16" s="1"/>
  <c r="X458" i="16"/>
  <c r="AD458" i="16" s="1"/>
  <c r="W458" i="16"/>
  <c r="AC458" i="16" s="1"/>
  <c r="V458" i="16"/>
  <c r="AB458" i="16" s="1"/>
  <c r="X457" i="16"/>
  <c r="AD457" i="16" s="1"/>
  <c r="AO6" i="16" s="1"/>
  <c r="W457" i="16"/>
  <c r="AC457" i="16" s="1"/>
  <c r="V457" i="16"/>
  <c r="AB457" i="16" s="1"/>
  <c r="V456" i="16"/>
  <c r="AB456" i="16" s="1"/>
  <c r="V455" i="16"/>
  <c r="AB455" i="16" s="1"/>
  <c r="V454" i="16"/>
  <c r="AB454" i="16" s="1"/>
  <c r="V453" i="16"/>
  <c r="AB453" i="16" s="1"/>
  <c r="V452" i="16"/>
  <c r="AB452" i="16" s="1"/>
  <c r="V451" i="16"/>
  <c r="AB451" i="16" s="1"/>
  <c r="V450" i="16"/>
  <c r="AB450" i="16" s="1"/>
  <c r="V449" i="16"/>
  <c r="AB449" i="16" s="1"/>
  <c r="V448" i="16"/>
  <c r="AB448" i="16" s="1"/>
  <c r="V447" i="16"/>
  <c r="AB447" i="16" s="1"/>
  <c r="V446" i="16"/>
  <c r="AB446" i="16" s="1"/>
  <c r="V445" i="16"/>
  <c r="AB445" i="16" s="1"/>
  <c r="X444" i="16"/>
  <c r="AD444" i="16" s="1"/>
  <c r="W444" i="16"/>
  <c r="AC444" i="16" s="1"/>
  <c r="V444" i="16"/>
  <c r="AB444" i="16" s="1"/>
  <c r="X443" i="16"/>
  <c r="AD443" i="16" s="1"/>
  <c r="W443" i="16"/>
  <c r="AC443" i="16" s="1"/>
  <c r="V443" i="16"/>
  <c r="AB443" i="16" s="1"/>
  <c r="X442" i="16"/>
  <c r="AD442" i="16" s="1"/>
  <c r="W442" i="16"/>
  <c r="AC442" i="16" s="1"/>
  <c r="V442" i="16"/>
  <c r="AB442" i="16" s="1"/>
  <c r="X441" i="16"/>
  <c r="AD441" i="16" s="1"/>
  <c r="W441" i="16"/>
  <c r="AC441" i="16" s="1"/>
  <c r="V441" i="16"/>
  <c r="AB441" i="16" s="1"/>
  <c r="X440" i="16"/>
  <c r="AD440" i="16" s="1"/>
  <c r="W440" i="16"/>
  <c r="AC440" i="16" s="1"/>
  <c r="V440" i="16"/>
  <c r="AB440" i="16" s="1"/>
  <c r="X439" i="16"/>
  <c r="AD439" i="16" s="1"/>
  <c r="W439" i="16"/>
  <c r="AC439" i="16" s="1"/>
  <c r="V439" i="16"/>
  <c r="AB439" i="16" s="1"/>
  <c r="X438" i="16"/>
  <c r="AD438" i="16" s="1"/>
  <c r="W438" i="16"/>
  <c r="AC438" i="16" s="1"/>
  <c r="V438" i="16"/>
  <c r="AB438" i="16" s="1"/>
  <c r="X437" i="16"/>
  <c r="AD437" i="16" s="1"/>
  <c r="W437" i="16"/>
  <c r="AC437" i="16" s="1"/>
  <c r="V437" i="16"/>
  <c r="AB437" i="16" s="1"/>
  <c r="X436" i="16"/>
  <c r="AD436" i="16" s="1"/>
  <c r="W436" i="16"/>
  <c r="AC436" i="16" s="1"/>
  <c r="V436" i="16"/>
  <c r="AB436" i="16" s="1"/>
  <c r="X435" i="16"/>
  <c r="AD435" i="16" s="1"/>
  <c r="W435" i="16"/>
  <c r="AC435" i="16" s="1"/>
  <c r="V435" i="16"/>
  <c r="AB435" i="16" s="1"/>
  <c r="X434" i="16"/>
  <c r="AD434" i="16" s="1"/>
  <c r="W434" i="16"/>
  <c r="AC434" i="16" s="1"/>
  <c r="V434" i="16"/>
  <c r="AB434" i="16" s="1"/>
  <c r="X433" i="16"/>
  <c r="AD433" i="16" s="1"/>
  <c r="W433" i="16"/>
  <c r="AC433" i="16" s="1"/>
  <c r="V433" i="16"/>
  <c r="AB433" i="16" s="1"/>
  <c r="X432" i="16"/>
  <c r="AD432" i="16" s="1"/>
  <c r="W432" i="16"/>
  <c r="AC432" i="16" s="1"/>
  <c r="V432" i="16"/>
  <c r="AB432" i="16" s="1"/>
  <c r="X431" i="16"/>
  <c r="AD431" i="16" s="1"/>
  <c r="W431" i="16"/>
  <c r="AC431" i="16" s="1"/>
  <c r="V431" i="16"/>
  <c r="AB431" i="16" s="1"/>
  <c r="X430" i="16"/>
  <c r="AD430" i="16" s="1"/>
  <c r="W430" i="16"/>
  <c r="AC430" i="16" s="1"/>
  <c r="V430" i="16"/>
  <c r="AB430" i="16" s="1"/>
  <c r="X429" i="16"/>
  <c r="AD429" i="16" s="1"/>
  <c r="W429" i="16"/>
  <c r="AC429" i="16" s="1"/>
  <c r="V429" i="16"/>
  <c r="AB429" i="16" s="1"/>
  <c r="X428" i="16"/>
  <c r="AD428" i="16" s="1"/>
  <c r="W428" i="16"/>
  <c r="AC428" i="16" s="1"/>
  <c r="V428" i="16"/>
  <c r="AB428" i="16" s="1"/>
  <c r="X427" i="16"/>
  <c r="AD427" i="16" s="1"/>
  <c r="W427" i="16"/>
  <c r="AC427" i="16" s="1"/>
  <c r="V427" i="16"/>
  <c r="AB427" i="16" s="1"/>
  <c r="X426" i="16"/>
  <c r="AD426" i="16" s="1"/>
  <c r="W426" i="16"/>
  <c r="AC426" i="16" s="1"/>
  <c r="V426" i="16"/>
  <c r="AB426" i="16" s="1"/>
  <c r="X425" i="16"/>
  <c r="AD425" i="16" s="1"/>
  <c r="W425" i="16"/>
  <c r="AC425" i="16" s="1"/>
  <c r="V425" i="16"/>
  <c r="AB425" i="16" s="1"/>
  <c r="X424" i="16"/>
  <c r="AD424" i="16" s="1"/>
  <c r="W424" i="16"/>
  <c r="AC424" i="16" s="1"/>
  <c r="V424" i="16"/>
  <c r="AB424" i="16" s="1"/>
  <c r="X423" i="16"/>
  <c r="AD423" i="16" s="1"/>
  <c r="W423" i="16"/>
  <c r="AC423" i="16" s="1"/>
  <c r="V423" i="16"/>
  <c r="AB423" i="16" s="1"/>
  <c r="X422" i="16"/>
  <c r="AD422" i="16" s="1"/>
  <c r="W422" i="16"/>
  <c r="AC422" i="16" s="1"/>
  <c r="V422" i="16"/>
  <c r="AB422" i="16" s="1"/>
  <c r="X421" i="16"/>
  <c r="AD421" i="16" s="1"/>
  <c r="W421" i="16"/>
  <c r="AC421" i="16" s="1"/>
  <c r="V421" i="16"/>
  <c r="AB421" i="16" s="1"/>
  <c r="X420" i="16"/>
  <c r="AD420" i="16" s="1"/>
  <c r="W420" i="16"/>
  <c r="AC420" i="16" s="1"/>
  <c r="V420" i="16"/>
  <c r="AB420" i="16" s="1"/>
  <c r="X419" i="16"/>
  <c r="AD419" i="16" s="1"/>
  <c r="W419" i="16"/>
  <c r="AC419" i="16" s="1"/>
  <c r="V419" i="16"/>
  <c r="AB419" i="16" s="1"/>
  <c r="X418" i="16"/>
  <c r="AD418" i="16" s="1"/>
  <c r="W418" i="16"/>
  <c r="AC418" i="16" s="1"/>
  <c r="V418" i="16"/>
  <c r="AB418" i="16" s="1"/>
  <c r="X417" i="16"/>
  <c r="AD417" i="16" s="1"/>
  <c r="W417" i="16"/>
  <c r="AC417" i="16" s="1"/>
  <c r="V417" i="16"/>
  <c r="AB417" i="16" s="1"/>
  <c r="X416" i="16"/>
  <c r="AD416" i="16" s="1"/>
  <c r="W416" i="16"/>
  <c r="AC416" i="16" s="1"/>
  <c r="V416" i="16"/>
  <c r="AB416" i="16" s="1"/>
  <c r="X415" i="16"/>
  <c r="AD415" i="16" s="1"/>
  <c r="W415" i="16"/>
  <c r="AC415" i="16" s="1"/>
  <c r="V415" i="16"/>
  <c r="AB415" i="16" s="1"/>
  <c r="X414" i="16"/>
  <c r="AD414" i="16" s="1"/>
  <c r="W414" i="16"/>
  <c r="AC414" i="16" s="1"/>
  <c r="V414" i="16"/>
  <c r="AB414" i="16" s="1"/>
  <c r="X413" i="16"/>
  <c r="AD413" i="16" s="1"/>
  <c r="W413" i="16"/>
  <c r="AC413" i="16" s="1"/>
  <c r="V413" i="16"/>
  <c r="AB413" i="16" s="1"/>
  <c r="X412" i="16"/>
  <c r="AD412" i="16" s="1"/>
  <c r="W412" i="16"/>
  <c r="AC412" i="16" s="1"/>
  <c r="V412" i="16"/>
  <c r="AB412" i="16" s="1"/>
  <c r="X411" i="16"/>
  <c r="AD411" i="16" s="1"/>
  <c r="W411" i="16"/>
  <c r="AC411" i="16" s="1"/>
  <c r="V411" i="16"/>
  <c r="AB411" i="16" s="1"/>
  <c r="X410" i="16"/>
  <c r="AD410" i="16" s="1"/>
  <c r="W410" i="16"/>
  <c r="AC410" i="16" s="1"/>
  <c r="V410" i="16"/>
  <c r="AB410" i="16" s="1"/>
  <c r="X409" i="16"/>
  <c r="AD409" i="16" s="1"/>
  <c r="W409" i="16"/>
  <c r="AC409" i="16" s="1"/>
  <c r="V409" i="16"/>
  <c r="AB409" i="16" s="1"/>
  <c r="X408" i="16"/>
  <c r="AD408" i="16" s="1"/>
  <c r="W408" i="16"/>
  <c r="AC408" i="16" s="1"/>
  <c r="V408" i="16"/>
  <c r="AB408" i="16" s="1"/>
  <c r="X407" i="16"/>
  <c r="AD407" i="16" s="1"/>
  <c r="W407" i="16"/>
  <c r="AC407" i="16" s="1"/>
  <c r="V407" i="16"/>
  <c r="AB407" i="16" s="1"/>
  <c r="X406" i="16"/>
  <c r="AD406" i="16" s="1"/>
  <c r="W406" i="16"/>
  <c r="AC406" i="16" s="1"/>
  <c r="V406" i="16"/>
  <c r="AB406" i="16" s="1"/>
  <c r="X405" i="16"/>
  <c r="AD405" i="16" s="1"/>
  <c r="W405" i="16"/>
  <c r="AC405" i="16" s="1"/>
  <c r="V405" i="16"/>
  <c r="AB405" i="16" s="1"/>
  <c r="X404" i="16"/>
  <c r="AD404" i="16" s="1"/>
  <c r="W404" i="16"/>
  <c r="AC404" i="16" s="1"/>
  <c r="V404" i="16"/>
  <c r="AB404" i="16" s="1"/>
  <c r="X403" i="16"/>
  <c r="AD403" i="16" s="1"/>
  <c r="W403" i="16"/>
  <c r="AC403" i="16" s="1"/>
  <c r="V403" i="16"/>
  <c r="AB403" i="16" s="1"/>
  <c r="X402" i="16"/>
  <c r="AD402" i="16" s="1"/>
  <c r="W402" i="16"/>
  <c r="AC402" i="16" s="1"/>
  <c r="V402" i="16"/>
  <c r="AB402" i="16" s="1"/>
  <c r="X401" i="16"/>
  <c r="AD401" i="16" s="1"/>
  <c r="W401" i="16"/>
  <c r="AC401" i="16" s="1"/>
  <c r="V401" i="16"/>
  <c r="AB401" i="16" s="1"/>
  <c r="X400" i="16"/>
  <c r="AD400" i="16" s="1"/>
  <c r="W400" i="16"/>
  <c r="AC400" i="16" s="1"/>
  <c r="V400" i="16"/>
  <c r="AB400" i="16" s="1"/>
  <c r="X399" i="16"/>
  <c r="AD399" i="16" s="1"/>
  <c r="W399" i="16"/>
  <c r="AC399" i="16" s="1"/>
  <c r="V399" i="16"/>
  <c r="AB399" i="16" s="1"/>
  <c r="X398" i="16"/>
  <c r="AD398" i="16" s="1"/>
  <c r="W398" i="16"/>
  <c r="AC398" i="16" s="1"/>
  <c r="V398" i="16"/>
  <c r="AB398" i="16" s="1"/>
  <c r="X397" i="16"/>
  <c r="AD397" i="16" s="1"/>
  <c r="W397" i="16"/>
  <c r="AC397" i="16" s="1"/>
  <c r="V397" i="16"/>
  <c r="AB397" i="16" s="1"/>
  <c r="X396" i="16"/>
  <c r="AD396" i="16" s="1"/>
  <c r="W396" i="16"/>
  <c r="AC396" i="16" s="1"/>
  <c r="V396" i="16"/>
  <c r="AB396" i="16" s="1"/>
  <c r="X395" i="16"/>
  <c r="AD395" i="16" s="1"/>
  <c r="W395" i="16"/>
  <c r="AC395" i="16" s="1"/>
  <c r="V395" i="16"/>
  <c r="AB395" i="16" s="1"/>
  <c r="X394" i="16"/>
  <c r="AD394" i="16" s="1"/>
  <c r="W394" i="16"/>
  <c r="AC394" i="16" s="1"/>
  <c r="V394" i="16"/>
  <c r="AB394" i="16" s="1"/>
  <c r="X393" i="16"/>
  <c r="AD393" i="16" s="1"/>
  <c r="W393" i="16"/>
  <c r="AC393" i="16" s="1"/>
  <c r="V393" i="16"/>
  <c r="AB393" i="16" s="1"/>
  <c r="X392" i="16"/>
  <c r="AD392" i="16" s="1"/>
  <c r="W392" i="16"/>
  <c r="AC392" i="16" s="1"/>
  <c r="V392" i="16"/>
  <c r="AB392" i="16" s="1"/>
  <c r="X391" i="16"/>
  <c r="AD391" i="16" s="1"/>
  <c r="W391" i="16"/>
  <c r="AC391" i="16" s="1"/>
  <c r="V391" i="16"/>
  <c r="AB391" i="16" s="1"/>
  <c r="X390" i="16"/>
  <c r="AD390" i="16" s="1"/>
  <c r="W390" i="16"/>
  <c r="AC390" i="16" s="1"/>
  <c r="V390" i="16"/>
  <c r="AB390" i="16" s="1"/>
  <c r="X389" i="16"/>
  <c r="AD389" i="16" s="1"/>
  <c r="W389" i="16"/>
  <c r="AC389" i="16" s="1"/>
  <c r="V389" i="16"/>
  <c r="AB389" i="16" s="1"/>
  <c r="X388" i="16"/>
  <c r="AD388" i="16" s="1"/>
  <c r="W388" i="16"/>
  <c r="AC388" i="16" s="1"/>
  <c r="V388" i="16"/>
  <c r="AB388" i="16" s="1"/>
  <c r="X387" i="16"/>
  <c r="AD387" i="16" s="1"/>
  <c r="W387" i="16"/>
  <c r="AC387" i="16" s="1"/>
  <c r="V387" i="16"/>
  <c r="AB387" i="16" s="1"/>
  <c r="X386" i="16"/>
  <c r="AD386" i="16" s="1"/>
  <c r="W386" i="16"/>
  <c r="AC386" i="16" s="1"/>
  <c r="V386" i="16"/>
  <c r="AB386" i="16" s="1"/>
  <c r="X385" i="16"/>
  <c r="AD385" i="16" s="1"/>
  <c r="W385" i="16"/>
  <c r="AC385" i="16" s="1"/>
  <c r="V385" i="16"/>
  <c r="AB385" i="16" s="1"/>
  <c r="X384" i="16"/>
  <c r="AD384" i="16" s="1"/>
  <c r="W384" i="16"/>
  <c r="AC384" i="16" s="1"/>
  <c r="V384" i="16"/>
  <c r="AB384" i="16" s="1"/>
  <c r="X383" i="16"/>
  <c r="AD383" i="16" s="1"/>
  <c r="W383" i="16"/>
  <c r="AC383" i="16" s="1"/>
  <c r="V383" i="16"/>
  <c r="AB383" i="16" s="1"/>
  <c r="X382" i="16"/>
  <c r="AD382" i="16" s="1"/>
  <c r="W382" i="16"/>
  <c r="AC382" i="16" s="1"/>
  <c r="V382" i="16"/>
  <c r="AB382" i="16" s="1"/>
  <c r="X381" i="16"/>
  <c r="AD381" i="16" s="1"/>
  <c r="W381" i="16"/>
  <c r="AC381" i="16" s="1"/>
  <c r="V381" i="16"/>
  <c r="AB381" i="16" s="1"/>
  <c r="X380" i="16"/>
  <c r="AD380" i="16" s="1"/>
  <c r="W380" i="16"/>
  <c r="AC380" i="16" s="1"/>
  <c r="V380" i="16"/>
  <c r="AB380" i="16" s="1"/>
  <c r="X379" i="16"/>
  <c r="AD379" i="16" s="1"/>
  <c r="W379" i="16"/>
  <c r="AC379" i="16" s="1"/>
  <c r="V379" i="16"/>
  <c r="AB379" i="16" s="1"/>
  <c r="X378" i="16"/>
  <c r="AD378" i="16" s="1"/>
  <c r="W378" i="16"/>
  <c r="AC378" i="16" s="1"/>
  <c r="V378" i="16"/>
  <c r="AB378" i="16" s="1"/>
  <c r="X377" i="16"/>
  <c r="AD377" i="16" s="1"/>
  <c r="W377" i="16"/>
  <c r="AC377" i="16" s="1"/>
  <c r="V377" i="16"/>
  <c r="AB377" i="16" s="1"/>
  <c r="X376" i="16"/>
  <c r="AD376" i="16" s="1"/>
  <c r="W376" i="16"/>
  <c r="AC376" i="16" s="1"/>
  <c r="V376" i="16"/>
  <c r="AB376" i="16" s="1"/>
  <c r="X375" i="16"/>
  <c r="AD375" i="16" s="1"/>
  <c r="W375" i="16"/>
  <c r="AC375" i="16" s="1"/>
  <c r="V375" i="16"/>
  <c r="AB375" i="16" s="1"/>
  <c r="X374" i="16"/>
  <c r="AD374" i="16" s="1"/>
  <c r="W374" i="16"/>
  <c r="AC374" i="16" s="1"/>
  <c r="V374" i="16"/>
  <c r="AB374" i="16" s="1"/>
  <c r="X373" i="16"/>
  <c r="AD373" i="16" s="1"/>
  <c r="W373" i="16"/>
  <c r="AC373" i="16" s="1"/>
  <c r="V373" i="16"/>
  <c r="AB373" i="16" s="1"/>
  <c r="X372" i="16"/>
  <c r="AD372" i="16" s="1"/>
  <c r="W372" i="16"/>
  <c r="AC372" i="16" s="1"/>
  <c r="V372" i="16"/>
  <c r="AB372" i="16" s="1"/>
  <c r="X371" i="16"/>
  <c r="AD371" i="16" s="1"/>
  <c r="W371" i="16"/>
  <c r="AC371" i="16" s="1"/>
  <c r="V371" i="16"/>
  <c r="AB371" i="16" s="1"/>
  <c r="X370" i="16"/>
  <c r="AD370" i="16" s="1"/>
  <c r="W370" i="16"/>
  <c r="AC370" i="16" s="1"/>
  <c r="V370" i="16"/>
  <c r="AB370" i="16" s="1"/>
  <c r="X369" i="16"/>
  <c r="AD369" i="16" s="1"/>
  <c r="W369" i="16"/>
  <c r="AC369" i="16" s="1"/>
  <c r="V369" i="16"/>
  <c r="AB369" i="16" s="1"/>
  <c r="X368" i="16"/>
  <c r="AD368" i="16" s="1"/>
  <c r="W368" i="16"/>
  <c r="AC368" i="16" s="1"/>
  <c r="V368" i="16"/>
  <c r="AB368" i="16" s="1"/>
  <c r="X367" i="16"/>
  <c r="AD367" i="16" s="1"/>
  <c r="W367" i="16"/>
  <c r="AC367" i="16" s="1"/>
  <c r="V367" i="16"/>
  <c r="AB367" i="16" s="1"/>
  <c r="X366" i="16"/>
  <c r="AD366" i="16" s="1"/>
  <c r="W366" i="16"/>
  <c r="AC366" i="16" s="1"/>
  <c r="V366" i="16"/>
  <c r="AB366" i="16" s="1"/>
  <c r="X365" i="16"/>
  <c r="AD365" i="16" s="1"/>
  <c r="W365" i="16"/>
  <c r="AC365" i="16" s="1"/>
  <c r="V365" i="16"/>
  <c r="AB365" i="16" s="1"/>
  <c r="X364" i="16"/>
  <c r="AD364" i="16" s="1"/>
  <c r="W364" i="16"/>
  <c r="AC364" i="16" s="1"/>
  <c r="V364" i="16"/>
  <c r="AB364" i="16" s="1"/>
  <c r="X363" i="16"/>
  <c r="AD363" i="16" s="1"/>
  <c r="W363" i="16"/>
  <c r="AC363" i="16" s="1"/>
  <c r="V363" i="16"/>
  <c r="AB363" i="16" s="1"/>
  <c r="X362" i="16"/>
  <c r="AD362" i="16" s="1"/>
  <c r="W362" i="16"/>
  <c r="AC362" i="16" s="1"/>
  <c r="V362" i="16"/>
  <c r="AB362" i="16" s="1"/>
  <c r="X361" i="16"/>
  <c r="AD361" i="16" s="1"/>
  <c r="W361" i="16"/>
  <c r="AC361" i="16" s="1"/>
  <c r="V361" i="16"/>
  <c r="AB361" i="16" s="1"/>
  <c r="X360" i="16"/>
  <c r="AD360" i="16" s="1"/>
  <c r="W360" i="16"/>
  <c r="AC360" i="16" s="1"/>
  <c r="V360" i="16"/>
  <c r="AB360" i="16" s="1"/>
  <c r="X359" i="16"/>
  <c r="AD359" i="16" s="1"/>
  <c r="W359" i="16"/>
  <c r="AC359" i="16" s="1"/>
  <c r="V359" i="16"/>
  <c r="AB359" i="16" s="1"/>
  <c r="X358" i="16"/>
  <c r="AD358" i="16" s="1"/>
  <c r="W358" i="16"/>
  <c r="AC358" i="16" s="1"/>
  <c r="V358" i="16"/>
  <c r="AB358" i="16" s="1"/>
  <c r="X357" i="16"/>
  <c r="AD357" i="16" s="1"/>
  <c r="W357" i="16"/>
  <c r="AC357" i="16" s="1"/>
  <c r="V357" i="16"/>
  <c r="AB357" i="16" s="1"/>
  <c r="X356" i="16"/>
  <c r="AD356" i="16" s="1"/>
  <c r="W356" i="16"/>
  <c r="AC356" i="16" s="1"/>
  <c r="V356" i="16"/>
  <c r="AB356" i="16" s="1"/>
  <c r="X355" i="16"/>
  <c r="AD355" i="16" s="1"/>
  <c r="W355" i="16"/>
  <c r="AC355" i="16" s="1"/>
  <c r="V355" i="16"/>
  <c r="AB355" i="16" s="1"/>
  <c r="X354" i="16"/>
  <c r="AD354" i="16" s="1"/>
  <c r="W354" i="16"/>
  <c r="AC354" i="16" s="1"/>
  <c r="V354" i="16"/>
  <c r="AB354" i="16" s="1"/>
  <c r="X353" i="16"/>
  <c r="AD353" i="16" s="1"/>
  <c r="W353" i="16"/>
  <c r="AC353" i="16" s="1"/>
  <c r="V353" i="16"/>
  <c r="AB353" i="16" s="1"/>
  <c r="X352" i="16"/>
  <c r="AD352" i="16" s="1"/>
  <c r="W352" i="16"/>
  <c r="AC352" i="16" s="1"/>
  <c r="V352" i="16"/>
  <c r="AB352" i="16" s="1"/>
  <c r="X351" i="16"/>
  <c r="AD351" i="16" s="1"/>
  <c r="W351" i="16"/>
  <c r="AC351" i="16" s="1"/>
  <c r="V351" i="16"/>
  <c r="AB351" i="16" s="1"/>
  <c r="X350" i="16"/>
  <c r="AD350" i="16" s="1"/>
  <c r="W350" i="16"/>
  <c r="AC350" i="16" s="1"/>
  <c r="V350" i="16"/>
  <c r="AB350" i="16" s="1"/>
  <c r="X349" i="16"/>
  <c r="AD349" i="16" s="1"/>
  <c r="W349" i="16"/>
  <c r="AC349" i="16" s="1"/>
  <c r="V349" i="16"/>
  <c r="AB349" i="16" s="1"/>
  <c r="X348" i="16"/>
  <c r="AD348" i="16" s="1"/>
  <c r="W348" i="16"/>
  <c r="AC348" i="16" s="1"/>
  <c r="V348" i="16"/>
  <c r="AB348" i="16" s="1"/>
  <c r="X347" i="16"/>
  <c r="AD347" i="16" s="1"/>
  <c r="W347" i="16"/>
  <c r="AC347" i="16" s="1"/>
  <c r="V347" i="16"/>
  <c r="AB347" i="16" s="1"/>
  <c r="X346" i="16"/>
  <c r="AD346" i="16" s="1"/>
  <c r="W346" i="16"/>
  <c r="AC346" i="16" s="1"/>
  <c r="V346" i="16"/>
  <c r="AB346" i="16" s="1"/>
  <c r="X345" i="16"/>
  <c r="AD345" i="16" s="1"/>
  <c r="W345" i="16"/>
  <c r="AC345" i="16" s="1"/>
  <c r="V345" i="16"/>
  <c r="AB345" i="16" s="1"/>
  <c r="X344" i="16"/>
  <c r="AD344" i="16" s="1"/>
  <c r="W344" i="16"/>
  <c r="AC344" i="16" s="1"/>
  <c r="V344" i="16"/>
  <c r="AB344" i="16" s="1"/>
  <c r="X343" i="16"/>
  <c r="AD343" i="16" s="1"/>
  <c r="W343" i="16"/>
  <c r="AC343" i="16" s="1"/>
  <c r="V343" i="16"/>
  <c r="AB343" i="16" s="1"/>
  <c r="X342" i="16"/>
  <c r="AD342" i="16" s="1"/>
  <c r="W342" i="16"/>
  <c r="AC342" i="16" s="1"/>
  <c r="V342" i="16"/>
  <c r="AB342" i="16" s="1"/>
  <c r="X341" i="16"/>
  <c r="AD341" i="16" s="1"/>
  <c r="W341" i="16"/>
  <c r="AC341" i="16" s="1"/>
  <c r="V341" i="16"/>
  <c r="AB341" i="16" s="1"/>
  <c r="X340" i="16"/>
  <c r="AD340" i="16" s="1"/>
  <c r="W340" i="16"/>
  <c r="AC340" i="16" s="1"/>
  <c r="V340" i="16"/>
  <c r="AB340" i="16" s="1"/>
  <c r="X339" i="16"/>
  <c r="AD339" i="16" s="1"/>
  <c r="W339" i="16"/>
  <c r="AC339" i="16" s="1"/>
  <c r="V339" i="16"/>
  <c r="AB339" i="16" s="1"/>
  <c r="X338" i="16"/>
  <c r="AD338" i="16" s="1"/>
  <c r="W338" i="16"/>
  <c r="AC338" i="16" s="1"/>
  <c r="V338" i="16"/>
  <c r="AB338" i="16" s="1"/>
  <c r="X337" i="16"/>
  <c r="AD337" i="16" s="1"/>
  <c r="W337" i="16"/>
  <c r="AC337" i="16" s="1"/>
  <c r="V337" i="16"/>
  <c r="AB337" i="16" s="1"/>
  <c r="X336" i="16"/>
  <c r="AD336" i="16" s="1"/>
  <c r="W336" i="16"/>
  <c r="AC336" i="16" s="1"/>
  <c r="V336" i="16"/>
  <c r="AB336" i="16" s="1"/>
  <c r="X335" i="16"/>
  <c r="AD335" i="16" s="1"/>
  <c r="W335" i="16"/>
  <c r="AC335" i="16" s="1"/>
  <c r="V335" i="16"/>
  <c r="AB335" i="16" s="1"/>
  <c r="X334" i="16"/>
  <c r="AD334" i="16" s="1"/>
  <c r="W334" i="16"/>
  <c r="AC334" i="16" s="1"/>
  <c r="V334" i="16"/>
  <c r="AB334" i="16" s="1"/>
  <c r="X333" i="16"/>
  <c r="AD333" i="16" s="1"/>
  <c r="W333" i="16"/>
  <c r="AC333" i="16" s="1"/>
  <c r="V333" i="16"/>
  <c r="AB333" i="16" s="1"/>
  <c r="X332" i="16"/>
  <c r="AD332" i="16" s="1"/>
  <c r="W332" i="16"/>
  <c r="AC332" i="16" s="1"/>
  <c r="V332" i="16"/>
  <c r="AB332" i="16" s="1"/>
  <c r="X331" i="16"/>
  <c r="AD331" i="16" s="1"/>
  <c r="W331" i="16"/>
  <c r="AC331" i="16" s="1"/>
  <c r="V331" i="16"/>
  <c r="AB331" i="16" s="1"/>
  <c r="X330" i="16"/>
  <c r="AD330" i="16" s="1"/>
  <c r="W330" i="16"/>
  <c r="AC330" i="16" s="1"/>
  <c r="V330" i="16"/>
  <c r="AB330" i="16" s="1"/>
  <c r="X329" i="16"/>
  <c r="AD329" i="16" s="1"/>
  <c r="W329" i="16"/>
  <c r="AC329" i="16" s="1"/>
  <c r="V329" i="16"/>
  <c r="AB329" i="16" s="1"/>
  <c r="X328" i="16"/>
  <c r="AD328" i="16" s="1"/>
  <c r="W328" i="16"/>
  <c r="AC328" i="16" s="1"/>
  <c r="V328" i="16"/>
  <c r="AB328" i="16" s="1"/>
  <c r="X327" i="16"/>
  <c r="AD327" i="16" s="1"/>
  <c r="W327" i="16"/>
  <c r="AC327" i="16" s="1"/>
  <c r="V327" i="16"/>
  <c r="AB327" i="16" s="1"/>
  <c r="X326" i="16"/>
  <c r="AD326" i="16" s="1"/>
  <c r="W326" i="16"/>
  <c r="AC326" i="16" s="1"/>
  <c r="V326" i="16"/>
  <c r="AB326" i="16" s="1"/>
  <c r="X325" i="16"/>
  <c r="AD325" i="16" s="1"/>
  <c r="W325" i="16"/>
  <c r="AC325" i="16" s="1"/>
  <c r="V325" i="16"/>
  <c r="AB325" i="16" s="1"/>
  <c r="X324" i="16"/>
  <c r="AD324" i="16" s="1"/>
  <c r="W324" i="16"/>
  <c r="AC324" i="16" s="1"/>
  <c r="V324" i="16"/>
  <c r="AB324" i="16" s="1"/>
  <c r="X323" i="16"/>
  <c r="AD323" i="16" s="1"/>
  <c r="W323" i="16"/>
  <c r="AC323" i="16" s="1"/>
  <c r="V323" i="16"/>
  <c r="AB323" i="16" s="1"/>
  <c r="X322" i="16"/>
  <c r="AD322" i="16" s="1"/>
  <c r="W322" i="16"/>
  <c r="AC322" i="16" s="1"/>
  <c r="V322" i="16"/>
  <c r="AB322" i="16" s="1"/>
  <c r="X321" i="16"/>
  <c r="AD321" i="16" s="1"/>
  <c r="AO4" i="16" s="1"/>
  <c r="W321" i="16"/>
  <c r="AC321" i="16" s="1"/>
  <c r="V321" i="16"/>
  <c r="AB321" i="16" s="1"/>
  <c r="X320" i="16"/>
  <c r="AD320" i="16" s="1"/>
  <c r="W320" i="16"/>
  <c r="AC320" i="16" s="1"/>
  <c r="V320" i="16"/>
  <c r="AB320" i="16" s="1"/>
  <c r="X319" i="16"/>
  <c r="AD319" i="16" s="1"/>
  <c r="W319" i="16"/>
  <c r="AC319" i="16" s="1"/>
  <c r="V319" i="16"/>
  <c r="AB319" i="16" s="1"/>
  <c r="X318" i="16"/>
  <c r="AD318" i="16" s="1"/>
  <c r="W318" i="16"/>
  <c r="AC318" i="16" s="1"/>
  <c r="V318" i="16"/>
  <c r="AB318" i="16" s="1"/>
  <c r="X317" i="16"/>
  <c r="AD317" i="16" s="1"/>
  <c r="W317" i="16"/>
  <c r="AC317" i="16" s="1"/>
  <c r="V317" i="16"/>
  <c r="AB317" i="16" s="1"/>
  <c r="X316" i="16"/>
  <c r="AD316" i="16" s="1"/>
  <c r="W316" i="16"/>
  <c r="AC316" i="16" s="1"/>
  <c r="V316" i="16"/>
  <c r="AB316" i="16" s="1"/>
  <c r="X315" i="16"/>
  <c r="AD315" i="16" s="1"/>
  <c r="W315" i="16"/>
  <c r="AC315" i="16" s="1"/>
  <c r="V315" i="16"/>
  <c r="AB315" i="16" s="1"/>
  <c r="X314" i="16"/>
  <c r="AD314" i="16" s="1"/>
  <c r="W314" i="16"/>
  <c r="AC314" i="16" s="1"/>
  <c r="V314" i="16"/>
  <c r="AB314" i="16" s="1"/>
  <c r="X313" i="16"/>
  <c r="AD313" i="16" s="1"/>
  <c r="W313" i="16"/>
  <c r="AC313" i="16" s="1"/>
  <c r="V313" i="16"/>
  <c r="AB313" i="16" s="1"/>
  <c r="X312" i="16"/>
  <c r="AD312" i="16" s="1"/>
  <c r="W312" i="16"/>
  <c r="AC312" i="16" s="1"/>
  <c r="V312" i="16"/>
  <c r="AB312" i="16" s="1"/>
  <c r="X311" i="16"/>
  <c r="AD311" i="16" s="1"/>
  <c r="W311" i="16"/>
  <c r="AC311" i="16" s="1"/>
  <c r="V311" i="16"/>
  <c r="AB311" i="16" s="1"/>
  <c r="X310" i="16"/>
  <c r="AD310" i="16" s="1"/>
  <c r="W310" i="16"/>
  <c r="AC310" i="16" s="1"/>
  <c r="V310" i="16"/>
  <c r="AB310" i="16" s="1"/>
  <c r="X309" i="16"/>
  <c r="AD309" i="16" s="1"/>
  <c r="W309" i="16"/>
  <c r="AC309" i="16" s="1"/>
  <c r="V309" i="16"/>
  <c r="AB309" i="16" s="1"/>
  <c r="X308" i="16"/>
  <c r="AD308" i="16" s="1"/>
  <c r="W308" i="16"/>
  <c r="AC308" i="16" s="1"/>
  <c r="V308" i="16"/>
  <c r="AB308" i="16" s="1"/>
  <c r="X307" i="16"/>
  <c r="AD307" i="16" s="1"/>
  <c r="W307" i="16"/>
  <c r="AC307" i="16" s="1"/>
  <c r="V307" i="16"/>
  <c r="AB307" i="16" s="1"/>
  <c r="X306" i="16"/>
  <c r="AD306" i="16" s="1"/>
  <c r="W306" i="16"/>
  <c r="AC306" i="16" s="1"/>
  <c r="V306" i="16"/>
  <c r="AB306" i="16" s="1"/>
  <c r="X305" i="16"/>
  <c r="AD305" i="16" s="1"/>
  <c r="W305" i="16"/>
  <c r="AC305" i="16" s="1"/>
  <c r="V305" i="16"/>
  <c r="AB305" i="16" s="1"/>
  <c r="X304" i="16"/>
  <c r="AD304" i="16" s="1"/>
  <c r="W304" i="16"/>
  <c r="AC304" i="16" s="1"/>
  <c r="V304" i="16"/>
  <c r="AB304" i="16" s="1"/>
  <c r="X303" i="16"/>
  <c r="AD303" i="16" s="1"/>
  <c r="W303" i="16"/>
  <c r="AC303" i="16" s="1"/>
  <c r="V303" i="16"/>
  <c r="AB303" i="16" s="1"/>
  <c r="X302" i="16"/>
  <c r="AD302" i="16" s="1"/>
  <c r="W302" i="16"/>
  <c r="AC302" i="16" s="1"/>
  <c r="V302" i="16"/>
  <c r="AB302" i="16" s="1"/>
  <c r="X301" i="16"/>
  <c r="AD301" i="16" s="1"/>
  <c r="W301" i="16"/>
  <c r="AC301" i="16" s="1"/>
  <c r="V301" i="16"/>
  <c r="AB301" i="16" s="1"/>
  <c r="X300" i="16"/>
  <c r="AD300" i="16" s="1"/>
  <c r="W300" i="16"/>
  <c r="AC300" i="16" s="1"/>
  <c r="V300" i="16"/>
  <c r="AB300" i="16" s="1"/>
  <c r="X299" i="16"/>
  <c r="AD299" i="16" s="1"/>
  <c r="W299" i="16"/>
  <c r="AC299" i="16" s="1"/>
  <c r="V299" i="16"/>
  <c r="AB299" i="16" s="1"/>
  <c r="X298" i="16"/>
  <c r="AD298" i="16" s="1"/>
  <c r="W298" i="16"/>
  <c r="AC298" i="16" s="1"/>
  <c r="V298" i="16"/>
  <c r="AB298" i="16" s="1"/>
  <c r="X297" i="16"/>
  <c r="AD297" i="16" s="1"/>
  <c r="W297" i="16"/>
  <c r="AC297" i="16" s="1"/>
  <c r="V297" i="16"/>
  <c r="AB297" i="16" s="1"/>
  <c r="X296" i="16"/>
  <c r="AD296" i="16" s="1"/>
  <c r="W296" i="16"/>
  <c r="AC296" i="16" s="1"/>
  <c r="V296" i="16"/>
  <c r="AB296" i="16" s="1"/>
  <c r="X295" i="16"/>
  <c r="AD295" i="16" s="1"/>
  <c r="W295" i="16"/>
  <c r="AC295" i="16" s="1"/>
  <c r="V295" i="16"/>
  <c r="AB295" i="16" s="1"/>
  <c r="X294" i="16"/>
  <c r="AD294" i="16" s="1"/>
  <c r="W294" i="16"/>
  <c r="AC294" i="16" s="1"/>
  <c r="V294" i="16"/>
  <c r="AB294" i="16" s="1"/>
  <c r="X293" i="16"/>
  <c r="AD293" i="16" s="1"/>
  <c r="W293" i="16"/>
  <c r="AC293" i="16" s="1"/>
  <c r="V293" i="16"/>
  <c r="AB293" i="16" s="1"/>
  <c r="X292" i="16"/>
  <c r="AD292" i="16" s="1"/>
  <c r="W292" i="16"/>
  <c r="AC292" i="16" s="1"/>
  <c r="V292" i="16"/>
  <c r="AB292" i="16" s="1"/>
  <c r="X291" i="16"/>
  <c r="AD291" i="16" s="1"/>
  <c r="W291" i="16"/>
  <c r="AC291" i="16" s="1"/>
  <c r="V291" i="16"/>
  <c r="AB291" i="16" s="1"/>
  <c r="X290" i="16"/>
  <c r="AD290" i="16" s="1"/>
  <c r="W290" i="16"/>
  <c r="AC290" i="16" s="1"/>
  <c r="V290" i="16"/>
  <c r="AB290" i="16" s="1"/>
  <c r="X289" i="16"/>
  <c r="AD289" i="16" s="1"/>
  <c r="W289" i="16"/>
  <c r="AC289" i="16" s="1"/>
  <c r="V289" i="16"/>
  <c r="AB289" i="16" s="1"/>
  <c r="X288" i="16"/>
  <c r="AD288" i="16" s="1"/>
  <c r="W288" i="16"/>
  <c r="AC288" i="16" s="1"/>
  <c r="V288" i="16"/>
  <c r="AB288" i="16" s="1"/>
  <c r="X287" i="16"/>
  <c r="AD287" i="16" s="1"/>
  <c r="W287" i="16"/>
  <c r="AC287" i="16" s="1"/>
  <c r="V287" i="16"/>
  <c r="AB287" i="16" s="1"/>
  <c r="X286" i="16"/>
  <c r="AD286" i="16" s="1"/>
  <c r="W286" i="16"/>
  <c r="AC286" i="16" s="1"/>
  <c r="V286" i="16"/>
  <c r="AB286" i="16" s="1"/>
  <c r="X285" i="16"/>
  <c r="AD285" i="16" s="1"/>
  <c r="W285" i="16"/>
  <c r="AC285" i="16" s="1"/>
  <c r="V285" i="16"/>
  <c r="AB285" i="16" s="1"/>
  <c r="X284" i="16"/>
  <c r="AD284" i="16" s="1"/>
  <c r="W284" i="16"/>
  <c r="AC284" i="16" s="1"/>
  <c r="V284" i="16"/>
  <c r="AB284" i="16" s="1"/>
  <c r="X283" i="16"/>
  <c r="AD283" i="16" s="1"/>
  <c r="W283" i="16"/>
  <c r="AC283" i="16" s="1"/>
  <c r="V283" i="16"/>
  <c r="AB283" i="16" s="1"/>
  <c r="X282" i="16"/>
  <c r="AD282" i="16" s="1"/>
  <c r="W282" i="16"/>
  <c r="AC282" i="16" s="1"/>
  <c r="V282" i="16"/>
  <c r="AB282" i="16" s="1"/>
  <c r="X281" i="16"/>
  <c r="AD281" i="16" s="1"/>
  <c r="W281" i="16"/>
  <c r="AC281" i="16" s="1"/>
  <c r="V281" i="16"/>
  <c r="AB281" i="16" s="1"/>
  <c r="X280" i="16"/>
  <c r="AD280" i="16" s="1"/>
  <c r="W280" i="16"/>
  <c r="AC280" i="16" s="1"/>
  <c r="V280" i="16"/>
  <c r="AB280" i="16" s="1"/>
  <c r="X279" i="16"/>
  <c r="AD279" i="16" s="1"/>
  <c r="W279" i="16"/>
  <c r="AC279" i="16" s="1"/>
  <c r="V279" i="16"/>
  <c r="AB279" i="16" s="1"/>
  <c r="X278" i="16"/>
  <c r="AD278" i="16" s="1"/>
  <c r="W278" i="16"/>
  <c r="AC278" i="16" s="1"/>
  <c r="V278" i="16"/>
  <c r="AB278" i="16" s="1"/>
  <c r="X277" i="16"/>
  <c r="AD277" i="16" s="1"/>
  <c r="W277" i="16"/>
  <c r="AC277" i="16" s="1"/>
  <c r="V277" i="16"/>
  <c r="AB277" i="16" s="1"/>
  <c r="X276" i="16"/>
  <c r="AD276" i="16" s="1"/>
  <c r="W276" i="16"/>
  <c r="AC276" i="16" s="1"/>
  <c r="V276" i="16"/>
  <c r="AB276" i="16" s="1"/>
  <c r="X275" i="16"/>
  <c r="AD275" i="16" s="1"/>
  <c r="W275" i="16"/>
  <c r="AC275" i="16" s="1"/>
  <c r="V275" i="16"/>
  <c r="AB275" i="16" s="1"/>
  <c r="X274" i="16"/>
  <c r="AD274" i="16" s="1"/>
  <c r="W274" i="16"/>
  <c r="AC274" i="16" s="1"/>
  <c r="V274" i="16"/>
  <c r="AB274" i="16" s="1"/>
  <c r="X273" i="16"/>
  <c r="AD273" i="16" s="1"/>
  <c r="W273" i="16"/>
  <c r="AC273" i="16" s="1"/>
  <c r="V273" i="16"/>
  <c r="AB273" i="16" s="1"/>
  <c r="X272" i="16"/>
  <c r="AD272" i="16" s="1"/>
  <c r="W272" i="16"/>
  <c r="AC272" i="16" s="1"/>
  <c r="V272" i="16"/>
  <c r="AB272" i="16" s="1"/>
  <c r="X271" i="16"/>
  <c r="AD271" i="16" s="1"/>
  <c r="W271" i="16"/>
  <c r="AC271" i="16" s="1"/>
  <c r="V271" i="16"/>
  <c r="AB271" i="16" s="1"/>
  <c r="X270" i="16"/>
  <c r="AD270" i="16" s="1"/>
  <c r="W270" i="16"/>
  <c r="AC270" i="16" s="1"/>
  <c r="V270" i="16"/>
  <c r="AB270" i="16" s="1"/>
  <c r="X269" i="16"/>
  <c r="AD269" i="16" s="1"/>
  <c r="W269" i="16"/>
  <c r="AC269" i="16" s="1"/>
  <c r="V269" i="16"/>
  <c r="AB269" i="16" s="1"/>
  <c r="X268" i="16"/>
  <c r="AD268" i="16" s="1"/>
  <c r="W268" i="16"/>
  <c r="AC268" i="16" s="1"/>
  <c r="V268" i="16"/>
  <c r="AB268" i="16" s="1"/>
  <c r="X267" i="16"/>
  <c r="AD267" i="16" s="1"/>
  <c r="W267" i="16"/>
  <c r="AC267" i="16" s="1"/>
  <c r="V267" i="16"/>
  <c r="AB267" i="16" s="1"/>
  <c r="X266" i="16"/>
  <c r="AD266" i="16" s="1"/>
  <c r="W266" i="16"/>
  <c r="AC266" i="16" s="1"/>
  <c r="V266" i="16"/>
  <c r="AB266" i="16" s="1"/>
  <c r="X265" i="16"/>
  <c r="AD265" i="16" s="1"/>
  <c r="W265" i="16"/>
  <c r="AC265" i="16" s="1"/>
  <c r="V265" i="16"/>
  <c r="AB265" i="16" s="1"/>
  <c r="X264" i="16"/>
  <c r="AD264" i="16" s="1"/>
  <c r="W264" i="16"/>
  <c r="AC264" i="16" s="1"/>
  <c r="V264" i="16"/>
  <c r="AB264" i="16" s="1"/>
  <c r="X263" i="16"/>
  <c r="AD263" i="16" s="1"/>
  <c r="W263" i="16"/>
  <c r="AC263" i="16" s="1"/>
  <c r="V263" i="16"/>
  <c r="AB263" i="16" s="1"/>
  <c r="X262" i="16"/>
  <c r="AD262" i="16" s="1"/>
  <c r="W262" i="16"/>
  <c r="AC262" i="16" s="1"/>
  <c r="V262" i="16"/>
  <c r="AB262" i="16" s="1"/>
  <c r="X261" i="16"/>
  <c r="AD261" i="16" s="1"/>
  <c r="W261" i="16"/>
  <c r="AC261" i="16" s="1"/>
  <c r="V261" i="16"/>
  <c r="AB261" i="16" s="1"/>
  <c r="X260" i="16"/>
  <c r="AD260" i="16" s="1"/>
  <c r="W260" i="16"/>
  <c r="AC260" i="16" s="1"/>
  <c r="V260" i="16"/>
  <c r="AB260" i="16" s="1"/>
  <c r="X259" i="16"/>
  <c r="AD259" i="16" s="1"/>
  <c r="W259" i="16"/>
  <c r="AC259" i="16" s="1"/>
  <c r="V259" i="16"/>
  <c r="AB259" i="16" s="1"/>
  <c r="X258" i="16"/>
  <c r="AD258" i="16" s="1"/>
  <c r="W258" i="16"/>
  <c r="AC258" i="16" s="1"/>
  <c r="V258" i="16"/>
  <c r="AB258" i="16" s="1"/>
  <c r="X257" i="16"/>
  <c r="AD257" i="16" s="1"/>
  <c r="W257" i="16"/>
  <c r="AC257" i="16" s="1"/>
  <c r="V257" i="16"/>
  <c r="AB257" i="16" s="1"/>
  <c r="X256" i="16"/>
  <c r="AD256" i="16" s="1"/>
  <c r="W256" i="16"/>
  <c r="AC256" i="16" s="1"/>
  <c r="V256" i="16"/>
  <c r="AB256" i="16" s="1"/>
  <c r="X255" i="16"/>
  <c r="AD255" i="16" s="1"/>
  <c r="W255" i="16"/>
  <c r="AC255" i="16" s="1"/>
  <c r="V255" i="16"/>
  <c r="AB255" i="16" s="1"/>
  <c r="X254" i="16"/>
  <c r="AD254" i="16" s="1"/>
  <c r="W254" i="16"/>
  <c r="AC254" i="16" s="1"/>
  <c r="V254" i="16"/>
  <c r="AB254" i="16" s="1"/>
  <c r="X253" i="16"/>
  <c r="AD253" i="16" s="1"/>
  <c r="W253" i="16"/>
  <c r="AC253" i="16" s="1"/>
  <c r="V253" i="16"/>
  <c r="AB253" i="16" s="1"/>
  <c r="X252" i="16"/>
  <c r="AD252" i="16" s="1"/>
  <c r="W252" i="16"/>
  <c r="AC252" i="16" s="1"/>
  <c r="V252" i="16"/>
  <c r="AB252" i="16" s="1"/>
  <c r="X251" i="16"/>
  <c r="AD251" i="16" s="1"/>
  <c r="W251" i="16"/>
  <c r="AC251" i="16" s="1"/>
  <c r="V251" i="16"/>
  <c r="AB251" i="16" s="1"/>
  <c r="X250" i="16"/>
  <c r="AD250" i="16" s="1"/>
  <c r="W250" i="16"/>
  <c r="AC250" i="16" s="1"/>
  <c r="V250" i="16"/>
  <c r="AB250" i="16" s="1"/>
  <c r="X249" i="16"/>
  <c r="AD249" i="16" s="1"/>
  <c r="W249" i="16"/>
  <c r="AC249" i="16" s="1"/>
  <c r="V249" i="16"/>
  <c r="AB249" i="16" s="1"/>
  <c r="X248" i="16"/>
  <c r="AD248" i="16" s="1"/>
  <c r="W248" i="16"/>
  <c r="AC248" i="16" s="1"/>
  <c r="V248" i="16"/>
  <c r="AB248" i="16" s="1"/>
  <c r="X247" i="16"/>
  <c r="AD247" i="16" s="1"/>
  <c r="W247" i="16"/>
  <c r="AC247" i="16" s="1"/>
  <c r="V247" i="16"/>
  <c r="AB247" i="16" s="1"/>
  <c r="X246" i="16"/>
  <c r="AD246" i="16" s="1"/>
  <c r="W246" i="16"/>
  <c r="AC246" i="16" s="1"/>
  <c r="V246" i="16"/>
  <c r="AB246" i="16" s="1"/>
  <c r="X245" i="16"/>
  <c r="AD245" i="16" s="1"/>
  <c r="W245" i="16"/>
  <c r="AC245" i="16" s="1"/>
  <c r="V245" i="16"/>
  <c r="AB245" i="16" s="1"/>
  <c r="X244" i="16"/>
  <c r="AD244" i="16" s="1"/>
  <c r="W244" i="16"/>
  <c r="AC244" i="16" s="1"/>
  <c r="V244" i="16"/>
  <c r="AB244" i="16" s="1"/>
  <c r="X243" i="16"/>
  <c r="AD243" i="16" s="1"/>
  <c r="W243" i="16"/>
  <c r="AC243" i="16" s="1"/>
  <c r="V243" i="16"/>
  <c r="AB243" i="16" s="1"/>
  <c r="X242" i="16"/>
  <c r="AD242" i="16" s="1"/>
  <c r="W242" i="16"/>
  <c r="AC242" i="16" s="1"/>
  <c r="V242" i="16"/>
  <c r="AB242" i="16" s="1"/>
  <c r="X241" i="16"/>
  <c r="AD241" i="16" s="1"/>
  <c r="W241" i="16"/>
  <c r="AC241" i="16" s="1"/>
  <c r="V241" i="16"/>
  <c r="AB241" i="16" s="1"/>
  <c r="X240" i="16"/>
  <c r="AD240" i="16" s="1"/>
  <c r="W240" i="16"/>
  <c r="AC240" i="16" s="1"/>
  <c r="V240" i="16"/>
  <c r="AB240" i="16" s="1"/>
  <c r="X239" i="16"/>
  <c r="AD239" i="16" s="1"/>
  <c r="W239" i="16"/>
  <c r="AC239" i="16" s="1"/>
  <c r="V239" i="16"/>
  <c r="AB239" i="16" s="1"/>
  <c r="X238" i="16"/>
  <c r="AD238" i="16" s="1"/>
  <c r="W238" i="16"/>
  <c r="AC238" i="16" s="1"/>
  <c r="V238" i="16"/>
  <c r="AB238" i="16" s="1"/>
  <c r="X237" i="16"/>
  <c r="AD237" i="16" s="1"/>
  <c r="W237" i="16"/>
  <c r="AC237" i="16" s="1"/>
  <c r="V237" i="16"/>
  <c r="AB237" i="16" s="1"/>
  <c r="X236" i="16"/>
  <c r="AD236" i="16" s="1"/>
  <c r="W236" i="16"/>
  <c r="AC236" i="16" s="1"/>
  <c r="V236" i="16"/>
  <c r="AB236" i="16" s="1"/>
  <c r="X235" i="16"/>
  <c r="AD235" i="16" s="1"/>
  <c r="W235" i="16"/>
  <c r="AC235" i="16" s="1"/>
  <c r="V235" i="16"/>
  <c r="AB235" i="16" s="1"/>
  <c r="X234" i="16"/>
  <c r="AD234" i="16" s="1"/>
  <c r="W234" i="16"/>
  <c r="AC234" i="16" s="1"/>
  <c r="V234" i="16"/>
  <c r="AB234" i="16" s="1"/>
  <c r="X233" i="16"/>
  <c r="AD233" i="16" s="1"/>
  <c r="W233" i="16"/>
  <c r="AC233" i="16" s="1"/>
  <c r="V233" i="16"/>
  <c r="AB233" i="16" s="1"/>
  <c r="X232" i="16"/>
  <c r="AD232" i="16" s="1"/>
  <c r="W232" i="16"/>
  <c r="AC232" i="16" s="1"/>
  <c r="V232" i="16"/>
  <c r="AB232" i="16" s="1"/>
  <c r="X231" i="16"/>
  <c r="AD231" i="16" s="1"/>
  <c r="W231" i="16"/>
  <c r="AC231" i="16" s="1"/>
  <c r="V231" i="16"/>
  <c r="AB231" i="16" s="1"/>
  <c r="X230" i="16"/>
  <c r="AD230" i="16" s="1"/>
  <c r="W230" i="16"/>
  <c r="AC230" i="16" s="1"/>
  <c r="V230" i="16"/>
  <c r="AB230" i="16" s="1"/>
  <c r="X229" i="16"/>
  <c r="AD229" i="16" s="1"/>
  <c r="W229" i="16"/>
  <c r="AC229" i="16" s="1"/>
  <c r="V229" i="16"/>
  <c r="AB229" i="16" s="1"/>
  <c r="X228" i="16"/>
  <c r="AD228" i="16" s="1"/>
  <c r="W228" i="16"/>
  <c r="AC228" i="16" s="1"/>
  <c r="V228" i="16"/>
  <c r="AB228" i="16" s="1"/>
  <c r="X227" i="16"/>
  <c r="AD227" i="16" s="1"/>
  <c r="W227" i="16"/>
  <c r="AC227" i="16" s="1"/>
  <c r="V227" i="16"/>
  <c r="AB227" i="16" s="1"/>
  <c r="X226" i="16"/>
  <c r="AD226" i="16" s="1"/>
  <c r="W226" i="16"/>
  <c r="AC226" i="16" s="1"/>
  <c r="V226" i="16"/>
  <c r="AB226" i="16" s="1"/>
  <c r="X225" i="16"/>
  <c r="AD225" i="16" s="1"/>
  <c r="W225" i="16"/>
  <c r="AC225" i="16" s="1"/>
  <c r="V225" i="16"/>
  <c r="AB225" i="16" s="1"/>
  <c r="X224" i="16"/>
  <c r="AD224" i="16" s="1"/>
  <c r="W224" i="16"/>
  <c r="AC224" i="16" s="1"/>
  <c r="V224" i="16"/>
  <c r="AB224" i="16" s="1"/>
  <c r="X223" i="16"/>
  <c r="AD223" i="16" s="1"/>
  <c r="W223" i="16"/>
  <c r="AC223" i="16" s="1"/>
  <c r="V223" i="16"/>
  <c r="AB223" i="16" s="1"/>
  <c r="X222" i="16"/>
  <c r="AD222" i="16" s="1"/>
  <c r="W222" i="16"/>
  <c r="AC222" i="16" s="1"/>
  <c r="V222" i="16"/>
  <c r="AB222" i="16" s="1"/>
  <c r="X221" i="16"/>
  <c r="AD221" i="16" s="1"/>
  <c r="W221" i="16"/>
  <c r="AC221" i="16" s="1"/>
  <c r="V221" i="16"/>
  <c r="AB221" i="16" s="1"/>
  <c r="X220" i="16"/>
  <c r="AD220" i="16" s="1"/>
  <c r="W220" i="16"/>
  <c r="AC220" i="16" s="1"/>
  <c r="V220" i="16"/>
  <c r="AB220" i="16" s="1"/>
  <c r="X219" i="16"/>
  <c r="AD219" i="16" s="1"/>
  <c r="W219" i="16"/>
  <c r="AC219" i="16" s="1"/>
  <c r="V219" i="16"/>
  <c r="AB219" i="16" s="1"/>
  <c r="X218" i="16"/>
  <c r="AD218" i="16" s="1"/>
  <c r="W218" i="16"/>
  <c r="AC218" i="16" s="1"/>
  <c r="V218" i="16"/>
  <c r="AB218" i="16" s="1"/>
  <c r="X217" i="16"/>
  <c r="AD217" i="16" s="1"/>
  <c r="W217" i="16"/>
  <c r="AC217" i="16" s="1"/>
  <c r="V217" i="16"/>
  <c r="AB217" i="16" s="1"/>
  <c r="X216" i="16"/>
  <c r="AD216" i="16" s="1"/>
  <c r="W216" i="16"/>
  <c r="AC216" i="16" s="1"/>
  <c r="V216" i="16"/>
  <c r="AB216" i="16" s="1"/>
  <c r="X215" i="16"/>
  <c r="AD215" i="16" s="1"/>
  <c r="W215" i="16"/>
  <c r="AC215" i="16" s="1"/>
  <c r="V215" i="16"/>
  <c r="AB215" i="16" s="1"/>
  <c r="X214" i="16"/>
  <c r="AD214" i="16" s="1"/>
  <c r="W214" i="16"/>
  <c r="AC214" i="16" s="1"/>
  <c r="V214" i="16"/>
  <c r="AB214" i="16" s="1"/>
  <c r="X213" i="16"/>
  <c r="AD213" i="16" s="1"/>
  <c r="W213" i="16"/>
  <c r="AC213" i="16" s="1"/>
  <c r="V213" i="16"/>
  <c r="AB213" i="16" s="1"/>
  <c r="X212" i="16"/>
  <c r="AD212" i="16" s="1"/>
  <c r="W212" i="16"/>
  <c r="AC212" i="16" s="1"/>
  <c r="V212" i="16"/>
  <c r="AB212" i="16" s="1"/>
  <c r="X211" i="16"/>
  <c r="AD211" i="16" s="1"/>
  <c r="W211" i="16"/>
  <c r="AC211" i="16" s="1"/>
  <c r="V211" i="16"/>
  <c r="AB211" i="16" s="1"/>
  <c r="X210" i="16"/>
  <c r="AD210" i="16" s="1"/>
  <c r="W210" i="16"/>
  <c r="AC210" i="16" s="1"/>
  <c r="V210" i="16"/>
  <c r="AB210" i="16" s="1"/>
  <c r="X209" i="16"/>
  <c r="AD209" i="16" s="1"/>
  <c r="W209" i="16"/>
  <c r="AC209" i="16" s="1"/>
  <c r="V209" i="16"/>
  <c r="AB209" i="16" s="1"/>
  <c r="X208" i="16"/>
  <c r="AD208" i="16" s="1"/>
  <c r="W208" i="16"/>
  <c r="AC208" i="16" s="1"/>
  <c r="V208" i="16"/>
  <c r="AB208" i="16" s="1"/>
  <c r="X207" i="16"/>
  <c r="AD207" i="16" s="1"/>
  <c r="W207" i="16"/>
  <c r="AC207" i="16" s="1"/>
  <c r="V207" i="16"/>
  <c r="AB207" i="16" s="1"/>
  <c r="X206" i="16"/>
  <c r="AD206" i="16" s="1"/>
  <c r="W206" i="16"/>
  <c r="AC206" i="16" s="1"/>
  <c r="V206" i="16"/>
  <c r="AB206" i="16" s="1"/>
  <c r="X205" i="16"/>
  <c r="AD205" i="16" s="1"/>
  <c r="W205" i="16"/>
  <c r="AC205" i="16" s="1"/>
  <c r="V205" i="16"/>
  <c r="AB205" i="16" s="1"/>
  <c r="X204" i="16"/>
  <c r="AD204" i="16" s="1"/>
  <c r="W204" i="16"/>
  <c r="AC204" i="16" s="1"/>
  <c r="V204" i="16"/>
  <c r="AB204" i="16" s="1"/>
  <c r="X203" i="16"/>
  <c r="AD203" i="16" s="1"/>
  <c r="W203" i="16"/>
  <c r="AC203" i="16" s="1"/>
  <c r="V203" i="16"/>
  <c r="AB203" i="16" s="1"/>
  <c r="X202" i="16"/>
  <c r="AD202" i="16" s="1"/>
  <c r="W202" i="16"/>
  <c r="AC202" i="16" s="1"/>
  <c r="V202" i="16"/>
  <c r="AB202" i="16" s="1"/>
  <c r="X201" i="16"/>
  <c r="AD201" i="16" s="1"/>
  <c r="W201" i="16"/>
  <c r="AC201" i="16" s="1"/>
  <c r="V201" i="16"/>
  <c r="AB201" i="16" s="1"/>
  <c r="X200" i="16"/>
  <c r="AD200" i="16" s="1"/>
  <c r="W200" i="16"/>
  <c r="AC200" i="16" s="1"/>
  <c r="V200" i="16"/>
  <c r="AB200" i="16" s="1"/>
  <c r="X199" i="16"/>
  <c r="AD199" i="16" s="1"/>
  <c r="W199" i="16"/>
  <c r="AC199" i="16" s="1"/>
  <c r="V199" i="16"/>
  <c r="AB199" i="16" s="1"/>
  <c r="X198" i="16"/>
  <c r="AD198" i="16" s="1"/>
  <c r="W198" i="16"/>
  <c r="AC198" i="16" s="1"/>
  <c r="V198" i="16"/>
  <c r="AB198" i="16" s="1"/>
  <c r="X197" i="16"/>
  <c r="AD197" i="16" s="1"/>
  <c r="W197" i="16"/>
  <c r="AC197" i="16" s="1"/>
  <c r="V197" i="16"/>
  <c r="AB197" i="16" s="1"/>
  <c r="X196" i="16"/>
  <c r="AD196" i="16" s="1"/>
  <c r="W196" i="16"/>
  <c r="AC196" i="16" s="1"/>
  <c r="V196" i="16"/>
  <c r="AB196" i="16" s="1"/>
  <c r="X195" i="16"/>
  <c r="AD195" i="16" s="1"/>
  <c r="W195" i="16"/>
  <c r="AC195" i="16" s="1"/>
  <c r="V195" i="16"/>
  <c r="AB195" i="16" s="1"/>
  <c r="X194" i="16"/>
  <c r="AD194" i="16" s="1"/>
  <c r="W194" i="16"/>
  <c r="AC194" i="16" s="1"/>
  <c r="V194" i="16"/>
  <c r="AB194" i="16" s="1"/>
  <c r="X193" i="16"/>
  <c r="AD193" i="16" s="1"/>
  <c r="W193" i="16"/>
  <c r="AC193" i="16" s="1"/>
  <c r="V193" i="16"/>
  <c r="AB193" i="16" s="1"/>
  <c r="X192" i="16"/>
  <c r="AD192" i="16" s="1"/>
  <c r="W192" i="16"/>
  <c r="AC192" i="16" s="1"/>
  <c r="V192" i="16"/>
  <c r="AB192" i="16" s="1"/>
  <c r="X191" i="16"/>
  <c r="AD191" i="16" s="1"/>
  <c r="W191" i="16"/>
  <c r="AC191" i="16" s="1"/>
  <c r="V191" i="16"/>
  <c r="AB191" i="16" s="1"/>
  <c r="X190" i="16"/>
  <c r="AD190" i="16" s="1"/>
  <c r="W190" i="16"/>
  <c r="AC190" i="16" s="1"/>
  <c r="V190" i="16"/>
  <c r="AB190" i="16" s="1"/>
  <c r="X189" i="16"/>
  <c r="AD189" i="16" s="1"/>
  <c r="W189" i="16"/>
  <c r="AC189" i="16" s="1"/>
  <c r="V189" i="16"/>
  <c r="AB189" i="16" s="1"/>
  <c r="X188" i="16"/>
  <c r="AD188" i="16" s="1"/>
  <c r="W188" i="16"/>
  <c r="AC188" i="16" s="1"/>
  <c r="V188" i="16"/>
  <c r="AB188" i="16" s="1"/>
  <c r="X187" i="16"/>
  <c r="AD187" i="16" s="1"/>
  <c r="W187" i="16"/>
  <c r="AC187" i="16" s="1"/>
  <c r="V187" i="16"/>
  <c r="AB187" i="16" s="1"/>
  <c r="X186" i="16"/>
  <c r="AD186" i="16" s="1"/>
  <c r="W186" i="16"/>
  <c r="AC186" i="16" s="1"/>
  <c r="V186" i="16"/>
  <c r="AB186" i="16" s="1"/>
  <c r="X185" i="16"/>
  <c r="AD185" i="16" s="1"/>
  <c r="W185" i="16"/>
  <c r="AC185" i="16" s="1"/>
  <c r="V185" i="16"/>
  <c r="AB185" i="16" s="1"/>
  <c r="X184" i="16"/>
  <c r="AD184" i="16" s="1"/>
  <c r="W184" i="16"/>
  <c r="AC184" i="16" s="1"/>
  <c r="V184" i="16"/>
  <c r="AB184" i="16" s="1"/>
  <c r="X183" i="16"/>
  <c r="AD183" i="16" s="1"/>
  <c r="W183" i="16"/>
  <c r="AC183" i="16" s="1"/>
  <c r="V183" i="16"/>
  <c r="AB183" i="16" s="1"/>
  <c r="X182" i="16"/>
  <c r="AD182" i="16" s="1"/>
  <c r="W182" i="16"/>
  <c r="AC182" i="16" s="1"/>
  <c r="V182" i="16"/>
  <c r="AB182" i="16" s="1"/>
  <c r="X181" i="16"/>
  <c r="AD181" i="16" s="1"/>
  <c r="W181" i="16"/>
  <c r="AC181" i="16" s="1"/>
  <c r="V181" i="16"/>
  <c r="AB181" i="16" s="1"/>
  <c r="X180" i="16"/>
  <c r="AD180" i="16" s="1"/>
  <c r="W180" i="16"/>
  <c r="AC180" i="16" s="1"/>
  <c r="V180" i="16"/>
  <c r="AB180" i="16" s="1"/>
  <c r="X179" i="16"/>
  <c r="AD179" i="16" s="1"/>
  <c r="W179" i="16"/>
  <c r="AC179" i="16" s="1"/>
  <c r="V179" i="16"/>
  <c r="AB179" i="16" s="1"/>
  <c r="X178" i="16"/>
  <c r="AD178" i="16" s="1"/>
  <c r="W178" i="16"/>
  <c r="AC178" i="16" s="1"/>
  <c r="V178" i="16"/>
  <c r="AB178" i="16" s="1"/>
  <c r="X177" i="16"/>
  <c r="AD177" i="16" s="1"/>
  <c r="W177" i="16"/>
  <c r="AC177" i="16" s="1"/>
  <c r="V177" i="16"/>
  <c r="AB177" i="16" s="1"/>
  <c r="X176" i="16"/>
  <c r="AD176" i="16" s="1"/>
  <c r="W176" i="16"/>
  <c r="AC176" i="16" s="1"/>
  <c r="V176" i="16"/>
  <c r="AB176" i="16" s="1"/>
  <c r="X175" i="16"/>
  <c r="AD175" i="16" s="1"/>
  <c r="W175" i="16"/>
  <c r="AC175" i="16" s="1"/>
  <c r="V175" i="16"/>
  <c r="AB175" i="16" s="1"/>
  <c r="X174" i="16"/>
  <c r="AD174" i="16" s="1"/>
  <c r="W174" i="16"/>
  <c r="AC174" i="16" s="1"/>
  <c r="V174" i="16"/>
  <c r="AB174" i="16" s="1"/>
  <c r="X173" i="16"/>
  <c r="AD173" i="16" s="1"/>
  <c r="W173" i="16"/>
  <c r="AC173" i="16" s="1"/>
  <c r="V173" i="16"/>
  <c r="AB173" i="16" s="1"/>
  <c r="X172" i="16"/>
  <c r="AD172" i="16" s="1"/>
  <c r="W172" i="16"/>
  <c r="AC172" i="16" s="1"/>
  <c r="V172" i="16"/>
  <c r="AB172" i="16" s="1"/>
  <c r="X171" i="16"/>
  <c r="AD171" i="16" s="1"/>
  <c r="W171" i="16"/>
  <c r="AC171" i="16" s="1"/>
  <c r="V171" i="16"/>
  <c r="AB171" i="16" s="1"/>
  <c r="X170" i="16"/>
  <c r="AD170" i="16" s="1"/>
  <c r="W170" i="16"/>
  <c r="AC170" i="16" s="1"/>
  <c r="V170" i="16"/>
  <c r="AB170" i="16" s="1"/>
  <c r="X169" i="16"/>
  <c r="AD169" i="16" s="1"/>
  <c r="W169" i="16"/>
  <c r="AC169" i="16" s="1"/>
  <c r="V169" i="16"/>
  <c r="AB169" i="16" s="1"/>
  <c r="X168" i="16"/>
  <c r="AD168" i="16" s="1"/>
  <c r="W168" i="16"/>
  <c r="AC168" i="16" s="1"/>
  <c r="V168" i="16"/>
  <c r="AB168" i="16" s="1"/>
  <c r="X167" i="16"/>
  <c r="AD167" i="16" s="1"/>
  <c r="W167" i="16"/>
  <c r="AC167" i="16" s="1"/>
  <c r="V167" i="16"/>
  <c r="AB167" i="16" s="1"/>
  <c r="X166" i="16"/>
  <c r="AD166" i="16" s="1"/>
  <c r="W166" i="16"/>
  <c r="AC166" i="16" s="1"/>
  <c r="V166" i="16"/>
  <c r="AB166" i="16" s="1"/>
  <c r="X165" i="16"/>
  <c r="AD165" i="16" s="1"/>
  <c r="W165" i="16"/>
  <c r="AC165" i="16" s="1"/>
  <c r="V165" i="16"/>
  <c r="AB165" i="16" s="1"/>
  <c r="X164" i="16"/>
  <c r="AD164" i="16" s="1"/>
  <c r="W164" i="16"/>
  <c r="AC164" i="16" s="1"/>
  <c r="V164" i="16"/>
  <c r="AB164" i="16" s="1"/>
  <c r="X163" i="16"/>
  <c r="AD163" i="16" s="1"/>
  <c r="W163" i="16"/>
  <c r="AC163" i="16" s="1"/>
  <c r="V163" i="16"/>
  <c r="AB163" i="16" s="1"/>
  <c r="X162" i="16"/>
  <c r="AD162" i="16" s="1"/>
  <c r="W162" i="16"/>
  <c r="AC162" i="16" s="1"/>
  <c r="V162" i="16"/>
  <c r="AB162" i="16" s="1"/>
  <c r="X161" i="16"/>
  <c r="AD161" i="16" s="1"/>
  <c r="W161" i="16"/>
  <c r="AC161" i="16" s="1"/>
  <c r="V161" i="16"/>
  <c r="AB161" i="16" s="1"/>
  <c r="X160" i="16"/>
  <c r="AD160" i="16" s="1"/>
  <c r="W160" i="16"/>
  <c r="AC160" i="16" s="1"/>
  <c r="V160" i="16"/>
  <c r="AB160" i="16" s="1"/>
  <c r="X159" i="16"/>
  <c r="AD159" i="16" s="1"/>
  <c r="W159" i="16"/>
  <c r="AC159" i="16" s="1"/>
  <c r="V159" i="16"/>
  <c r="AB159" i="16" s="1"/>
  <c r="X158" i="16"/>
  <c r="AD158" i="16" s="1"/>
  <c r="W158" i="16"/>
  <c r="AC158" i="16" s="1"/>
  <c r="V158" i="16"/>
  <c r="AB158" i="16" s="1"/>
  <c r="X157" i="16"/>
  <c r="AD157" i="16" s="1"/>
  <c r="W157" i="16"/>
  <c r="AC157" i="16" s="1"/>
  <c r="V157" i="16"/>
  <c r="AB157" i="16" s="1"/>
  <c r="X156" i="16"/>
  <c r="AD156" i="16" s="1"/>
  <c r="W156" i="16"/>
  <c r="AC156" i="16" s="1"/>
  <c r="V156" i="16"/>
  <c r="AB156" i="16" s="1"/>
  <c r="X155" i="16"/>
  <c r="AD155" i="16" s="1"/>
  <c r="W155" i="16"/>
  <c r="AC155" i="16" s="1"/>
  <c r="V155" i="16"/>
  <c r="AB155" i="16" s="1"/>
  <c r="X154" i="16"/>
  <c r="AD154" i="16" s="1"/>
  <c r="W154" i="16"/>
  <c r="AC154" i="16" s="1"/>
  <c r="V154" i="16"/>
  <c r="AB154" i="16" s="1"/>
  <c r="X153" i="16"/>
  <c r="AD153" i="16" s="1"/>
  <c r="W153" i="16"/>
  <c r="AC153" i="16" s="1"/>
  <c r="V153" i="16"/>
  <c r="AB153" i="16" s="1"/>
  <c r="X152" i="16"/>
  <c r="AD152" i="16" s="1"/>
  <c r="W152" i="16"/>
  <c r="AC152" i="16" s="1"/>
  <c r="V152" i="16"/>
  <c r="AB152" i="16" s="1"/>
  <c r="X151" i="16"/>
  <c r="AD151" i="16" s="1"/>
  <c r="W151" i="16"/>
  <c r="AC151" i="16" s="1"/>
  <c r="V151" i="16"/>
  <c r="AB151" i="16" s="1"/>
  <c r="X150" i="16"/>
  <c r="AD150" i="16" s="1"/>
  <c r="W150" i="16"/>
  <c r="AC150" i="16" s="1"/>
  <c r="V150" i="16"/>
  <c r="AB150" i="16" s="1"/>
  <c r="X149" i="16"/>
  <c r="AD149" i="16" s="1"/>
  <c r="W149" i="16"/>
  <c r="AC149" i="16" s="1"/>
  <c r="V149" i="16"/>
  <c r="AB149" i="16" s="1"/>
  <c r="X148" i="16"/>
  <c r="AD148" i="16" s="1"/>
  <c r="W148" i="16"/>
  <c r="AC148" i="16" s="1"/>
  <c r="V148" i="16"/>
  <c r="AB148" i="16" s="1"/>
  <c r="X147" i="16"/>
  <c r="AD147" i="16" s="1"/>
  <c r="W147" i="16"/>
  <c r="AC147" i="16" s="1"/>
  <c r="V147" i="16"/>
  <c r="AB147" i="16" s="1"/>
  <c r="X146" i="16"/>
  <c r="AD146" i="16" s="1"/>
  <c r="W146" i="16"/>
  <c r="AC146" i="16" s="1"/>
  <c r="V146" i="16"/>
  <c r="AB146" i="16" s="1"/>
  <c r="X145" i="16"/>
  <c r="AD145" i="16" s="1"/>
  <c r="W145" i="16"/>
  <c r="AC145" i="16" s="1"/>
  <c r="V145" i="16"/>
  <c r="AB145" i="16" s="1"/>
  <c r="X144" i="16"/>
  <c r="AD144" i="16" s="1"/>
  <c r="W144" i="16"/>
  <c r="AC144" i="16" s="1"/>
  <c r="V144" i="16"/>
  <c r="AB144" i="16" s="1"/>
  <c r="X143" i="16"/>
  <c r="AD143" i="16" s="1"/>
  <c r="W143" i="16"/>
  <c r="AC143" i="16" s="1"/>
  <c r="V143" i="16"/>
  <c r="AB143" i="16" s="1"/>
  <c r="X142" i="16"/>
  <c r="AD142" i="16" s="1"/>
  <c r="W142" i="16"/>
  <c r="AC142" i="16" s="1"/>
  <c r="V142" i="16"/>
  <c r="AB142" i="16" s="1"/>
  <c r="X141" i="16"/>
  <c r="AD141" i="16" s="1"/>
  <c r="W141" i="16"/>
  <c r="AC141" i="16" s="1"/>
  <c r="V141" i="16"/>
  <c r="AB141" i="16" s="1"/>
  <c r="X140" i="16"/>
  <c r="AD140" i="16" s="1"/>
  <c r="W140" i="16"/>
  <c r="AC140" i="16" s="1"/>
  <c r="V140" i="16"/>
  <c r="AB140" i="16" s="1"/>
  <c r="X139" i="16"/>
  <c r="AD139" i="16" s="1"/>
  <c r="W139" i="16"/>
  <c r="AC139" i="16" s="1"/>
  <c r="V139" i="16"/>
  <c r="AB139" i="16" s="1"/>
  <c r="X138" i="16"/>
  <c r="AD138" i="16" s="1"/>
  <c r="W138" i="16"/>
  <c r="AC138" i="16" s="1"/>
  <c r="V138" i="16"/>
  <c r="AB138" i="16" s="1"/>
  <c r="X137" i="16"/>
  <c r="AD137" i="16" s="1"/>
  <c r="W137" i="16"/>
  <c r="AC137" i="16" s="1"/>
  <c r="V137" i="16"/>
  <c r="AB137" i="16" s="1"/>
  <c r="X136" i="16"/>
  <c r="AD136" i="16" s="1"/>
  <c r="W136" i="16"/>
  <c r="AC136" i="16" s="1"/>
  <c r="V136" i="16"/>
  <c r="AB136" i="16" s="1"/>
  <c r="X135" i="16"/>
  <c r="AD135" i="16" s="1"/>
  <c r="W135" i="16"/>
  <c r="AC135" i="16" s="1"/>
  <c r="V135" i="16"/>
  <c r="AB135" i="16" s="1"/>
  <c r="X134" i="16"/>
  <c r="AD134" i="16" s="1"/>
  <c r="W134" i="16"/>
  <c r="AC134" i="16" s="1"/>
  <c r="V134" i="16"/>
  <c r="AB134" i="16" s="1"/>
  <c r="X133" i="16"/>
  <c r="AD133" i="16" s="1"/>
  <c r="W133" i="16"/>
  <c r="AC133" i="16" s="1"/>
  <c r="V133" i="16"/>
  <c r="AB133" i="16" s="1"/>
  <c r="X132" i="16"/>
  <c r="AD132" i="16" s="1"/>
  <c r="W132" i="16"/>
  <c r="AC132" i="16" s="1"/>
  <c r="V132" i="16"/>
  <c r="AB132" i="16" s="1"/>
  <c r="X131" i="16"/>
  <c r="AD131" i="16" s="1"/>
  <c r="W131" i="16"/>
  <c r="AC131" i="16" s="1"/>
  <c r="V131" i="16"/>
  <c r="AB131" i="16" s="1"/>
  <c r="X130" i="16"/>
  <c r="AD130" i="16" s="1"/>
  <c r="W130" i="16"/>
  <c r="AC130" i="16" s="1"/>
  <c r="V130" i="16"/>
  <c r="AB130" i="16" s="1"/>
  <c r="X129" i="16"/>
  <c r="AD129" i="16" s="1"/>
  <c r="W129" i="16"/>
  <c r="AC129" i="16" s="1"/>
  <c r="V129" i="16"/>
  <c r="AB129" i="16" s="1"/>
  <c r="X128" i="16"/>
  <c r="AD128" i="16" s="1"/>
  <c r="W128" i="16"/>
  <c r="AC128" i="16" s="1"/>
  <c r="V128" i="16"/>
  <c r="AB128" i="16" s="1"/>
  <c r="X127" i="16"/>
  <c r="AD127" i="16" s="1"/>
  <c r="W127" i="16"/>
  <c r="AC127" i="16" s="1"/>
  <c r="V127" i="16"/>
  <c r="AB127" i="16" s="1"/>
  <c r="X126" i="16"/>
  <c r="AD126" i="16" s="1"/>
  <c r="W126" i="16"/>
  <c r="AC126" i="16" s="1"/>
  <c r="V126" i="16"/>
  <c r="AB126" i="16" s="1"/>
  <c r="X125" i="16"/>
  <c r="AD125" i="16" s="1"/>
  <c r="W125" i="16"/>
  <c r="AC125" i="16" s="1"/>
  <c r="V125" i="16"/>
  <c r="AB125" i="16" s="1"/>
  <c r="X124" i="16"/>
  <c r="AD124" i="16" s="1"/>
  <c r="W124" i="16"/>
  <c r="AC124" i="16" s="1"/>
  <c r="V124" i="16"/>
  <c r="AB124" i="16" s="1"/>
  <c r="X123" i="16"/>
  <c r="AD123" i="16" s="1"/>
  <c r="W123" i="16"/>
  <c r="AC123" i="16" s="1"/>
  <c r="V123" i="16"/>
  <c r="AB123" i="16" s="1"/>
  <c r="X122" i="16"/>
  <c r="AD122" i="16" s="1"/>
  <c r="W122" i="16"/>
  <c r="AC122" i="16" s="1"/>
  <c r="V122" i="16"/>
  <c r="AB122" i="16" s="1"/>
  <c r="X121" i="16"/>
  <c r="AD121" i="16" s="1"/>
  <c r="W121" i="16"/>
  <c r="AC121" i="16" s="1"/>
  <c r="V121" i="16"/>
  <c r="AB121" i="16" s="1"/>
  <c r="X120" i="16"/>
  <c r="AD120" i="16" s="1"/>
  <c r="W120" i="16"/>
  <c r="AC120" i="16" s="1"/>
  <c r="V120" i="16"/>
  <c r="AB120" i="16" s="1"/>
  <c r="X119" i="16"/>
  <c r="AD119" i="16" s="1"/>
  <c r="W119" i="16"/>
  <c r="AC119" i="16" s="1"/>
  <c r="V119" i="16"/>
  <c r="AB119" i="16" s="1"/>
  <c r="X118" i="16"/>
  <c r="AD118" i="16" s="1"/>
  <c r="W118" i="16"/>
  <c r="AC118" i="16" s="1"/>
  <c r="V118" i="16"/>
  <c r="AB118" i="16" s="1"/>
  <c r="X117" i="16"/>
  <c r="AD117" i="16" s="1"/>
  <c r="W117" i="16"/>
  <c r="AC117" i="16" s="1"/>
  <c r="V117" i="16"/>
  <c r="AB117" i="16" s="1"/>
  <c r="X116" i="16"/>
  <c r="AD116" i="16" s="1"/>
  <c r="W116" i="16"/>
  <c r="AC116" i="16" s="1"/>
  <c r="V116" i="16"/>
  <c r="AB116" i="16" s="1"/>
  <c r="X115" i="16"/>
  <c r="AD115" i="16" s="1"/>
  <c r="W115" i="16"/>
  <c r="AC115" i="16" s="1"/>
  <c r="V115" i="16"/>
  <c r="AB115" i="16" s="1"/>
  <c r="X114" i="16"/>
  <c r="AD114" i="16" s="1"/>
  <c r="W114" i="16"/>
  <c r="AC114" i="16" s="1"/>
  <c r="V114" i="16"/>
  <c r="AB114" i="16" s="1"/>
  <c r="X113" i="16"/>
  <c r="AD113" i="16" s="1"/>
  <c r="W113" i="16"/>
  <c r="AC113" i="16" s="1"/>
  <c r="V113" i="16"/>
  <c r="AB113" i="16" s="1"/>
  <c r="X112" i="16"/>
  <c r="AD112" i="16" s="1"/>
  <c r="W112" i="16"/>
  <c r="AC112" i="16" s="1"/>
  <c r="V112" i="16"/>
  <c r="AB112" i="16" s="1"/>
  <c r="X111" i="16"/>
  <c r="AD111" i="16" s="1"/>
  <c r="W111" i="16"/>
  <c r="AC111" i="16" s="1"/>
  <c r="V111" i="16"/>
  <c r="AB111" i="16" s="1"/>
  <c r="X110" i="16"/>
  <c r="AD110" i="16" s="1"/>
  <c r="W110" i="16"/>
  <c r="AC110" i="16" s="1"/>
  <c r="V110" i="16"/>
  <c r="AB110" i="16" s="1"/>
  <c r="X109" i="16"/>
  <c r="AD109" i="16" s="1"/>
  <c r="W109" i="16"/>
  <c r="AC109" i="16" s="1"/>
  <c r="V109" i="16"/>
  <c r="AB109" i="16" s="1"/>
  <c r="X108" i="16"/>
  <c r="AD108" i="16" s="1"/>
  <c r="W108" i="16"/>
  <c r="AC108" i="16" s="1"/>
  <c r="V108" i="16"/>
  <c r="AB108" i="16" s="1"/>
  <c r="X107" i="16"/>
  <c r="AD107" i="16" s="1"/>
  <c r="W107" i="16"/>
  <c r="AC107" i="16" s="1"/>
  <c r="V107" i="16"/>
  <c r="AB107" i="16" s="1"/>
  <c r="X106" i="16"/>
  <c r="AD106" i="16" s="1"/>
  <c r="W106" i="16"/>
  <c r="AC106" i="16" s="1"/>
  <c r="V106" i="16"/>
  <c r="AB106" i="16" s="1"/>
  <c r="X105" i="16"/>
  <c r="AD105" i="16" s="1"/>
  <c r="W105" i="16"/>
  <c r="AC105" i="16" s="1"/>
  <c r="V105" i="16"/>
  <c r="AB105" i="16" s="1"/>
  <c r="X104" i="16"/>
  <c r="AD104" i="16" s="1"/>
  <c r="W104" i="16"/>
  <c r="AC104" i="16" s="1"/>
  <c r="V104" i="16"/>
  <c r="AB104" i="16" s="1"/>
  <c r="X103" i="16"/>
  <c r="AD103" i="16" s="1"/>
  <c r="W103" i="16"/>
  <c r="AC103" i="16" s="1"/>
  <c r="V103" i="16"/>
  <c r="AB103" i="16" s="1"/>
  <c r="X102" i="16"/>
  <c r="AD102" i="16" s="1"/>
  <c r="W102" i="16"/>
  <c r="AC102" i="16" s="1"/>
  <c r="V102" i="16"/>
  <c r="AB102" i="16" s="1"/>
  <c r="X101" i="16"/>
  <c r="AD101" i="16" s="1"/>
  <c r="W101" i="16"/>
  <c r="AC101" i="16" s="1"/>
  <c r="V101" i="16"/>
  <c r="AB101" i="16" s="1"/>
  <c r="X100" i="16"/>
  <c r="AD100" i="16" s="1"/>
  <c r="W100" i="16"/>
  <c r="AC100" i="16" s="1"/>
  <c r="V100" i="16"/>
  <c r="AB100" i="16" s="1"/>
  <c r="X99" i="16"/>
  <c r="AD99" i="16" s="1"/>
  <c r="W99" i="16"/>
  <c r="AC99" i="16" s="1"/>
  <c r="V99" i="16"/>
  <c r="AB99" i="16" s="1"/>
  <c r="X98" i="16"/>
  <c r="AD98" i="16" s="1"/>
  <c r="W98" i="16"/>
  <c r="AC98" i="16" s="1"/>
  <c r="V98" i="16"/>
  <c r="AB98" i="16" s="1"/>
  <c r="X97" i="16"/>
  <c r="AD97" i="16" s="1"/>
  <c r="W97" i="16"/>
  <c r="AC97" i="16" s="1"/>
  <c r="V97" i="16"/>
  <c r="AB97" i="16" s="1"/>
  <c r="X96" i="16"/>
  <c r="AD96" i="16" s="1"/>
  <c r="W96" i="16"/>
  <c r="AC96" i="16" s="1"/>
  <c r="V96" i="16"/>
  <c r="AB96" i="16" s="1"/>
  <c r="X95" i="16"/>
  <c r="AD95" i="16" s="1"/>
  <c r="W95" i="16"/>
  <c r="AC95" i="16" s="1"/>
  <c r="V95" i="16"/>
  <c r="AB95" i="16" s="1"/>
  <c r="X94" i="16"/>
  <c r="AD94" i="16" s="1"/>
  <c r="W94" i="16"/>
  <c r="AC94" i="16" s="1"/>
  <c r="V94" i="16"/>
  <c r="AB94" i="16" s="1"/>
  <c r="X93" i="16"/>
  <c r="AD93" i="16" s="1"/>
  <c r="W93" i="16"/>
  <c r="AC93" i="16" s="1"/>
  <c r="V93" i="16"/>
  <c r="AB93" i="16" s="1"/>
  <c r="X92" i="16"/>
  <c r="AD92" i="16" s="1"/>
  <c r="W92" i="16"/>
  <c r="AC92" i="16" s="1"/>
  <c r="V92" i="16"/>
  <c r="AB92" i="16" s="1"/>
  <c r="X91" i="16"/>
  <c r="AD91" i="16" s="1"/>
  <c r="W91" i="16"/>
  <c r="AC91" i="16" s="1"/>
  <c r="V91" i="16"/>
  <c r="AB91" i="16" s="1"/>
  <c r="X90" i="16"/>
  <c r="AD90" i="16" s="1"/>
  <c r="W90" i="16"/>
  <c r="AC90" i="16" s="1"/>
  <c r="V90" i="16"/>
  <c r="AB90" i="16" s="1"/>
  <c r="X89" i="16"/>
  <c r="AD89" i="16" s="1"/>
  <c r="W89" i="16"/>
  <c r="AC89" i="16" s="1"/>
  <c r="V89" i="16"/>
  <c r="AB89" i="16" s="1"/>
  <c r="X88" i="16"/>
  <c r="AD88" i="16" s="1"/>
  <c r="W88" i="16"/>
  <c r="AC88" i="16" s="1"/>
  <c r="V88" i="16"/>
  <c r="AB88" i="16" s="1"/>
  <c r="X87" i="16"/>
  <c r="AD87" i="16" s="1"/>
  <c r="W87" i="16"/>
  <c r="AC87" i="16" s="1"/>
  <c r="V87" i="16"/>
  <c r="AB87" i="16" s="1"/>
  <c r="X86" i="16"/>
  <c r="AD86" i="16" s="1"/>
  <c r="W86" i="16"/>
  <c r="AC86" i="16" s="1"/>
  <c r="V86" i="16"/>
  <c r="AB86" i="16" s="1"/>
  <c r="X85" i="16"/>
  <c r="AD85" i="16" s="1"/>
  <c r="W85" i="16"/>
  <c r="AC85" i="16" s="1"/>
  <c r="V85" i="16"/>
  <c r="AB85" i="16" s="1"/>
  <c r="X84" i="16"/>
  <c r="AD84" i="16" s="1"/>
  <c r="W84" i="16"/>
  <c r="AC84" i="16" s="1"/>
  <c r="V84" i="16"/>
  <c r="AB84" i="16" s="1"/>
  <c r="X83" i="16"/>
  <c r="AD83" i="16" s="1"/>
  <c r="W83" i="16"/>
  <c r="AC83" i="16" s="1"/>
  <c r="V83" i="16"/>
  <c r="AB83" i="16" s="1"/>
  <c r="X82" i="16"/>
  <c r="AD82" i="16" s="1"/>
  <c r="W82" i="16"/>
  <c r="AC82" i="16" s="1"/>
  <c r="V82" i="16"/>
  <c r="AB82" i="16" s="1"/>
  <c r="X81" i="16"/>
  <c r="AD81" i="16" s="1"/>
  <c r="W81" i="16"/>
  <c r="AC81" i="16" s="1"/>
  <c r="V81" i="16"/>
  <c r="AB81" i="16" s="1"/>
  <c r="X80" i="16"/>
  <c r="AD80" i="16" s="1"/>
  <c r="W80" i="16"/>
  <c r="AC80" i="16" s="1"/>
  <c r="V80" i="16"/>
  <c r="AB80" i="16" s="1"/>
  <c r="X79" i="16"/>
  <c r="AD79" i="16" s="1"/>
  <c r="W79" i="16"/>
  <c r="AC79" i="16" s="1"/>
  <c r="V79" i="16"/>
  <c r="AB79" i="16" s="1"/>
  <c r="X78" i="16"/>
  <c r="AD78" i="16" s="1"/>
  <c r="W78" i="16"/>
  <c r="AC78" i="16" s="1"/>
  <c r="V78" i="16"/>
  <c r="AB78" i="16" s="1"/>
  <c r="X77" i="16"/>
  <c r="AD77" i="16" s="1"/>
  <c r="W77" i="16"/>
  <c r="AC77" i="16" s="1"/>
  <c r="V77" i="16"/>
  <c r="AB77" i="16" s="1"/>
  <c r="X76" i="16"/>
  <c r="AD76" i="16" s="1"/>
  <c r="W76" i="16"/>
  <c r="AC76" i="16" s="1"/>
  <c r="V76" i="16"/>
  <c r="AB76" i="16" s="1"/>
  <c r="X75" i="16"/>
  <c r="AD75" i="16" s="1"/>
  <c r="W75" i="16"/>
  <c r="AC75" i="16" s="1"/>
  <c r="V75" i="16"/>
  <c r="AB75" i="16" s="1"/>
  <c r="X74" i="16"/>
  <c r="AD74" i="16" s="1"/>
  <c r="W74" i="16"/>
  <c r="AC74" i="16" s="1"/>
  <c r="V74" i="16"/>
  <c r="AB74" i="16" s="1"/>
  <c r="X73" i="16"/>
  <c r="AD73" i="16" s="1"/>
  <c r="W73" i="16"/>
  <c r="AC73" i="16" s="1"/>
  <c r="V73" i="16"/>
  <c r="AB73" i="16" s="1"/>
  <c r="X72" i="16"/>
  <c r="AD72" i="16" s="1"/>
  <c r="W72" i="16"/>
  <c r="AC72" i="16" s="1"/>
  <c r="V72" i="16"/>
  <c r="AB72" i="16" s="1"/>
  <c r="X71" i="16"/>
  <c r="AD71" i="16" s="1"/>
  <c r="W71" i="16"/>
  <c r="AC71" i="16" s="1"/>
  <c r="V71" i="16"/>
  <c r="AB71" i="16" s="1"/>
  <c r="X70" i="16"/>
  <c r="AD70" i="16" s="1"/>
  <c r="W70" i="16"/>
  <c r="AC70" i="16" s="1"/>
  <c r="V70" i="16"/>
  <c r="AB70" i="16" s="1"/>
  <c r="X69" i="16"/>
  <c r="AD69" i="16" s="1"/>
  <c r="W69" i="16"/>
  <c r="AC69" i="16" s="1"/>
  <c r="V69" i="16"/>
  <c r="AB69" i="16" s="1"/>
  <c r="X68" i="16"/>
  <c r="AD68" i="16" s="1"/>
  <c r="W68" i="16"/>
  <c r="AC68" i="16" s="1"/>
  <c r="V68" i="16"/>
  <c r="AB68" i="16" s="1"/>
  <c r="X67" i="16"/>
  <c r="AD67" i="16" s="1"/>
  <c r="W67" i="16"/>
  <c r="AC67" i="16" s="1"/>
  <c r="V67" i="16"/>
  <c r="AB67" i="16" s="1"/>
  <c r="X66" i="16"/>
  <c r="AD66" i="16" s="1"/>
  <c r="W66" i="16"/>
  <c r="AC66" i="16" s="1"/>
  <c r="V66" i="16"/>
  <c r="AB66" i="16" s="1"/>
  <c r="X65" i="16"/>
  <c r="AD65" i="16" s="1"/>
  <c r="W65" i="16"/>
  <c r="AC65" i="16" s="1"/>
  <c r="V65" i="16"/>
  <c r="AB65" i="16" s="1"/>
  <c r="X64" i="16"/>
  <c r="AD64" i="16" s="1"/>
  <c r="W64" i="16"/>
  <c r="AC64" i="16" s="1"/>
  <c r="V64" i="16"/>
  <c r="AB64" i="16" s="1"/>
  <c r="X63" i="16"/>
  <c r="AD63" i="16" s="1"/>
  <c r="W63" i="16"/>
  <c r="AC63" i="16" s="1"/>
  <c r="V63" i="16"/>
  <c r="AB63" i="16" s="1"/>
  <c r="X62" i="16"/>
  <c r="AD62" i="16" s="1"/>
  <c r="W62" i="16"/>
  <c r="AC62" i="16" s="1"/>
  <c r="V62" i="16"/>
  <c r="AB62" i="16" s="1"/>
  <c r="X61" i="16"/>
  <c r="AD61" i="16" s="1"/>
  <c r="W61" i="16"/>
  <c r="AC61" i="16" s="1"/>
  <c r="V61" i="16"/>
  <c r="AB61" i="16" s="1"/>
  <c r="X60" i="16"/>
  <c r="AD60" i="16" s="1"/>
  <c r="W60" i="16"/>
  <c r="AC60" i="16" s="1"/>
  <c r="V60" i="16"/>
  <c r="AB60" i="16" s="1"/>
  <c r="X59" i="16"/>
  <c r="AD59" i="16" s="1"/>
  <c r="W59" i="16"/>
  <c r="AC59" i="16" s="1"/>
  <c r="V59" i="16"/>
  <c r="AB59" i="16" s="1"/>
  <c r="X58" i="16"/>
  <c r="AD58" i="16" s="1"/>
  <c r="W58" i="16"/>
  <c r="AC58" i="16" s="1"/>
  <c r="V58" i="16"/>
  <c r="AB58" i="16" s="1"/>
  <c r="X57" i="16"/>
  <c r="AD57" i="16" s="1"/>
  <c r="W57" i="16"/>
  <c r="AC57" i="16" s="1"/>
  <c r="V57" i="16"/>
  <c r="AB57" i="16" s="1"/>
  <c r="X56" i="16"/>
  <c r="AD56" i="16" s="1"/>
  <c r="W56" i="16"/>
  <c r="AC56" i="16" s="1"/>
  <c r="V56" i="16"/>
  <c r="AB56" i="16" s="1"/>
  <c r="X55" i="16"/>
  <c r="AD55" i="16" s="1"/>
  <c r="W55" i="16"/>
  <c r="AC55" i="16" s="1"/>
  <c r="V55" i="16"/>
  <c r="AB55" i="16" s="1"/>
  <c r="X54" i="16"/>
  <c r="AD54" i="16" s="1"/>
  <c r="W54" i="16"/>
  <c r="AC54" i="16" s="1"/>
  <c r="V54" i="16"/>
  <c r="AB54" i="16" s="1"/>
  <c r="X53" i="16"/>
  <c r="AD53" i="16" s="1"/>
  <c r="W53" i="16"/>
  <c r="AC53" i="16" s="1"/>
  <c r="V53" i="16"/>
  <c r="AB53" i="16" s="1"/>
  <c r="X52" i="16"/>
  <c r="AD52" i="16" s="1"/>
  <c r="W52" i="16"/>
  <c r="AC52" i="16" s="1"/>
  <c r="V52" i="16"/>
  <c r="AB52" i="16" s="1"/>
  <c r="X51" i="16"/>
  <c r="AD51" i="16" s="1"/>
  <c r="W51" i="16"/>
  <c r="AC51" i="16" s="1"/>
  <c r="V51" i="16"/>
  <c r="AB51" i="16" s="1"/>
  <c r="X50" i="16"/>
  <c r="AD50" i="16" s="1"/>
  <c r="W50" i="16"/>
  <c r="AC50" i="16" s="1"/>
  <c r="V50" i="16"/>
  <c r="AB50" i="16" s="1"/>
  <c r="X49" i="16"/>
  <c r="AD49" i="16" s="1"/>
  <c r="W49" i="16"/>
  <c r="AC49" i="16" s="1"/>
  <c r="V49" i="16"/>
  <c r="AB49" i="16" s="1"/>
  <c r="X48" i="16"/>
  <c r="AD48" i="16" s="1"/>
  <c r="W48" i="16"/>
  <c r="AC48" i="16" s="1"/>
  <c r="V48" i="16"/>
  <c r="AB48" i="16" s="1"/>
  <c r="X47" i="16"/>
  <c r="AD47" i="16" s="1"/>
  <c r="W47" i="16"/>
  <c r="AC47" i="16" s="1"/>
  <c r="V47" i="16"/>
  <c r="AB47" i="16" s="1"/>
  <c r="X46" i="16"/>
  <c r="AD46" i="16" s="1"/>
  <c r="W46" i="16"/>
  <c r="AC46" i="16" s="1"/>
  <c r="V46" i="16"/>
  <c r="AB46" i="16" s="1"/>
  <c r="X45" i="16"/>
  <c r="AD45" i="16" s="1"/>
  <c r="W45" i="16"/>
  <c r="AC45" i="16" s="1"/>
  <c r="V45" i="16"/>
  <c r="AB45" i="16" s="1"/>
  <c r="X44" i="16"/>
  <c r="AD44" i="16" s="1"/>
  <c r="W44" i="16"/>
  <c r="AC44" i="16" s="1"/>
  <c r="V44" i="16"/>
  <c r="AB44" i="16" s="1"/>
  <c r="X43" i="16"/>
  <c r="AD43" i="16" s="1"/>
  <c r="W43" i="16"/>
  <c r="AC43" i="16" s="1"/>
  <c r="V43" i="16"/>
  <c r="AB43" i="16" s="1"/>
  <c r="X42" i="16"/>
  <c r="AD42" i="16" s="1"/>
  <c r="W42" i="16"/>
  <c r="AC42" i="16" s="1"/>
  <c r="V42" i="16"/>
  <c r="AB42" i="16" s="1"/>
  <c r="X41" i="16"/>
  <c r="AD41" i="16" s="1"/>
  <c r="W41" i="16"/>
  <c r="AC41" i="16" s="1"/>
  <c r="V41" i="16"/>
  <c r="AB41" i="16" s="1"/>
  <c r="X40" i="16"/>
  <c r="AD40" i="16" s="1"/>
  <c r="W40" i="16"/>
  <c r="AC40" i="16" s="1"/>
  <c r="V40" i="16"/>
  <c r="AB40" i="16" s="1"/>
  <c r="X39" i="16"/>
  <c r="AD39" i="16" s="1"/>
  <c r="W39" i="16"/>
  <c r="AC39" i="16" s="1"/>
  <c r="V39" i="16"/>
  <c r="AB39" i="16" s="1"/>
  <c r="X38" i="16"/>
  <c r="AD38" i="16" s="1"/>
  <c r="W38" i="16"/>
  <c r="AC38" i="16" s="1"/>
  <c r="V38" i="16"/>
  <c r="AB38" i="16" s="1"/>
  <c r="X37" i="16"/>
  <c r="AD37" i="16" s="1"/>
  <c r="W37" i="16"/>
  <c r="AC37" i="16" s="1"/>
  <c r="V37" i="16"/>
  <c r="AB37" i="16" s="1"/>
  <c r="X36" i="16"/>
  <c r="AD36" i="16" s="1"/>
  <c r="W36" i="16"/>
  <c r="AC36" i="16" s="1"/>
  <c r="V36" i="16"/>
  <c r="AB36" i="16" s="1"/>
  <c r="X35" i="16"/>
  <c r="AD35" i="16" s="1"/>
  <c r="W35" i="16"/>
  <c r="AC35" i="16" s="1"/>
  <c r="V35" i="16"/>
  <c r="AB35" i="16" s="1"/>
  <c r="X34" i="16"/>
  <c r="AD34" i="16" s="1"/>
  <c r="W34" i="16"/>
  <c r="AC34" i="16" s="1"/>
  <c r="V34" i="16"/>
  <c r="AB34" i="16" s="1"/>
  <c r="X33" i="16"/>
  <c r="AD33" i="16" s="1"/>
  <c r="W33" i="16"/>
  <c r="AC33" i="16" s="1"/>
  <c r="V33" i="16"/>
  <c r="AB33" i="16" s="1"/>
  <c r="X32" i="16"/>
  <c r="AD32" i="16" s="1"/>
  <c r="W32" i="16"/>
  <c r="AC32" i="16" s="1"/>
  <c r="V32" i="16"/>
  <c r="AB32" i="16" s="1"/>
  <c r="X31" i="16"/>
  <c r="AD31" i="16" s="1"/>
  <c r="W31" i="16"/>
  <c r="AC31" i="16" s="1"/>
  <c r="V31" i="16"/>
  <c r="AB31" i="16" s="1"/>
  <c r="X30" i="16"/>
  <c r="AD30" i="16" s="1"/>
  <c r="W30" i="16"/>
  <c r="AC30" i="16" s="1"/>
  <c r="V30" i="16"/>
  <c r="AB30" i="16" s="1"/>
  <c r="X29" i="16"/>
  <c r="AD29" i="16" s="1"/>
  <c r="W29" i="16"/>
  <c r="AC29" i="16" s="1"/>
  <c r="V29" i="16"/>
  <c r="AB29" i="16" s="1"/>
  <c r="X28" i="16"/>
  <c r="AD28" i="16" s="1"/>
  <c r="W28" i="16"/>
  <c r="AC28" i="16" s="1"/>
  <c r="V28" i="16"/>
  <c r="AB28" i="16" s="1"/>
  <c r="X27" i="16"/>
  <c r="AD27" i="16" s="1"/>
  <c r="W27" i="16"/>
  <c r="AC27" i="16" s="1"/>
  <c r="V27" i="16"/>
  <c r="AB27" i="16" s="1"/>
  <c r="X26" i="16"/>
  <c r="AD26" i="16" s="1"/>
  <c r="W26" i="16"/>
  <c r="AC26" i="16" s="1"/>
  <c r="V26" i="16"/>
  <c r="AB26" i="16" s="1"/>
  <c r="X25" i="16"/>
  <c r="AD25" i="16" s="1"/>
  <c r="W25" i="16"/>
  <c r="AC25" i="16" s="1"/>
  <c r="V25" i="16"/>
  <c r="AB25" i="16" s="1"/>
  <c r="X24" i="16"/>
  <c r="AD24" i="16" s="1"/>
  <c r="W24" i="16"/>
  <c r="AC24" i="16" s="1"/>
  <c r="V24" i="16"/>
  <c r="AB24" i="16" s="1"/>
  <c r="X23" i="16"/>
  <c r="AD23" i="16" s="1"/>
  <c r="W23" i="16"/>
  <c r="AC23" i="16" s="1"/>
  <c r="V23" i="16"/>
  <c r="AB23" i="16" s="1"/>
  <c r="X22" i="16"/>
  <c r="AD22" i="16" s="1"/>
  <c r="W22" i="16"/>
  <c r="AC22" i="16" s="1"/>
  <c r="V22" i="16"/>
  <c r="AB22" i="16" s="1"/>
  <c r="X21" i="16"/>
  <c r="AD21" i="16" s="1"/>
  <c r="W21" i="16"/>
  <c r="AC21" i="16" s="1"/>
  <c r="V21" i="16"/>
  <c r="AB21" i="16" s="1"/>
  <c r="X20" i="16"/>
  <c r="AD20" i="16" s="1"/>
  <c r="W20" i="16"/>
  <c r="AC20" i="16" s="1"/>
  <c r="V20" i="16"/>
  <c r="AB20" i="16" s="1"/>
  <c r="X19" i="16"/>
  <c r="AD19" i="16" s="1"/>
  <c r="W19" i="16"/>
  <c r="AC19" i="16" s="1"/>
  <c r="V19" i="16"/>
  <c r="AB19" i="16" s="1"/>
  <c r="X18" i="16"/>
  <c r="AD18" i="16" s="1"/>
  <c r="W18" i="16"/>
  <c r="AC18" i="16" s="1"/>
  <c r="V18" i="16"/>
  <c r="AB18" i="16" s="1"/>
  <c r="X17" i="16"/>
  <c r="AD17" i="16" s="1"/>
  <c r="W17" i="16"/>
  <c r="AC17" i="16" s="1"/>
  <c r="V17" i="16"/>
  <c r="AB17" i="16" s="1"/>
  <c r="X16" i="16"/>
  <c r="AD16" i="16" s="1"/>
  <c r="W16" i="16"/>
  <c r="AC16" i="16" s="1"/>
  <c r="V16" i="16"/>
  <c r="AB16" i="16" s="1"/>
  <c r="X15" i="16"/>
  <c r="AD15" i="16" s="1"/>
  <c r="W15" i="16"/>
  <c r="AC15" i="16" s="1"/>
  <c r="V15" i="16"/>
  <c r="AB15" i="16" s="1"/>
  <c r="X14" i="16"/>
  <c r="AD14" i="16" s="1"/>
  <c r="W14" i="16"/>
  <c r="AC14" i="16" s="1"/>
  <c r="V14" i="16"/>
  <c r="AB14" i="16" s="1"/>
  <c r="X13" i="16"/>
  <c r="AD13" i="16" s="1"/>
  <c r="W13" i="16"/>
  <c r="AC13" i="16" s="1"/>
  <c r="V13" i="16"/>
  <c r="AB13" i="16" s="1"/>
  <c r="X12" i="16"/>
  <c r="AD12" i="16" s="1"/>
  <c r="W12" i="16"/>
  <c r="AC12" i="16" s="1"/>
  <c r="V12" i="16"/>
  <c r="AB12" i="16" s="1"/>
  <c r="X11" i="16"/>
  <c r="AD11" i="16" s="1"/>
  <c r="W11" i="16"/>
  <c r="AC11" i="16" s="1"/>
  <c r="V11" i="16"/>
  <c r="AB11" i="16" s="1"/>
  <c r="X10" i="16"/>
  <c r="AD10" i="16" s="1"/>
  <c r="W10" i="16"/>
  <c r="AC10" i="16" s="1"/>
  <c r="V10" i="16"/>
  <c r="AB10" i="16" s="1"/>
  <c r="X9" i="16"/>
  <c r="AD9" i="16" s="1"/>
  <c r="W9" i="16"/>
  <c r="AC9" i="16" s="1"/>
  <c r="V9" i="16"/>
  <c r="AB9" i="16" s="1"/>
  <c r="X8" i="16"/>
  <c r="AD8" i="16" s="1"/>
  <c r="W8" i="16"/>
  <c r="AC8" i="16" s="1"/>
  <c r="V8" i="16"/>
  <c r="AB8" i="16" s="1"/>
  <c r="X7" i="16"/>
  <c r="AD7" i="16" s="1"/>
  <c r="W7" i="16"/>
  <c r="AC7" i="16" s="1"/>
  <c r="V7" i="16"/>
  <c r="AB7" i="16" s="1"/>
  <c r="X6" i="16"/>
  <c r="AD6" i="16" s="1"/>
  <c r="W6" i="16"/>
  <c r="AC6" i="16" s="1"/>
  <c r="V6" i="16"/>
  <c r="AB6" i="16" s="1"/>
  <c r="X5" i="16"/>
  <c r="AD5" i="16" s="1"/>
  <c r="W5" i="16"/>
  <c r="AC5" i="16" s="1"/>
  <c r="V5" i="16"/>
  <c r="AB5" i="16" s="1"/>
  <c r="X4" i="16"/>
  <c r="AD4" i="16" s="1"/>
  <c r="W4" i="16"/>
  <c r="AC4" i="16" s="1"/>
  <c r="V4" i="16"/>
  <c r="AB4" i="16" s="1"/>
  <c r="X3" i="16"/>
  <c r="AD3" i="16" s="1"/>
  <c r="W3" i="16"/>
  <c r="AC3" i="16" s="1"/>
  <c r="V3" i="16"/>
  <c r="AB3" i="16" s="1"/>
  <c r="X2" i="16"/>
  <c r="AD2" i="16" s="1"/>
  <c r="AO2" i="16" s="1"/>
  <c r="W2" i="16"/>
  <c r="AC2" i="16" s="1"/>
  <c r="V2" i="16"/>
  <c r="AB2" i="16" s="1"/>
  <c r="AD51" i="6"/>
  <c r="AB51" i="6"/>
  <c r="AA51" i="6"/>
  <c r="AA51" i="7" s="1"/>
  <c r="Z51" i="6"/>
  <c r="X51" i="6"/>
  <c r="W51" i="6"/>
  <c r="V51" i="6"/>
  <c r="U51" i="6"/>
  <c r="AD50" i="6"/>
  <c r="AB50" i="6"/>
  <c r="AA50" i="6"/>
  <c r="Z50" i="6"/>
  <c r="X50" i="6"/>
  <c r="W50" i="6"/>
  <c r="V50" i="6"/>
  <c r="U50" i="6"/>
  <c r="AD49" i="6"/>
  <c r="AB49" i="6"/>
  <c r="AA49" i="6"/>
  <c r="Z49" i="6"/>
  <c r="X49" i="6"/>
  <c r="W49" i="6"/>
  <c r="V49" i="6"/>
  <c r="U49" i="6"/>
  <c r="AD48" i="6"/>
  <c r="AB48" i="6"/>
  <c r="AA48" i="6"/>
  <c r="Z48" i="6"/>
  <c r="X48" i="6"/>
  <c r="W48" i="6"/>
  <c r="V48" i="6"/>
  <c r="U48" i="6"/>
  <c r="AD47" i="6"/>
  <c r="AB47" i="6"/>
  <c r="AA47" i="6"/>
  <c r="AA47" i="7" s="1"/>
  <c r="Z47" i="6"/>
  <c r="X47" i="6"/>
  <c r="W47" i="6"/>
  <c r="V47" i="6"/>
  <c r="U47" i="6"/>
  <c r="AD46" i="6"/>
  <c r="AB46" i="6"/>
  <c r="AA46" i="6"/>
  <c r="Z46" i="6"/>
  <c r="X46" i="6"/>
  <c r="W46" i="6"/>
  <c r="V46" i="6"/>
  <c r="U46" i="6"/>
  <c r="AD45" i="6"/>
  <c r="AB45" i="6"/>
  <c r="AA45" i="6"/>
  <c r="Z45" i="6"/>
  <c r="X45" i="6"/>
  <c r="W45" i="6"/>
  <c r="V45" i="6"/>
  <c r="U45" i="6"/>
  <c r="AD44" i="6"/>
  <c r="AB44" i="6"/>
  <c r="AA44" i="6"/>
  <c r="Z44" i="6"/>
  <c r="X44" i="6"/>
  <c r="W44" i="6"/>
  <c r="V44" i="6"/>
  <c r="U44" i="6"/>
  <c r="AD43" i="6"/>
  <c r="AB43" i="6"/>
  <c r="AA43" i="6"/>
  <c r="AA43" i="7" s="1"/>
  <c r="Z43" i="6"/>
  <c r="X43" i="6"/>
  <c r="W43" i="6"/>
  <c r="V43" i="6"/>
  <c r="U43" i="6"/>
  <c r="AD42" i="6"/>
  <c r="AB42" i="6"/>
  <c r="AA42" i="6"/>
  <c r="Z42" i="6"/>
  <c r="X42" i="6"/>
  <c r="W42" i="6"/>
  <c r="V42" i="6"/>
  <c r="U42" i="6"/>
  <c r="AD41" i="6"/>
  <c r="AB41" i="6"/>
  <c r="AA41" i="6"/>
  <c r="Z41" i="6"/>
  <c r="X41" i="6"/>
  <c r="W41" i="6"/>
  <c r="V41" i="6"/>
  <c r="U41" i="6"/>
  <c r="AD40" i="6"/>
  <c r="AB40" i="6"/>
  <c r="AA40" i="6"/>
  <c r="Z40" i="6"/>
  <c r="X40" i="6"/>
  <c r="W40" i="6"/>
  <c r="V40" i="6"/>
  <c r="U40" i="6"/>
  <c r="AD39" i="6"/>
  <c r="AB39" i="6"/>
  <c r="AA39" i="6"/>
  <c r="AA39" i="7" s="1"/>
  <c r="Z39" i="6"/>
  <c r="X39" i="6"/>
  <c r="W39" i="6"/>
  <c r="V39" i="6"/>
  <c r="U39" i="6"/>
  <c r="AD38" i="6"/>
  <c r="AB38" i="6"/>
  <c r="AA38" i="6"/>
  <c r="Z38" i="6"/>
  <c r="X38" i="6"/>
  <c r="W38" i="6"/>
  <c r="V38" i="6"/>
  <c r="U38" i="6"/>
  <c r="AD37" i="6"/>
  <c r="AB37" i="6"/>
  <c r="AA37" i="6"/>
  <c r="Z37" i="6"/>
  <c r="X37" i="6"/>
  <c r="W37" i="6"/>
  <c r="V37" i="6"/>
  <c r="U37" i="6"/>
  <c r="AD36" i="6"/>
  <c r="AB36" i="6"/>
  <c r="AA36" i="6"/>
  <c r="Z36" i="6"/>
  <c r="X36" i="6"/>
  <c r="W36" i="6"/>
  <c r="V36" i="6"/>
  <c r="U36" i="6"/>
  <c r="AD35" i="6"/>
  <c r="AB35" i="6"/>
  <c r="AA35" i="6"/>
  <c r="AA35" i="7" s="1"/>
  <c r="Z35" i="6"/>
  <c r="X35" i="6"/>
  <c r="W35" i="6"/>
  <c r="V35" i="6"/>
  <c r="U35" i="6"/>
  <c r="AD34" i="6"/>
  <c r="AB34" i="6"/>
  <c r="AA34" i="6"/>
  <c r="Z34" i="6"/>
  <c r="X34" i="6"/>
  <c r="W34" i="6"/>
  <c r="V34" i="6"/>
  <c r="U34" i="6"/>
  <c r="AD33" i="6"/>
  <c r="AB33" i="6"/>
  <c r="AA33" i="6"/>
  <c r="Z33" i="6"/>
  <c r="X33" i="6"/>
  <c r="W33" i="6"/>
  <c r="V33" i="6"/>
  <c r="U33" i="6"/>
  <c r="AD32" i="6"/>
  <c r="AB32" i="6"/>
  <c r="AA32" i="6"/>
  <c r="Z32" i="6"/>
  <c r="X32" i="6"/>
  <c r="W32" i="6"/>
  <c r="V32" i="6"/>
  <c r="U32" i="6"/>
  <c r="AD31" i="6"/>
  <c r="AB31" i="6"/>
  <c r="AA31" i="6"/>
  <c r="AA31" i="7" s="1"/>
  <c r="Z31" i="6"/>
  <c r="X31" i="6"/>
  <c r="W31" i="6"/>
  <c r="V31" i="6"/>
  <c r="U31" i="6"/>
  <c r="AD30" i="6"/>
  <c r="AB30" i="6"/>
  <c r="AA30" i="6"/>
  <c r="Z30" i="6"/>
  <c r="X30" i="6"/>
  <c r="W30" i="6"/>
  <c r="V30" i="6"/>
  <c r="U30" i="6"/>
  <c r="AD29" i="6"/>
  <c r="AB29" i="6"/>
  <c r="AA29" i="6"/>
  <c r="AA29" i="7" s="1"/>
  <c r="Z29" i="6"/>
  <c r="X29" i="6"/>
  <c r="W29" i="6"/>
  <c r="V29" i="6"/>
  <c r="U29" i="6"/>
  <c r="AD28" i="6"/>
  <c r="AB28" i="6"/>
  <c r="AA28" i="6"/>
  <c r="Z28" i="6"/>
  <c r="X28" i="6"/>
  <c r="W28" i="6"/>
  <c r="V28" i="6"/>
  <c r="U28" i="6"/>
  <c r="AD27" i="6"/>
  <c r="AB27" i="6"/>
  <c r="AA27" i="6"/>
  <c r="Z27" i="6"/>
  <c r="X27" i="6"/>
  <c r="W27" i="6"/>
  <c r="V27" i="6"/>
  <c r="U27" i="6"/>
  <c r="AD26" i="6"/>
  <c r="AB26" i="6"/>
  <c r="AA26" i="6"/>
  <c r="Z26" i="6"/>
  <c r="X26" i="6"/>
  <c r="W26" i="6"/>
  <c r="V26" i="6"/>
  <c r="U26" i="6"/>
  <c r="AD25" i="6"/>
  <c r="AC25" i="6"/>
  <c r="AB25" i="6"/>
  <c r="AA25" i="6"/>
  <c r="AA25" i="7" s="1"/>
  <c r="Z25" i="6"/>
  <c r="Y25" i="6"/>
  <c r="X25" i="6"/>
  <c r="W25" i="6"/>
  <c r="V25" i="6"/>
  <c r="U25" i="6"/>
  <c r="AD24" i="6"/>
  <c r="AB24" i="6"/>
  <c r="AA24" i="6"/>
  <c r="Z24" i="6"/>
  <c r="X24" i="6"/>
  <c r="W24" i="6"/>
  <c r="V24" i="6"/>
  <c r="U24" i="6"/>
  <c r="AD23" i="6"/>
  <c r="AB23" i="6"/>
  <c r="AA23" i="6"/>
  <c r="Z23" i="6"/>
  <c r="X23" i="6"/>
  <c r="W23" i="6"/>
  <c r="V23" i="6"/>
  <c r="U23" i="6"/>
  <c r="AD22" i="6"/>
  <c r="AB22" i="6"/>
  <c r="AA22" i="6"/>
  <c r="Z22" i="6"/>
  <c r="Y22" i="6"/>
  <c r="X22" i="6"/>
  <c r="W22" i="6"/>
  <c r="V22" i="6"/>
  <c r="U22" i="6"/>
  <c r="AD21" i="6"/>
  <c r="AB21" i="6"/>
  <c r="AA21" i="6"/>
  <c r="AA21" i="7" s="1"/>
  <c r="Z21" i="6"/>
  <c r="X21" i="6"/>
  <c r="W21" i="6"/>
  <c r="V21" i="6"/>
  <c r="U21" i="6"/>
  <c r="AD20" i="6"/>
  <c r="AC20" i="6"/>
  <c r="AB20" i="6"/>
  <c r="AA20" i="6"/>
  <c r="Z20" i="6"/>
  <c r="Y20" i="6"/>
  <c r="X20" i="6"/>
  <c r="W20" i="6"/>
  <c r="V20" i="6"/>
  <c r="U20" i="6"/>
  <c r="AD19" i="6"/>
  <c r="AC19" i="6"/>
  <c r="AB19" i="6"/>
  <c r="AA19" i="6"/>
  <c r="AA19" i="7" s="1"/>
  <c r="Z19" i="6"/>
  <c r="Y19" i="6"/>
  <c r="X19" i="6"/>
  <c r="W19" i="6"/>
  <c r="V19" i="6"/>
  <c r="U19" i="6"/>
  <c r="AD18" i="6"/>
  <c r="AC18" i="6"/>
  <c r="AB18" i="6"/>
  <c r="AA18" i="6"/>
  <c r="Z18" i="6"/>
  <c r="Y18" i="6"/>
  <c r="X18" i="6"/>
  <c r="W18" i="6"/>
  <c r="V18" i="6"/>
  <c r="U18" i="6"/>
  <c r="AD17" i="6"/>
  <c r="AC17" i="6"/>
  <c r="AB17" i="6"/>
  <c r="AA17" i="6"/>
  <c r="Z17" i="6"/>
  <c r="Y17" i="6"/>
  <c r="X17" i="6"/>
  <c r="W17" i="6"/>
  <c r="V17" i="6"/>
  <c r="U17" i="6"/>
  <c r="AD16" i="6"/>
  <c r="AC16" i="6"/>
  <c r="AB16" i="6"/>
  <c r="AA16" i="6"/>
  <c r="Z16" i="6"/>
  <c r="Y16" i="6"/>
  <c r="X16" i="6"/>
  <c r="W16" i="6"/>
  <c r="V16" i="6"/>
  <c r="U16" i="6"/>
  <c r="AD15" i="6"/>
  <c r="AC15" i="6"/>
  <c r="AB15" i="6"/>
  <c r="AA15" i="6"/>
  <c r="AA15" i="7" s="1"/>
  <c r="Z15" i="6"/>
  <c r="Y15" i="6"/>
  <c r="X15" i="6"/>
  <c r="W15" i="6"/>
  <c r="V15" i="6"/>
  <c r="U15" i="6"/>
  <c r="AD14" i="6"/>
  <c r="AC14" i="6"/>
  <c r="AB14" i="6"/>
  <c r="AA14" i="6"/>
  <c r="Z14" i="6"/>
  <c r="Y14" i="6"/>
  <c r="X14" i="6"/>
  <c r="W14" i="6"/>
  <c r="V14" i="6"/>
  <c r="U14" i="6"/>
  <c r="AD13" i="6"/>
  <c r="AC13" i="6"/>
  <c r="AB13" i="6"/>
  <c r="AA13" i="6"/>
  <c r="AA13" i="7" s="1"/>
  <c r="Z13" i="6"/>
  <c r="Y13" i="6"/>
  <c r="X13" i="6"/>
  <c r="W13" i="6"/>
  <c r="V13" i="6"/>
  <c r="U13" i="6"/>
  <c r="AD12" i="6"/>
  <c r="AC12" i="6"/>
  <c r="AB12" i="6"/>
  <c r="AA12" i="6"/>
  <c r="Z12" i="6"/>
  <c r="Y12" i="6"/>
  <c r="X12" i="6"/>
  <c r="W12" i="6"/>
  <c r="V12" i="6"/>
  <c r="U12" i="6"/>
  <c r="AD11" i="6"/>
  <c r="AC11" i="6"/>
  <c r="AB11" i="6"/>
  <c r="AA11" i="6"/>
  <c r="Z11" i="6"/>
  <c r="Y11" i="6"/>
  <c r="X11" i="6"/>
  <c r="W11" i="6"/>
  <c r="V11" i="6"/>
  <c r="U11" i="6"/>
  <c r="AD10" i="6"/>
  <c r="AC10" i="6"/>
  <c r="AB10" i="6"/>
  <c r="AA10" i="6"/>
  <c r="Z10" i="6"/>
  <c r="Y10" i="6"/>
  <c r="X10" i="6"/>
  <c r="W10" i="6"/>
  <c r="V10" i="6"/>
  <c r="U10" i="6"/>
  <c r="AD9" i="6"/>
  <c r="AC9" i="6"/>
  <c r="AB9" i="6"/>
  <c r="AA9" i="6"/>
  <c r="AA9" i="7" s="1"/>
  <c r="Z9" i="6"/>
  <c r="Y9" i="6"/>
  <c r="X9" i="6"/>
  <c r="W9" i="6"/>
  <c r="V9" i="6"/>
  <c r="U9" i="6"/>
  <c r="AD8" i="6"/>
  <c r="AC8" i="6"/>
  <c r="AB8" i="6"/>
  <c r="AA8" i="6"/>
  <c r="Z8" i="6"/>
  <c r="Y8" i="6"/>
  <c r="X8" i="6"/>
  <c r="W8" i="6"/>
  <c r="V8" i="6"/>
  <c r="U8" i="6"/>
  <c r="AD7" i="6"/>
  <c r="AC7" i="6"/>
  <c r="AB7" i="6"/>
  <c r="AA7" i="6"/>
  <c r="AA7" i="7" s="1"/>
  <c r="Z7" i="6"/>
  <c r="Y7" i="6"/>
  <c r="X7" i="6"/>
  <c r="W7" i="6"/>
  <c r="V7" i="6"/>
  <c r="U7" i="6"/>
  <c r="AD6" i="6"/>
  <c r="AC6" i="6"/>
  <c r="AB6" i="6"/>
  <c r="AA6" i="6"/>
  <c r="Z6" i="6"/>
  <c r="Y6" i="6"/>
  <c r="X6" i="6"/>
  <c r="W6" i="6"/>
  <c r="V6" i="6"/>
  <c r="U6" i="6"/>
  <c r="AD5" i="6"/>
  <c r="AC5" i="6"/>
  <c r="AB5" i="6"/>
  <c r="AA5" i="6"/>
  <c r="AA5" i="7" s="1"/>
  <c r="Z5" i="6"/>
  <c r="Y5" i="6"/>
  <c r="X5" i="6"/>
  <c r="W5" i="6"/>
  <c r="V5" i="6"/>
  <c r="U5" i="6"/>
  <c r="AP51" i="14"/>
  <c r="AC51" i="14"/>
  <c r="AC51" i="6" s="1"/>
  <c r="Y51" i="14"/>
  <c r="Y51" i="6" s="1"/>
  <c r="AP50" i="14"/>
  <c r="AC50" i="14"/>
  <c r="AC50" i="6" s="1"/>
  <c r="Y50" i="14"/>
  <c r="Y50" i="6" s="1"/>
  <c r="AP49" i="14"/>
  <c r="AC49" i="14"/>
  <c r="AC49" i="6" s="1"/>
  <c r="Y49" i="14"/>
  <c r="Y49" i="6" s="1"/>
  <c r="AP48" i="14"/>
  <c r="AC48" i="14"/>
  <c r="AC48" i="6" s="1"/>
  <c r="Y48" i="14"/>
  <c r="Y48" i="6" s="1"/>
  <c r="AP47" i="14"/>
  <c r="AC47" i="14"/>
  <c r="AC47" i="6" s="1"/>
  <c r="Y47" i="14"/>
  <c r="Y47" i="6" s="1"/>
  <c r="AP46" i="14"/>
  <c r="AC46" i="14"/>
  <c r="AC46" i="6" s="1"/>
  <c r="Y46" i="14"/>
  <c r="Y46" i="6" s="1"/>
  <c r="AP45" i="14"/>
  <c r="AC45" i="14"/>
  <c r="AC45" i="6" s="1"/>
  <c r="Y45" i="14"/>
  <c r="Y45" i="6" s="1"/>
  <c r="AP44" i="14"/>
  <c r="AC44" i="14"/>
  <c r="AC44" i="6" s="1"/>
  <c r="Y44" i="14"/>
  <c r="Y44" i="6" s="1"/>
  <c r="AP43" i="14"/>
  <c r="AC43" i="14"/>
  <c r="AC43" i="6" s="1"/>
  <c r="Y43" i="14"/>
  <c r="Y43" i="6" s="1"/>
  <c r="AP42" i="14"/>
  <c r="AC42" i="14"/>
  <c r="AC42" i="6" s="1"/>
  <c r="Y42" i="14"/>
  <c r="Y42" i="6" s="1"/>
  <c r="AP41" i="14"/>
  <c r="AC41" i="14"/>
  <c r="AC41" i="6" s="1"/>
  <c r="Y41" i="14"/>
  <c r="Y41" i="6" s="1"/>
  <c r="AP40" i="14"/>
  <c r="AC40" i="14"/>
  <c r="AC40" i="6" s="1"/>
  <c r="Y40" i="14"/>
  <c r="Y40" i="6" s="1"/>
  <c r="AP39" i="14"/>
  <c r="AC39" i="14"/>
  <c r="AC39" i="6" s="1"/>
  <c r="Y39" i="14"/>
  <c r="Y39" i="6" s="1"/>
  <c r="AP38" i="14"/>
  <c r="AC38" i="14"/>
  <c r="AC38" i="6" s="1"/>
  <c r="Y38" i="14"/>
  <c r="Y38" i="6" s="1"/>
  <c r="AP37" i="14"/>
  <c r="AC37" i="14"/>
  <c r="AC37" i="6" s="1"/>
  <c r="Y37" i="14"/>
  <c r="Y37" i="6" s="1"/>
  <c r="AP36" i="14"/>
  <c r="AC36" i="14"/>
  <c r="AC36" i="6" s="1"/>
  <c r="Y36" i="14"/>
  <c r="Y36" i="6" s="1"/>
  <c r="AP35" i="14"/>
  <c r="AC35" i="14"/>
  <c r="AC35" i="6" s="1"/>
  <c r="Y35" i="14"/>
  <c r="Y35" i="6" s="1"/>
  <c r="AP34" i="14"/>
  <c r="AC34" i="14"/>
  <c r="AC34" i="6" s="1"/>
  <c r="Y34" i="14"/>
  <c r="Y34" i="6" s="1"/>
  <c r="AP33" i="14"/>
  <c r="AC33" i="14"/>
  <c r="AC33" i="6" s="1"/>
  <c r="Y33" i="14"/>
  <c r="Y33" i="6" s="1"/>
  <c r="AP32" i="14"/>
  <c r="AC32" i="14"/>
  <c r="AC32" i="6" s="1"/>
  <c r="Y32" i="14"/>
  <c r="Y32" i="6" s="1"/>
  <c r="AP31" i="14"/>
  <c r="AC31" i="14"/>
  <c r="AC31" i="6" s="1"/>
  <c r="Y31" i="14"/>
  <c r="Y31" i="6" s="1"/>
  <c r="AP30" i="14"/>
  <c r="AC30" i="14"/>
  <c r="AC30" i="6" s="1"/>
  <c r="Y30" i="14"/>
  <c r="Y30" i="6" s="1"/>
  <c r="AP29" i="14"/>
  <c r="AC29" i="14"/>
  <c r="AC29" i="6" s="1"/>
  <c r="Y29" i="14"/>
  <c r="Y29" i="6" s="1"/>
  <c r="AP28" i="14"/>
  <c r="AC28" i="14"/>
  <c r="AC28" i="6" s="1"/>
  <c r="Y28" i="14"/>
  <c r="Y28" i="6" s="1"/>
  <c r="AP27" i="14"/>
  <c r="AC27" i="14"/>
  <c r="AC27" i="6" s="1"/>
  <c r="Y27" i="14"/>
  <c r="Y27" i="6" s="1"/>
  <c r="AP26" i="14"/>
  <c r="AC26" i="14"/>
  <c r="AC26" i="6" s="1"/>
  <c r="Y26" i="14"/>
  <c r="Y26" i="6" s="1"/>
  <c r="AP24" i="14"/>
  <c r="AC24" i="14"/>
  <c r="AC24" i="6" s="1"/>
  <c r="Y24" i="14"/>
  <c r="Y24" i="6" s="1"/>
  <c r="AP23" i="14"/>
  <c r="AC23" i="14"/>
  <c r="AC23" i="6" s="1"/>
  <c r="Y23" i="14"/>
  <c r="Y23" i="6" s="1"/>
  <c r="AP22" i="14"/>
  <c r="AC22" i="14"/>
  <c r="AC22" i="6" s="1"/>
  <c r="Y22" i="14"/>
  <c r="AP21" i="14"/>
  <c r="AC21" i="14"/>
  <c r="AC21" i="6" s="1"/>
  <c r="Y21" i="14"/>
  <c r="Y21" i="6" s="1"/>
  <c r="W47" i="13"/>
  <c r="U47" i="13"/>
  <c r="S47" i="13"/>
  <c r="O47" i="13"/>
  <c r="N47" i="13"/>
  <c r="M47" i="13"/>
  <c r="U46" i="13"/>
  <c r="T46" i="13"/>
  <c r="S46" i="13"/>
  <c r="O46" i="13"/>
  <c r="N46" i="13"/>
  <c r="M46" i="13"/>
  <c r="W45" i="13"/>
  <c r="U45" i="13"/>
  <c r="T45" i="13"/>
  <c r="S45" i="13"/>
  <c r="O45" i="13"/>
  <c r="N45" i="13"/>
  <c r="M45" i="13"/>
  <c r="W47" i="12"/>
  <c r="U47" i="12"/>
  <c r="S47" i="12"/>
  <c r="O47" i="12"/>
  <c r="N47" i="12"/>
  <c r="M47" i="12"/>
  <c r="U46" i="12"/>
  <c r="T46" i="12"/>
  <c r="S46" i="12"/>
  <c r="O46" i="12"/>
  <c r="N46" i="12"/>
  <c r="M46" i="12"/>
  <c r="W45" i="12"/>
  <c r="U45" i="12"/>
  <c r="U49" i="12" s="1"/>
  <c r="T45" i="12"/>
  <c r="T49" i="12" s="1"/>
  <c r="S45" i="12"/>
  <c r="S49" i="12" s="1"/>
  <c r="O45" i="12"/>
  <c r="O49" i="12" s="1"/>
  <c r="N45" i="12"/>
  <c r="N49" i="12" s="1"/>
  <c r="M45" i="12"/>
  <c r="M49" i="12" s="1"/>
  <c r="X42" i="11"/>
  <c r="X41" i="11"/>
  <c r="X40" i="11"/>
  <c r="X39" i="11"/>
  <c r="X38" i="11"/>
  <c r="X37" i="11"/>
  <c r="X36" i="11"/>
  <c r="X35" i="11"/>
  <c r="X34" i="11"/>
  <c r="X33" i="11"/>
  <c r="X32" i="11"/>
  <c r="X31" i="11"/>
  <c r="X30" i="11"/>
  <c r="X29" i="11"/>
  <c r="X28" i="11"/>
  <c r="X27" i="11"/>
  <c r="X26" i="11"/>
  <c r="X25" i="11"/>
  <c r="X24" i="11"/>
  <c r="X23" i="11"/>
  <c r="X22" i="11"/>
  <c r="X21" i="11"/>
  <c r="X20" i="11"/>
  <c r="X19" i="11"/>
  <c r="X18" i="11"/>
  <c r="X17" i="11"/>
  <c r="X16" i="11"/>
  <c r="X15" i="11"/>
  <c r="X14" i="11"/>
  <c r="X13" i="11"/>
  <c r="X12" i="11"/>
  <c r="X11" i="11"/>
  <c r="X10" i="11"/>
  <c r="X9" i="11"/>
  <c r="X8" i="11"/>
  <c r="X7" i="11"/>
  <c r="X6" i="11"/>
  <c r="X5" i="11"/>
  <c r="W47" i="11"/>
  <c r="U47" i="11"/>
  <c r="S47" i="11"/>
  <c r="O47" i="11"/>
  <c r="N47" i="11"/>
  <c r="M47" i="11"/>
  <c r="U46" i="11"/>
  <c r="T46" i="11"/>
  <c r="S46" i="11"/>
  <c r="O46" i="11"/>
  <c r="N46" i="11"/>
  <c r="M46" i="11"/>
  <c r="W45" i="11"/>
  <c r="U45" i="11"/>
  <c r="U49" i="11" s="1"/>
  <c r="T45" i="11"/>
  <c r="T49" i="11" s="1"/>
  <c r="S45" i="11"/>
  <c r="S49" i="11" s="1"/>
  <c r="O45" i="11"/>
  <c r="O49" i="11" s="1"/>
  <c r="N45" i="11"/>
  <c r="N49" i="11" s="1"/>
  <c r="M45" i="11"/>
  <c r="M49" i="11" s="1"/>
  <c r="W47" i="10"/>
  <c r="W45" i="10"/>
  <c r="U47" i="10"/>
  <c r="U46" i="10"/>
  <c r="U45" i="10"/>
  <c r="T46" i="10"/>
  <c r="T45" i="10"/>
  <c r="S47" i="10"/>
  <c r="S46" i="10"/>
  <c r="S45" i="10"/>
  <c r="Q48" i="10"/>
  <c r="O47" i="10"/>
  <c r="O46" i="10"/>
  <c r="O45" i="10"/>
  <c r="N47" i="10"/>
  <c r="N46" i="10"/>
  <c r="N45" i="10"/>
  <c r="M47" i="10"/>
  <c r="M46" i="10"/>
  <c r="M45" i="10"/>
  <c r="Y42" i="10"/>
  <c r="Y41" i="10"/>
  <c r="Y40" i="10"/>
  <c r="Y39" i="10"/>
  <c r="Y38" i="10"/>
  <c r="Y37" i="10"/>
  <c r="Y36" i="10"/>
  <c r="Y35" i="10"/>
  <c r="Y34" i="10"/>
  <c r="Y33" i="10"/>
  <c r="Y32" i="10"/>
  <c r="Y31" i="10"/>
  <c r="Y30" i="10"/>
  <c r="Y29" i="10"/>
  <c r="Y28" i="10"/>
  <c r="Y27" i="10"/>
  <c r="Y26" i="10"/>
  <c r="Y25" i="10"/>
  <c r="Y24" i="10"/>
  <c r="Y23" i="10"/>
  <c r="Y22" i="10"/>
  <c r="Y21" i="10"/>
  <c r="Y20" i="10"/>
  <c r="Y19" i="10"/>
  <c r="Y18" i="10"/>
  <c r="Y17" i="10"/>
  <c r="Y15" i="10"/>
  <c r="Y14" i="10"/>
  <c r="Y13" i="10"/>
  <c r="Y12" i="10"/>
  <c r="U42" i="10"/>
  <c r="U41" i="10"/>
  <c r="U40" i="10"/>
  <c r="U39" i="10"/>
  <c r="U38" i="10"/>
  <c r="U37" i="10"/>
  <c r="U36" i="10"/>
  <c r="U35" i="10"/>
  <c r="U34" i="10"/>
  <c r="U33" i="10"/>
  <c r="U32" i="10"/>
  <c r="U31" i="10"/>
  <c r="U30" i="10"/>
  <c r="U29" i="10"/>
  <c r="U28" i="10"/>
  <c r="U27" i="10"/>
  <c r="U26" i="10"/>
  <c r="U25" i="10"/>
  <c r="U24" i="10"/>
  <c r="U23" i="10"/>
  <c r="U22" i="10"/>
  <c r="U21" i="10"/>
  <c r="U20" i="10"/>
  <c r="U19" i="10"/>
  <c r="U18" i="10"/>
  <c r="U17" i="10"/>
  <c r="U15" i="10"/>
  <c r="U14" i="10"/>
  <c r="U13" i="10"/>
  <c r="U12" i="10"/>
  <c r="T42" i="10"/>
  <c r="T41" i="10"/>
  <c r="T40" i="10"/>
  <c r="T39" i="10"/>
  <c r="T38" i="10"/>
  <c r="T37" i="10"/>
  <c r="T36" i="10"/>
  <c r="T35" i="10"/>
  <c r="T34" i="10"/>
  <c r="T33" i="10"/>
  <c r="T32" i="10"/>
  <c r="T31" i="10"/>
  <c r="T30" i="10"/>
  <c r="T29" i="10"/>
  <c r="T28" i="10"/>
  <c r="T27" i="10"/>
  <c r="T26" i="10"/>
  <c r="T25" i="10"/>
  <c r="T24" i="10"/>
  <c r="T23" i="10"/>
  <c r="T22" i="10"/>
  <c r="T21" i="10"/>
  <c r="T20" i="10"/>
  <c r="T19" i="10"/>
  <c r="T18" i="10"/>
  <c r="T17" i="10"/>
  <c r="T15" i="10"/>
  <c r="T14" i="10"/>
  <c r="T13" i="10"/>
  <c r="T12" i="10"/>
  <c r="S42" i="10"/>
  <c r="S41" i="10"/>
  <c r="S40" i="10"/>
  <c r="S39" i="10"/>
  <c r="S38" i="10"/>
  <c r="S37" i="10"/>
  <c r="S36" i="10"/>
  <c r="S35" i="10"/>
  <c r="S34" i="10"/>
  <c r="S33" i="10"/>
  <c r="S32" i="10"/>
  <c r="S31" i="10"/>
  <c r="S30" i="10"/>
  <c r="S29" i="10"/>
  <c r="S28" i="10"/>
  <c r="S27" i="10"/>
  <c r="S26" i="10"/>
  <c r="S25" i="10"/>
  <c r="S24" i="10"/>
  <c r="S23" i="10"/>
  <c r="S22" i="10"/>
  <c r="S21" i="10"/>
  <c r="S20" i="10"/>
  <c r="S19" i="10"/>
  <c r="S18" i="10"/>
  <c r="S17" i="10"/>
  <c r="S15" i="10"/>
  <c r="S14" i="10"/>
  <c r="S13" i="10"/>
  <c r="S12" i="10"/>
  <c r="Q42" i="10"/>
  <c r="Q41" i="10"/>
  <c r="Q40" i="10"/>
  <c r="Q39" i="10"/>
  <c r="Q38" i="10"/>
  <c r="Q37" i="10"/>
  <c r="Q36" i="10"/>
  <c r="Q35" i="10"/>
  <c r="Q34" i="10"/>
  <c r="Q33" i="10"/>
  <c r="Q32" i="10"/>
  <c r="Q31" i="10"/>
  <c r="Q30" i="10"/>
  <c r="Q29" i="10"/>
  <c r="Q28" i="10"/>
  <c r="Q27" i="10"/>
  <c r="Q26" i="10"/>
  <c r="Q25" i="10"/>
  <c r="Q24" i="10"/>
  <c r="Q23" i="10"/>
  <c r="Q22" i="10"/>
  <c r="Q21" i="10"/>
  <c r="Q20" i="10"/>
  <c r="Q19" i="10"/>
  <c r="Q18" i="10"/>
  <c r="Q17" i="10"/>
  <c r="Q15" i="10"/>
  <c r="Q14" i="10"/>
  <c r="Q13" i="10"/>
  <c r="Q12" i="10"/>
  <c r="O42" i="10"/>
  <c r="O41" i="10"/>
  <c r="O40" i="10"/>
  <c r="O39" i="10"/>
  <c r="O38" i="10"/>
  <c r="O37" i="10"/>
  <c r="O36" i="10"/>
  <c r="O35" i="10"/>
  <c r="O34" i="10"/>
  <c r="O33" i="10"/>
  <c r="O32" i="10"/>
  <c r="O31" i="10"/>
  <c r="O30" i="10"/>
  <c r="O29" i="10"/>
  <c r="O28" i="10"/>
  <c r="O27" i="10"/>
  <c r="O26" i="10"/>
  <c r="O25" i="10"/>
  <c r="O24" i="10"/>
  <c r="O23" i="10"/>
  <c r="O22" i="10"/>
  <c r="O21" i="10"/>
  <c r="O20" i="10"/>
  <c r="O19" i="10"/>
  <c r="O18" i="10"/>
  <c r="O17" i="10"/>
  <c r="O15" i="10"/>
  <c r="O14" i="10"/>
  <c r="O13" i="10"/>
  <c r="O12" i="10"/>
  <c r="N42" i="10"/>
  <c r="N41" i="10"/>
  <c r="N40" i="10"/>
  <c r="N39" i="10"/>
  <c r="N38" i="10"/>
  <c r="N37" i="10"/>
  <c r="N36" i="10"/>
  <c r="N35" i="10"/>
  <c r="N34" i="10"/>
  <c r="N33" i="10"/>
  <c r="N32" i="10"/>
  <c r="N31" i="10"/>
  <c r="N30" i="10"/>
  <c r="N29" i="10"/>
  <c r="N28" i="10"/>
  <c r="N27" i="10"/>
  <c r="N26" i="10"/>
  <c r="N25" i="10"/>
  <c r="N24" i="10"/>
  <c r="N23" i="10"/>
  <c r="N22" i="10"/>
  <c r="N21" i="10"/>
  <c r="N20" i="10"/>
  <c r="N19" i="10"/>
  <c r="N18" i="10"/>
  <c r="N17" i="10"/>
  <c r="N15" i="10"/>
  <c r="N14" i="10"/>
  <c r="N13" i="10"/>
  <c r="N12" i="10"/>
  <c r="M42" i="10"/>
  <c r="M41" i="10"/>
  <c r="M40" i="10"/>
  <c r="M39" i="10"/>
  <c r="M38" i="10"/>
  <c r="M37" i="10"/>
  <c r="M36" i="10"/>
  <c r="M35" i="10"/>
  <c r="M34" i="10"/>
  <c r="M33" i="10"/>
  <c r="M32" i="10"/>
  <c r="M31" i="10"/>
  <c r="M30" i="10"/>
  <c r="M29" i="10"/>
  <c r="M28" i="10"/>
  <c r="M27" i="10"/>
  <c r="M26" i="10"/>
  <c r="M25" i="10"/>
  <c r="M24" i="10"/>
  <c r="M23" i="10"/>
  <c r="M22" i="10"/>
  <c r="M21" i="10"/>
  <c r="M20" i="10"/>
  <c r="M19" i="10"/>
  <c r="M18" i="10"/>
  <c r="M17" i="10"/>
  <c r="M15" i="10"/>
  <c r="M14" i="10"/>
  <c r="M13" i="10"/>
  <c r="M12" i="10"/>
  <c r="L42" i="10"/>
  <c r="L41" i="10"/>
  <c r="L40" i="10"/>
  <c r="L39" i="10"/>
  <c r="L38" i="10"/>
  <c r="L37" i="10"/>
  <c r="L36" i="10"/>
  <c r="L35" i="10"/>
  <c r="L34" i="10"/>
  <c r="L33" i="10"/>
  <c r="L32" i="10"/>
  <c r="L31" i="10"/>
  <c r="L30" i="10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5" i="10"/>
  <c r="L14" i="10"/>
  <c r="L13" i="10"/>
  <c r="L12" i="10"/>
  <c r="AK56" i="9"/>
  <c r="AF56" i="9"/>
  <c r="AP54" i="9" s="1"/>
  <c r="AE56" i="9"/>
  <c r="AO54" i="9" s="1"/>
  <c r="AC56" i="9"/>
  <c r="Y56" i="9"/>
  <c r="X56" i="9"/>
  <c r="W56" i="9"/>
  <c r="S56" i="9"/>
  <c r="R56" i="9"/>
  <c r="Q56" i="9"/>
  <c r="P56" i="9"/>
  <c r="O56" i="9"/>
  <c r="M56" i="9"/>
  <c r="L56" i="9"/>
  <c r="AK55" i="9"/>
  <c r="AF55" i="9"/>
  <c r="AC55" i="9"/>
  <c r="AA55" i="9"/>
  <c r="Z55" i="9"/>
  <c r="Y55" i="9"/>
  <c r="X55" i="9"/>
  <c r="W55" i="9"/>
  <c r="V55" i="9"/>
  <c r="U55" i="9"/>
  <c r="S55" i="9"/>
  <c r="R55" i="9"/>
  <c r="Q55" i="9"/>
  <c r="P55" i="9"/>
  <c r="O55" i="9"/>
  <c r="M55" i="9"/>
  <c r="L55" i="9"/>
  <c r="AL57" i="8"/>
  <c r="AG57" i="8"/>
  <c r="AD57" i="8"/>
  <c r="AB57" i="8"/>
  <c r="T57" i="8"/>
  <c r="AK56" i="8"/>
  <c r="AF56" i="8"/>
  <c r="AE56" i="8"/>
  <c r="AC56" i="8"/>
  <c r="Y56" i="8"/>
  <c r="X56" i="8"/>
  <c r="W56" i="8"/>
  <c r="S56" i="8"/>
  <c r="R56" i="8"/>
  <c r="Q56" i="8"/>
  <c r="P56" i="8"/>
  <c r="O56" i="8"/>
  <c r="M56" i="8"/>
  <c r="L56" i="8"/>
  <c r="AK55" i="8"/>
  <c r="AF55" i="8"/>
  <c r="AP54" i="8" s="1"/>
  <c r="AC55" i="8"/>
  <c r="AA55" i="8"/>
  <c r="Z55" i="8"/>
  <c r="Y55" i="8"/>
  <c r="X55" i="8"/>
  <c r="W55" i="8"/>
  <c r="V55" i="8"/>
  <c r="U55" i="8"/>
  <c r="S55" i="8"/>
  <c r="R55" i="8"/>
  <c r="Q55" i="8"/>
  <c r="P55" i="8"/>
  <c r="O55" i="8"/>
  <c r="M55" i="8"/>
  <c r="L55" i="8"/>
  <c r="AL57" i="7"/>
  <c r="AG57" i="7"/>
  <c r="AD57" i="7"/>
  <c r="AB57" i="7"/>
  <c r="T57" i="7"/>
  <c r="AG51" i="7"/>
  <c r="Z51" i="7"/>
  <c r="AG50" i="7"/>
  <c r="AA50" i="7"/>
  <c r="Z50" i="7"/>
  <c r="AG49" i="7"/>
  <c r="AA49" i="7"/>
  <c r="Z49" i="7"/>
  <c r="AG48" i="7"/>
  <c r="AA48" i="7"/>
  <c r="Z48" i="7"/>
  <c r="AG47" i="7"/>
  <c r="Z47" i="7"/>
  <c r="AG46" i="7"/>
  <c r="AA46" i="7"/>
  <c r="Z46" i="7"/>
  <c r="AG45" i="7"/>
  <c r="AA45" i="7"/>
  <c r="Z45" i="7"/>
  <c r="AG44" i="7"/>
  <c r="AA44" i="7"/>
  <c r="Z44" i="7"/>
  <c r="AG43" i="7"/>
  <c r="Z43" i="7"/>
  <c r="AG42" i="7"/>
  <c r="AA42" i="7"/>
  <c r="Z42" i="7"/>
  <c r="AG41" i="7"/>
  <c r="AA41" i="7"/>
  <c r="Z41" i="7"/>
  <c r="AG40" i="7"/>
  <c r="AA40" i="7"/>
  <c r="Z40" i="7"/>
  <c r="AG39" i="7"/>
  <c r="Z39" i="7"/>
  <c r="AG38" i="7"/>
  <c r="AA38" i="7"/>
  <c r="Z38" i="7"/>
  <c r="AG37" i="7"/>
  <c r="AA37" i="7"/>
  <c r="Z37" i="7"/>
  <c r="AG36" i="7"/>
  <c r="AA36" i="7"/>
  <c r="Z36" i="7"/>
  <c r="AG35" i="7"/>
  <c r="Z35" i="7"/>
  <c r="AG34" i="7"/>
  <c r="AA34" i="7"/>
  <c r="Z34" i="7"/>
  <c r="AG33" i="7"/>
  <c r="AA33" i="7"/>
  <c r="Z33" i="7"/>
  <c r="AG32" i="7"/>
  <c r="AA32" i="7"/>
  <c r="Z32" i="7"/>
  <c r="AG31" i="7"/>
  <c r="Z31" i="7"/>
  <c r="AG30" i="7"/>
  <c r="AA30" i="7"/>
  <c r="Z30" i="7"/>
  <c r="AG29" i="7"/>
  <c r="Z29" i="7"/>
  <c r="AG28" i="7"/>
  <c r="AA28" i="7"/>
  <c r="Z28" i="7"/>
  <c r="AG27" i="7"/>
  <c r="AA27" i="7"/>
  <c r="Z27" i="7"/>
  <c r="AG26" i="7"/>
  <c r="AA26" i="7"/>
  <c r="Z26" i="7"/>
  <c r="AG25" i="7"/>
  <c r="Z25" i="7"/>
  <c r="AG24" i="7"/>
  <c r="AA24" i="7"/>
  <c r="Z24" i="7"/>
  <c r="AG23" i="7"/>
  <c r="AA23" i="7"/>
  <c r="Z23" i="7"/>
  <c r="AG22" i="7"/>
  <c r="AA22" i="7"/>
  <c r="Z22" i="7"/>
  <c r="AG21" i="7"/>
  <c r="Z21" i="7"/>
  <c r="AG20" i="7"/>
  <c r="AA20" i="7"/>
  <c r="Z20" i="7"/>
  <c r="AG19" i="7"/>
  <c r="Z19" i="7"/>
  <c r="AG18" i="7"/>
  <c r="AA18" i="7"/>
  <c r="Z18" i="7"/>
  <c r="AG17" i="7"/>
  <c r="AA17" i="7"/>
  <c r="Z17" i="7"/>
  <c r="AG16" i="7"/>
  <c r="AA16" i="7"/>
  <c r="Z16" i="7"/>
  <c r="AG15" i="7"/>
  <c r="Z15" i="7"/>
  <c r="AG14" i="7"/>
  <c r="AA14" i="7"/>
  <c r="Z14" i="7"/>
  <c r="AG13" i="7"/>
  <c r="Z13" i="7"/>
  <c r="AG12" i="7"/>
  <c r="AA12" i="7"/>
  <c r="Z12" i="7"/>
  <c r="AG11" i="7"/>
  <c r="AA11" i="7"/>
  <c r="Z11" i="7"/>
  <c r="AG10" i="7"/>
  <c r="AA10" i="7"/>
  <c r="Z10" i="7"/>
  <c r="AG9" i="7"/>
  <c r="Z9" i="7"/>
  <c r="AG8" i="7"/>
  <c r="AA8" i="7"/>
  <c r="Z8" i="7"/>
  <c r="AG7" i="7"/>
  <c r="Z7" i="7"/>
  <c r="AG6" i="7"/>
  <c r="AA6" i="7"/>
  <c r="Z6" i="7"/>
  <c r="AG5" i="7"/>
  <c r="Z5" i="7"/>
  <c r="AK56" i="7"/>
  <c r="AJ56" i="7"/>
  <c r="AF56" i="7"/>
  <c r="AE56" i="7"/>
  <c r="AC56" i="7"/>
  <c r="Y56" i="7"/>
  <c r="X56" i="7"/>
  <c r="W56" i="7"/>
  <c r="S56" i="7"/>
  <c r="R56" i="7"/>
  <c r="Q56" i="7"/>
  <c r="P56" i="7"/>
  <c r="O56" i="7"/>
  <c r="M56" i="7"/>
  <c r="L56" i="7"/>
  <c r="AK55" i="7"/>
  <c r="AJ55" i="7"/>
  <c r="AF55" i="7"/>
  <c r="AC55" i="7"/>
  <c r="AA55" i="7"/>
  <c r="Z55" i="7"/>
  <c r="Y55" i="7"/>
  <c r="X55" i="7"/>
  <c r="W55" i="7"/>
  <c r="V55" i="7"/>
  <c r="U55" i="7"/>
  <c r="S55" i="7"/>
  <c r="R55" i="7"/>
  <c r="Q55" i="7"/>
  <c r="P55" i="7"/>
  <c r="O55" i="7"/>
  <c r="M55" i="7"/>
  <c r="L55" i="7"/>
  <c r="AP51" i="7"/>
  <c r="AP50" i="7"/>
  <c r="AP49" i="7"/>
  <c r="AP48" i="7"/>
  <c r="AP47" i="7"/>
  <c r="AP46" i="7"/>
  <c r="AP45" i="7"/>
  <c r="AP44" i="7"/>
  <c r="AP43" i="7"/>
  <c r="AP42" i="7"/>
  <c r="AP41" i="7"/>
  <c r="AP40" i="7"/>
  <c r="AP39" i="7"/>
  <c r="AP38" i="7"/>
  <c r="AP37" i="7"/>
  <c r="AP36" i="7"/>
  <c r="AP35" i="7"/>
  <c r="AP34" i="7"/>
  <c r="AP33" i="7"/>
  <c r="AP32" i="7"/>
  <c r="AP31" i="7"/>
  <c r="AP30" i="7"/>
  <c r="AP29" i="7"/>
  <c r="AP28" i="7"/>
  <c r="AP27" i="7"/>
  <c r="AP26" i="7"/>
  <c r="AP24" i="7"/>
  <c r="AP23" i="7"/>
  <c r="AP22" i="7"/>
  <c r="AP21" i="7"/>
  <c r="AA56" i="6"/>
  <c r="AA54" i="8" s="1"/>
  <c r="AA58" i="8" s="1"/>
  <c r="Z56" i="6"/>
  <c r="AK58" i="6"/>
  <c r="AK57" i="6"/>
  <c r="AK56" i="6"/>
  <c r="AJ57" i="6"/>
  <c r="AI56" i="6"/>
  <c r="AF58" i="6"/>
  <c r="AF57" i="6"/>
  <c r="AF56" i="6"/>
  <c r="AE58" i="6"/>
  <c r="AE56" i="6"/>
  <c r="AE54" i="7" s="1"/>
  <c r="AC58" i="6"/>
  <c r="AC57" i="6"/>
  <c r="AC56" i="6"/>
  <c r="AA58" i="6"/>
  <c r="AA57" i="6"/>
  <c r="Z57" i="6"/>
  <c r="Y58" i="6"/>
  <c r="Y57" i="6"/>
  <c r="X58" i="6"/>
  <c r="X57" i="6"/>
  <c r="X56" i="6"/>
  <c r="W58" i="6"/>
  <c r="W57" i="6"/>
  <c r="V58" i="6"/>
  <c r="V57" i="6"/>
  <c r="U57" i="6"/>
  <c r="U56" i="6"/>
  <c r="S58" i="6"/>
  <c r="S57" i="6"/>
  <c r="S56" i="6"/>
  <c r="R58" i="6"/>
  <c r="R57" i="6"/>
  <c r="R56" i="6"/>
  <c r="Q58" i="6"/>
  <c r="Q57" i="6"/>
  <c r="Q56" i="6"/>
  <c r="P58" i="6"/>
  <c r="P57" i="6"/>
  <c r="P56" i="6"/>
  <c r="O58" i="6"/>
  <c r="O57" i="6"/>
  <c r="O56" i="6"/>
  <c r="O54" i="7" s="1"/>
  <c r="M58" i="6"/>
  <c r="M57" i="6"/>
  <c r="M56" i="6"/>
  <c r="L58" i="6"/>
  <c r="L57" i="6"/>
  <c r="L56" i="6"/>
  <c r="AK16" i="6"/>
  <c r="AK15" i="6"/>
  <c r="AK10" i="6"/>
  <c r="AK9" i="6"/>
  <c r="AK6" i="6"/>
  <c r="AK5" i="6"/>
  <c r="AH51" i="6"/>
  <c r="AH50" i="6"/>
  <c r="AH49" i="6"/>
  <c r="AH48" i="6"/>
  <c r="AH47" i="6"/>
  <c r="AH46" i="6"/>
  <c r="AH45" i="6"/>
  <c r="AH44" i="6"/>
  <c r="AH43" i="6"/>
  <c r="AH42" i="6"/>
  <c r="AH41" i="6"/>
  <c r="AH40" i="6"/>
  <c r="AH39" i="6"/>
  <c r="AH38" i="6"/>
  <c r="AH37" i="6"/>
  <c r="AH36" i="6"/>
  <c r="AH35" i="6"/>
  <c r="AH34" i="6"/>
  <c r="AH33" i="6"/>
  <c r="AH32" i="6"/>
  <c r="AH31" i="6"/>
  <c r="AH30" i="6"/>
  <c r="AH29" i="6"/>
  <c r="AH28" i="6"/>
  <c r="AH27" i="6"/>
  <c r="AH26" i="6"/>
  <c r="AH24" i="6"/>
  <c r="AH23" i="6"/>
  <c r="AH22" i="6"/>
  <c r="AH21" i="6"/>
  <c r="S51" i="6"/>
  <c r="S50" i="6"/>
  <c r="S49" i="6"/>
  <c r="S48" i="6"/>
  <c r="S47" i="6"/>
  <c r="S46" i="6"/>
  <c r="S45" i="6"/>
  <c r="S44" i="6"/>
  <c r="S43" i="6"/>
  <c r="S42" i="6"/>
  <c r="S41" i="6"/>
  <c r="S40" i="6"/>
  <c r="S39" i="6"/>
  <c r="S38" i="6"/>
  <c r="S37" i="6"/>
  <c r="S36" i="6"/>
  <c r="S35" i="6"/>
  <c r="S34" i="6"/>
  <c r="S33" i="6"/>
  <c r="S32" i="6"/>
  <c r="S31" i="6"/>
  <c r="S30" i="6"/>
  <c r="S29" i="6"/>
  <c r="S28" i="6"/>
  <c r="S27" i="6"/>
  <c r="S26" i="6"/>
  <c r="S24" i="6"/>
  <c r="S23" i="6"/>
  <c r="S22" i="6"/>
  <c r="S21" i="6"/>
  <c r="R51" i="6"/>
  <c r="R50" i="6"/>
  <c r="R49" i="6"/>
  <c r="R48" i="6"/>
  <c r="R47" i="6"/>
  <c r="R46" i="6"/>
  <c r="R45" i="6"/>
  <c r="R44" i="6"/>
  <c r="R43" i="6"/>
  <c r="R42" i="6"/>
  <c r="R41" i="6"/>
  <c r="R40" i="6"/>
  <c r="R39" i="6"/>
  <c r="R38" i="6"/>
  <c r="R37" i="6"/>
  <c r="R36" i="6"/>
  <c r="R35" i="6"/>
  <c r="R34" i="6"/>
  <c r="R33" i="6"/>
  <c r="R32" i="6"/>
  <c r="R31" i="6"/>
  <c r="R30" i="6"/>
  <c r="Q51" i="6"/>
  <c r="Q50" i="6"/>
  <c r="Q49" i="6"/>
  <c r="Q48" i="6"/>
  <c r="Q47" i="6"/>
  <c r="Q46" i="6"/>
  <c r="Q45" i="6"/>
  <c r="Q44" i="6"/>
  <c r="Q43" i="6"/>
  <c r="Q42" i="6"/>
  <c r="Q41" i="6"/>
  <c r="Q40" i="6"/>
  <c r="Q39" i="6"/>
  <c r="Q38" i="6"/>
  <c r="Q37" i="6"/>
  <c r="Q36" i="6"/>
  <c r="Q35" i="6"/>
  <c r="Q34" i="6"/>
  <c r="Q33" i="6"/>
  <c r="Q32" i="6"/>
  <c r="Q31" i="6"/>
  <c r="Q30" i="6"/>
  <c r="Q25" i="6"/>
  <c r="Q20" i="6"/>
  <c r="Q19" i="6"/>
  <c r="Q18" i="6"/>
  <c r="Q17" i="6"/>
  <c r="Q12" i="6"/>
  <c r="Q11" i="6"/>
  <c r="Q7" i="6"/>
  <c r="P51" i="6"/>
  <c r="P50" i="6"/>
  <c r="P49" i="6"/>
  <c r="P48" i="6"/>
  <c r="P47" i="6"/>
  <c r="P46" i="6"/>
  <c r="P45" i="6"/>
  <c r="P44" i="6"/>
  <c r="P43" i="6"/>
  <c r="P42" i="6"/>
  <c r="P41" i="6"/>
  <c r="P40" i="6"/>
  <c r="P39" i="6"/>
  <c r="P38" i="6"/>
  <c r="P37" i="6"/>
  <c r="P36" i="6"/>
  <c r="P35" i="6"/>
  <c r="P34" i="6"/>
  <c r="P33" i="6"/>
  <c r="P32" i="6"/>
  <c r="P31" i="6"/>
  <c r="P30" i="6"/>
  <c r="O51" i="6"/>
  <c r="O50" i="6"/>
  <c r="O49" i="6"/>
  <c r="O48" i="6"/>
  <c r="O47" i="6"/>
  <c r="O46" i="6"/>
  <c r="O45" i="6"/>
  <c r="O44" i="6"/>
  <c r="O43" i="6"/>
  <c r="O42" i="6"/>
  <c r="O41" i="6"/>
  <c r="O40" i="6"/>
  <c r="O39" i="6"/>
  <c r="O38" i="6"/>
  <c r="O37" i="6"/>
  <c r="O36" i="6"/>
  <c r="O35" i="6"/>
  <c r="O34" i="6"/>
  <c r="O33" i="6"/>
  <c r="O32" i="6"/>
  <c r="O31" i="6"/>
  <c r="O30" i="6"/>
  <c r="O29" i="6"/>
  <c r="O28" i="6"/>
  <c r="O27" i="6"/>
  <c r="O26" i="6"/>
  <c r="O24" i="6"/>
  <c r="O23" i="6"/>
  <c r="O22" i="6"/>
  <c r="O21" i="6"/>
  <c r="N16" i="6"/>
  <c r="N15" i="6"/>
  <c r="N9" i="6"/>
  <c r="AP51" i="6"/>
  <c r="AP50" i="6"/>
  <c r="AP49" i="6"/>
  <c r="AP48" i="6"/>
  <c r="AP47" i="6"/>
  <c r="AP46" i="6"/>
  <c r="AP45" i="6"/>
  <c r="AP44" i="6"/>
  <c r="AP43" i="6"/>
  <c r="AP42" i="6"/>
  <c r="AP41" i="6"/>
  <c r="AP40" i="6"/>
  <c r="AP39" i="6"/>
  <c r="AP38" i="6"/>
  <c r="AP37" i="6"/>
  <c r="AP36" i="6"/>
  <c r="AP35" i="6"/>
  <c r="AP34" i="6"/>
  <c r="AP33" i="6"/>
  <c r="AP32" i="6"/>
  <c r="AP31" i="6"/>
  <c r="AP30" i="6"/>
  <c r="AP29" i="6"/>
  <c r="AP28" i="6"/>
  <c r="AP27" i="6"/>
  <c r="AP26" i="6"/>
  <c r="AP24" i="6"/>
  <c r="AP23" i="6"/>
  <c r="AP22" i="6"/>
  <c r="AP21" i="6"/>
  <c r="L51" i="6"/>
  <c r="L50" i="6"/>
  <c r="L49" i="6"/>
  <c r="L48" i="6"/>
  <c r="L47" i="6"/>
  <c r="L46" i="6"/>
  <c r="L45" i="6"/>
  <c r="L44" i="6"/>
  <c r="L43" i="6"/>
  <c r="L42" i="6"/>
  <c r="L41" i="6"/>
  <c r="L40" i="6"/>
  <c r="L39" i="6"/>
  <c r="L38" i="6"/>
  <c r="L37" i="6"/>
  <c r="L36" i="6"/>
  <c r="L35" i="6"/>
  <c r="L34" i="6"/>
  <c r="L33" i="6"/>
  <c r="L32" i="6"/>
  <c r="L31" i="6"/>
  <c r="L30" i="6"/>
  <c r="L25" i="6"/>
  <c r="L20" i="6"/>
  <c r="L19" i="6"/>
  <c r="L18" i="6"/>
  <c r="L17" i="6"/>
  <c r="L12" i="6"/>
  <c r="L11" i="6"/>
  <c r="L7" i="6"/>
  <c r="AJ58" i="6"/>
  <c r="AJ56" i="6"/>
  <c r="AI58" i="6"/>
  <c r="AI57" i="6"/>
  <c r="AH55" i="7"/>
  <c r="W56" i="6"/>
  <c r="Z56" i="7"/>
  <c r="F44" i="5"/>
  <c r="E44" i="5"/>
  <c r="D44" i="5"/>
  <c r="F42" i="5"/>
  <c r="D42" i="5"/>
  <c r="F40" i="5"/>
  <c r="E40" i="5"/>
  <c r="D40" i="5"/>
  <c r="E28" i="5"/>
  <c r="F23" i="5"/>
  <c r="AG56" i="9" s="1"/>
  <c r="D23" i="5"/>
  <c r="AG56" i="6" s="1"/>
  <c r="F20" i="5"/>
  <c r="E20" i="5"/>
  <c r="AD55" i="8" s="1"/>
  <c r="D20" i="5"/>
  <c r="AD56" i="6" s="1"/>
  <c r="E18" i="5"/>
  <c r="AB55" i="7" s="1"/>
  <c r="D18" i="5"/>
  <c r="AB56" i="6" s="1"/>
  <c r="T39" i="4"/>
  <c r="S39" i="4"/>
  <c r="R39" i="4"/>
  <c r="Q39" i="4"/>
  <c r="P39" i="4"/>
  <c r="O39" i="4"/>
  <c r="N39" i="4"/>
  <c r="M39" i="4"/>
  <c r="L39" i="4"/>
  <c r="K39" i="4"/>
  <c r="J39" i="4"/>
  <c r="I39" i="4"/>
  <c r="U39" i="4" s="1"/>
  <c r="T38" i="4"/>
  <c r="S38" i="4"/>
  <c r="R38" i="4"/>
  <c r="Q38" i="4"/>
  <c r="P38" i="4"/>
  <c r="O38" i="4"/>
  <c r="N38" i="4"/>
  <c r="M38" i="4"/>
  <c r="L38" i="4"/>
  <c r="K38" i="4"/>
  <c r="J38" i="4"/>
  <c r="I38" i="4"/>
  <c r="U38" i="4" s="1"/>
  <c r="T37" i="4"/>
  <c r="S37" i="4"/>
  <c r="R37" i="4"/>
  <c r="Q37" i="4"/>
  <c r="P37" i="4"/>
  <c r="O37" i="4"/>
  <c r="N37" i="4"/>
  <c r="M37" i="4"/>
  <c r="L37" i="4"/>
  <c r="K37" i="4"/>
  <c r="J37" i="4"/>
  <c r="I37" i="4"/>
  <c r="U37" i="4" s="1"/>
  <c r="T36" i="4"/>
  <c r="S36" i="4"/>
  <c r="R36" i="4"/>
  <c r="Q36" i="4"/>
  <c r="P36" i="4"/>
  <c r="O36" i="4"/>
  <c r="N36" i="4"/>
  <c r="M36" i="4"/>
  <c r="L36" i="4"/>
  <c r="K36" i="4"/>
  <c r="J36" i="4"/>
  <c r="I36" i="4"/>
  <c r="U36" i="4" s="1"/>
  <c r="T35" i="4"/>
  <c r="S35" i="4"/>
  <c r="R35" i="4"/>
  <c r="Q35" i="4"/>
  <c r="P35" i="4"/>
  <c r="O35" i="4"/>
  <c r="N35" i="4"/>
  <c r="M35" i="4"/>
  <c r="L35" i="4"/>
  <c r="K35" i="4"/>
  <c r="J35" i="4"/>
  <c r="I35" i="4"/>
  <c r="U35" i="4" s="1"/>
  <c r="T34" i="4"/>
  <c r="S34" i="4"/>
  <c r="R34" i="4"/>
  <c r="Q34" i="4"/>
  <c r="P34" i="4"/>
  <c r="O34" i="4"/>
  <c r="N34" i="4"/>
  <c r="M34" i="4"/>
  <c r="L34" i="4"/>
  <c r="K34" i="4"/>
  <c r="J34" i="4"/>
  <c r="I34" i="4"/>
  <c r="U34" i="4" s="1"/>
  <c r="T33" i="4"/>
  <c r="S33" i="4"/>
  <c r="R33" i="4"/>
  <c r="Q33" i="4"/>
  <c r="P33" i="4"/>
  <c r="O33" i="4"/>
  <c r="N33" i="4"/>
  <c r="M33" i="4"/>
  <c r="L33" i="4"/>
  <c r="K33" i="4"/>
  <c r="J33" i="4"/>
  <c r="I33" i="4"/>
  <c r="U33" i="4" s="1"/>
  <c r="T32" i="4"/>
  <c r="S32" i="4"/>
  <c r="R32" i="4"/>
  <c r="Q32" i="4"/>
  <c r="P32" i="4"/>
  <c r="O32" i="4"/>
  <c r="N32" i="4"/>
  <c r="M32" i="4"/>
  <c r="L32" i="4"/>
  <c r="K32" i="4"/>
  <c r="J32" i="4"/>
  <c r="I32" i="4"/>
  <c r="U32" i="4" s="1"/>
  <c r="T31" i="4"/>
  <c r="S31" i="4"/>
  <c r="R31" i="4"/>
  <c r="Q31" i="4"/>
  <c r="P31" i="4"/>
  <c r="O31" i="4"/>
  <c r="N31" i="4"/>
  <c r="M31" i="4"/>
  <c r="L31" i="4"/>
  <c r="K31" i="4"/>
  <c r="J31" i="4"/>
  <c r="I31" i="4"/>
  <c r="U31" i="4" s="1"/>
  <c r="T30" i="4"/>
  <c r="S30" i="4"/>
  <c r="R30" i="4"/>
  <c r="Q30" i="4"/>
  <c r="P30" i="4"/>
  <c r="O30" i="4"/>
  <c r="N30" i="4"/>
  <c r="M30" i="4"/>
  <c r="L30" i="4"/>
  <c r="K30" i="4"/>
  <c r="J30" i="4"/>
  <c r="I30" i="4"/>
  <c r="U30" i="4" s="1"/>
  <c r="T29" i="4"/>
  <c r="S29" i="4"/>
  <c r="R29" i="4"/>
  <c r="Q29" i="4"/>
  <c r="P29" i="4"/>
  <c r="O29" i="4"/>
  <c r="N29" i="4"/>
  <c r="M29" i="4"/>
  <c r="L29" i="4"/>
  <c r="K29" i="4"/>
  <c r="J29" i="4"/>
  <c r="I29" i="4"/>
  <c r="U29" i="4" s="1"/>
  <c r="T28" i="4"/>
  <c r="S28" i="4"/>
  <c r="R28" i="4"/>
  <c r="Q28" i="4"/>
  <c r="P28" i="4"/>
  <c r="O28" i="4"/>
  <c r="N28" i="4"/>
  <c r="M28" i="4"/>
  <c r="L28" i="4"/>
  <c r="K28" i="4"/>
  <c r="J28" i="4"/>
  <c r="I28" i="4"/>
  <c r="U28" i="4" s="1"/>
  <c r="T27" i="4"/>
  <c r="S27" i="4"/>
  <c r="R27" i="4"/>
  <c r="Q27" i="4"/>
  <c r="P27" i="4"/>
  <c r="O27" i="4"/>
  <c r="N27" i="4"/>
  <c r="M27" i="4"/>
  <c r="L27" i="4"/>
  <c r="K27" i="4"/>
  <c r="J27" i="4"/>
  <c r="I27" i="4"/>
  <c r="U27" i="4" s="1"/>
  <c r="T26" i="4"/>
  <c r="S26" i="4"/>
  <c r="R26" i="4"/>
  <c r="Q26" i="4"/>
  <c r="P26" i="4"/>
  <c r="O26" i="4"/>
  <c r="N26" i="4"/>
  <c r="M26" i="4"/>
  <c r="L26" i="4"/>
  <c r="K26" i="4"/>
  <c r="J26" i="4"/>
  <c r="I26" i="4"/>
  <c r="U26" i="4" s="1"/>
  <c r="T25" i="4"/>
  <c r="S25" i="4"/>
  <c r="R25" i="4"/>
  <c r="Q25" i="4"/>
  <c r="P25" i="4"/>
  <c r="O25" i="4"/>
  <c r="N25" i="4"/>
  <c r="M25" i="4"/>
  <c r="L25" i="4"/>
  <c r="K25" i="4"/>
  <c r="J25" i="4"/>
  <c r="I25" i="4"/>
  <c r="U25" i="4" s="1"/>
  <c r="T24" i="4"/>
  <c r="S24" i="4"/>
  <c r="R24" i="4"/>
  <c r="Q24" i="4"/>
  <c r="P24" i="4"/>
  <c r="O24" i="4"/>
  <c r="N24" i="4"/>
  <c r="M24" i="4"/>
  <c r="L24" i="4"/>
  <c r="K24" i="4"/>
  <c r="J24" i="4"/>
  <c r="I24" i="4"/>
  <c r="U24" i="4" s="1"/>
  <c r="T23" i="4"/>
  <c r="S23" i="4"/>
  <c r="R23" i="4"/>
  <c r="Q23" i="4"/>
  <c r="P23" i="4"/>
  <c r="O23" i="4"/>
  <c r="N23" i="4"/>
  <c r="M23" i="4"/>
  <c r="L23" i="4"/>
  <c r="K23" i="4"/>
  <c r="J23" i="4"/>
  <c r="I23" i="4"/>
  <c r="U23" i="4" s="1"/>
  <c r="T22" i="4"/>
  <c r="S22" i="4"/>
  <c r="R22" i="4"/>
  <c r="Q22" i="4"/>
  <c r="P22" i="4"/>
  <c r="O22" i="4"/>
  <c r="N22" i="4"/>
  <c r="M22" i="4"/>
  <c r="L22" i="4"/>
  <c r="K22" i="4"/>
  <c r="J22" i="4"/>
  <c r="I22" i="4"/>
  <c r="U22" i="4" s="1"/>
  <c r="T21" i="4"/>
  <c r="S21" i="4"/>
  <c r="R21" i="4"/>
  <c r="Q21" i="4"/>
  <c r="P21" i="4"/>
  <c r="O21" i="4"/>
  <c r="N21" i="4"/>
  <c r="M21" i="4"/>
  <c r="L21" i="4"/>
  <c r="K21" i="4"/>
  <c r="J21" i="4"/>
  <c r="I21" i="4"/>
  <c r="U21" i="4" s="1"/>
  <c r="T20" i="4"/>
  <c r="S20" i="4"/>
  <c r="R20" i="4"/>
  <c r="Q20" i="4"/>
  <c r="P20" i="4"/>
  <c r="O20" i="4"/>
  <c r="N20" i="4"/>
  <c r="M20" i="4"/>
  <c r="L20" i="4"/>
  <c r="K20" i="4"/>
  <c r="J20" i="4"/>
  <c r="I20" i="4"/>
  <c r="U20" i="4" s="1"/>
  <c r="T19" i="4"/>
  <c r="S19" i="4"/>
  <c r="R19" i="4"/>
  <c r="Q19" i="4"/>
  <c r="P19" i="4"/>
  <c r="O19" i="4"/>
  <c r="N19" i="4"/>
  <c r="M19" i="4"/>
  <c r="L19" i="4"/>
  <c r="K19" i="4"/>
  <c r="J19" i="4"/>
  <c r="I19" i="4"/>
  <c r="U19" i="4" s="1"/>
  <c r="T18" i="4"/>
  <c r="S18" i="4"/>
  <c r="R18" i="4"/>
  <c r="Q18" i="4"/>
  <c r="P18" i="4"/>
  <c r="O18" i="4"/>
  <c r="N18" i="4"/>
  <c r="M18" i="4"/>
  <c r="L18" i="4"/>
  <c r="K18" i="4"/>
  <c r="J18" i="4"/>
  <c r="I18" i="4"/>
  <c r="U18" i="4" s="1"/>
  <c r="T17" i="4"/>
  <c r="S17" i="4"/>
  <c r="R17" i="4"/>
  <c r="Q17" i="4"/>
  <c r="P17" i="4"/>
  <c r="O17" i="4"/>
  <c r="N17" i="4"/>
  <c r="M17" i="4"/>
  <c r="L17" i="4"/>
  <c r="K17" i="4"/>
  <c r="J17" i="4"/>
  <c r="I17" i="4"/>
  <c r="U17" i="4" s="1"/>
  <c r="T16" i="4"/>
  <c r="S16" i="4"/>
  <c r="R16" i="4"/>
  <c r="Q16" i="4"/>
  <c r="P16" i="4"/>
  <c r="O16" i="4"/>
  <c r="N16" i="4"/>
  <c r="M16" i="4"/>
  <c r="L16" i="4"/>
  <c r="K16" i="4"/>
  <c r="J16" i="4"/>
  <c r="I16" i="4"/>
  <c r="U16" i="4" s="1"/>
  <c r="T15" i="4"/>
  <c r="S15" i="4"/>
  <c r="R15" i="4"/>
  <c r="Q15" i="4"/>
  <c r="P15" i="4"/>
  <c r="O15" i="4"/>
  <c r="N15" i="4"/>
  <c r="M15" i="4"/>
  <c r="L15" i="4"/>
  <c r="K15" i="4"/>
  <c r="J15" i="4"/>
  <c r="I15" i="4"/>
  <c r="U15" i="4" s="1"/>
  <c r="T14" i="4"/>
  <c r="S14" i="4"/>
  <c r="R14" i="4"/>
  <c r="Q14" i="4"/>
  <c r="P14" i="4"/>
  <c r="O14" i="4"/>
  <c r="N14" i="4"/>
  <c r="M14" i="4"/>
  <c r="L14" i="4"/>
  <c r="K14" i="4"/>
  <c r="J14" i="4"/>
  <c r="I14" i="4"/>
  <c r="U14" i="4" s="1"/>
  <c r="T13" i="4"/>
  <c r="S13" i="4"/>
  <c r="R13" i="4"/>
  <c r="Q13" i="4"/>
  <c r="P13" i="4"/>
  <c r="O13" i="4"/>
  <c r="N13" i="4"/>
  <c r="M13" i="4"/>
  <c r="L13" i="4"/>
  <c r="K13" i="4"/>
  <c r="J13" i="4"/>
  <c r="I13" i="4"/>
  <c r="U13" i="4" s="1"/>
  <c r="T12" i="4"/>
  <c r="S12" i="4"/>
  <c r="R12" i="4"/>
  <c r="Q12" i="4"/>
  <c r="P12" i="4"/>
  <c r="O12" i="4"/>
  <c r="N12" i="4"/>
  <c r="M12" i="4"/>
  <c r="L12" i="4"/>
  <c r="K12" i="4"/>
  <c r="J12" i="4"/>
  <c r="I12" i="4"/>
  <c r="U12" i="4" s="1"/>
  <c r="T11" i="4"/>
  <c r="S11" i="4"/>
  <c r="R11" i="4"/>
  <c r="Q11" i="4"/>
  <c r="P11" i="4"/>
  <c r="O11" i="4"/>
  <c r="N11" i="4"/>
  <c r="M11" i="4"/>
  <c r="L11" i="4"/>
  <c r="K11" i="4"/>
  <c r="J11" i="4"/>
  <c r="I11" i="4"/>
  <c r="U11" i="4" s="1"/>
  <c r="T10" i="4"/>
  <c r="S10" i="4"/>
  <c r="R10" i="4"/>
  <c r="Q10" i="4"/>
  <c r="P10" i="4"/>
  <c r="O10" i="4"/>
  <c r="N10" i="4"/>
  <c r="M10" i="4"/>
  <c r="L10" i="4"/>
  <c r="K10" i="4"/>
  <c r="J10" i="4"/>
  <c r="I10" i="4"/>
  <c r="U10" i="4" s="1"/>
  <c r="T9" i="4"/>
  <c r="S9" i="4"/>
  <c r="R9" i="4"/>
  <c r="Q9" i="4"/>
  <c r="P9" i="4"/>
  <c r="O9" i="4"/>
  <c r="N9" i="4"/>
  <c r="M9" i="4"/>
  <c r="L9" i="4"/>
  <c r="K9" i="4"/>
  <c r="J9" i="4"/>
  <c r="I9" i="4"/>
  <c r="U9" i="4" s="1"/>
  <c r="T8" i="4"/>
  <c r="S8" i="4"/>
  <c r="R8" i="4"/>
  <c r="Q8" i="4"/>
  <c r="P8" i="4"/>
  <c r="O8" i="4"/>
  <c r="N8" i="4"/>
  <c r="M8" i="4"/>
  <c r="L8" i="4"/>
  <c r="K8" i="4"/>
  <c r="J8" i="4"/>
  <c r="I8" i="4"/>
  <c r="U8" i="4" s="1"/>
  <c r="T7" i="4"/>
  <c r="S7" i="4"/>
  <c r="R7" i="4"/>
  <c r="Q7" i="4"/>
  <c r="P7" i="4"/>
  <c r="O7" i="4"/>
  <c r="N7" i="4"/>
  <c r="M7" i="4"/>
  <c r="L7" i="4"/>
  <c r="K7" i="4"/>
  <c r="J7" i="4"/>
  <c r="I7" i="4"/>
  <c r="U7" i="4" s="1"/>
  <c r="T6" i="4"/>
  <c r="S6" i="4"/>
  <c r="R6" i="4"/>
  <c r="Q6" i="4"/>
  <c r="P6" i="4"/>
  <c r="O6" i="4"/>
  <c r="N6" i="4"/>
  <c r="M6" i="4"/>
  <c r="L6" i="4"/>
  <c r="K6" i="4"/>
  <c r="J6" i="4"/>
  <c r="I6" i="4"/>
  <c r="U6" i="4" s="1"/>
  <c r="T5" i="4"/>
  <c r="S5" i="4"/>
  <c r="R5" i="4"/>
  <c r="Q5" i="4"/>
  <c r="P5" i="4"/>
  <c r="O5" i="4"/>
  <c r="N5" i="4"/>
  <c r="M5" i="4"/>
  <c r="L5" i="4"/>
  <c r="K5" i="4"/>
  <c r="J5" i="4"/>
  <c r="I5" i="4"/>
  <c r="U5" i="4" s="1"/>
  <c r="T4" i="4"/>
  <c r="S4" i="4"/>
  <c r="R4" i="4"/>
  <c r="Q4" i="4"/>
  <c r="P4" i="4"/>
  <c r="O4" i="4"/>
  <c r="N4" i="4"/>
  <c r="M4" i="4"/>
  <c r="L4" i="4"/>
  <c r="K4" i="4"/>
  <c r="J4" i="4"/>
  <c r="I4" i="4"/>
  <c r="U4" i="4" s="1"/>
  <c r="T3" i="4"/>
  <c r="S3" i="4"/>
  <c r="R3" i="4"/>
  <c r="Q3" i="4"/>
  <c r="P3" i="4"/>
  <c r="O3" i="4"/>
  <c r="N3" i="4"/>
  <c r="M3" i="4"/>
  <c r="L3" i="4"/>
  <c r="K3" i="4"/>
  <c r="J3" i="4"/>
  <c r="I3" i="4"/>
  <c r="U3" i="4" s="1"/>
  <c r="T2" i="4"/>
  <c r="S2" i="4"/>
  <c r="R2" i="4"/>
  <c r="Q2" i="4"/>
  <c r="P2" i="4"/>
  <c r="O2" i="4"/>
  <c r="N2" i="4"/>
  <c r="M2" i="4"/>
  <c r="L2" i="4"/>
  <c r="K2" i="4"/>
  <c r="J2" i="4"/>
  <c r="I2" i="4"/>
  <c r="U2" i="4" s="1"/>
  <c r="T48" i="3"/>
  <c r="S48" i="3"/>
  <c r="R48" i="3"/>
  <c r="Q48" i="3"/>
  <c r="P48" i="3"/>
  <c r="O48" i="3"/>
  <c r="N48" i="3"/>
  <c r="M48" i="3"/>
  <c r="L48" i="3"/>
  <c r="K48" i="3"/>
  <c r="J48" i="3"/>
  <c r="I48" i="3"/>
  <c r="U48" i="3" s="1"/>
  <c r="T47" i="3"/>
  <c r="S47" i="3"/>
  <c r="R47" i="3"/>
  <c r="Q47" i="3"/>
  <c r="P47" i="3"/>
  <c r="O47" i="3"/>
  <c r="N47" i="3"/>
  <c r="M47" i="3"/>
  <c r="L47" i="3"/>
  <c r="K47" i="3"/>
  <c r="J47" i="3"/>
  <c r="I47" i="3"/>
  <c r="U47" i="3" s="1"/>
  <c r="T46" i="3"/>
  <c r="S46" i="3"/>
  <c r="R46" i="3"/>
  <c r="Q46" i="3"/>
  <c r="P46" i="3"/>
  <c r="O46" i="3"/>
  <c r="N46" i="3"/>
  <c r="M46" i="3"/>
  <c r="L46" i="3"/>
  <c r="K46" i="3"/>
  <c r="J46" i="3"/>
  <c r="I46" i="3"/>
  <c r="U46" i="3" s="1"/>
  <c r="T45" i="3"/>
  <c r="S45" i="3"/>
  <c r="R45" i="3"/>
  <c r="Q45" i="3"/>
  <c r="P45" i="3"/>
  <c r="O45" i="3"/>
  <c r="N45" i="3"/>
  <c r="M45" i="3"/>
  <c r="L45" i="3"/>
  <c r="K45" i="3"/>
  <c r="J45" i="3"/>
  <c r="I45" i="3"/>
  <c r="U45" i="3" s="1"/>
  <c r="T44" i="3"/>
  <c r="S44" i="3"/>
  <c r="R44" i="3"/>
  <c r="Q44" i="3"/>
  <c r="P44" i="3"/>
  <c r="O44" i="3"/>
  <c r="N44" i="3"/>
  <c r="M44" i="3"/>
  <c r="L44" i="3"/>
  <c r="K44" i="3"/>
  <c r="J44" i="3"/>
  <c r="I44" i="3"/>
  <c r="U44" i="3" s="1"/>
  <c r="T43" i="3"/>
  <c r="S43" i="3"/>
  <c r="R43" i="3"/>
  <c r="Q43" i="3"/>
  <c r="P43" i="3"/>
  <c r="O43" i="3"/>
  <c r="N43" i="3"/>
  <c r="M43" i="3"/>
  <c r="L43" i="3"/>
  <c r="K43" i="3"/>
  <c r="J43" i="3"/>
  <c r="I43" i="3"/>
  <c r="U43" i="3" s="1"/>
  <c r="T42" i="3"/>
  <c r="S42" i="3"/>
  <c r="R42" i="3"/>
  <c r="Q42" i="3"/>
  <c r="P42" i="3"/>
  <c r="O42" i="3"/>
  <c r="N42" i="3"/>
  <c r="M42" i="3"/>
  <c r="L42" i="3"/>
  <c r="K42" i="3"/>
  <c r="J42" i="3"/>
  <c r="I42" i="3"/>
  <c r="U42" i="3" s="1"/>
  <c r="T41" i="3"/>
  <c r="S41" i="3"/>
  <c r="R41" i="3"/>
  <c r="Q41" i="3"/>
  <c r="P41" i="3"/>
  <c r="O41" i="3"/>
  <c r="N41" i="3"/>
  <c r="M41" i="3"/>
  <c r="L41" i="3"/>
  <c r="K41" i="3"/>
  <c r="J41" i="3"/>
  <c r="I41" i="3"/>
  <c r="U41" i="3" s="1"/>
  <c r="T40" i="3"/>
  <c r="S40" i="3"/>
  <c r="R40" i="3"/>
  <c r="Q40" i="3"/>
  <c r="P40" i="3"/>
  <c r="O40" i="3"/>
  <c r="N40" i="3"/>
  <c r="M40" i="3"/>
  <c r="L40" i="3"/>
  <c r="K40" i="3"/>
  <c r="J40" i="3"/>
  <c r="I40" i="3"/>
  <c r="U40" i="3" s="1"/>
  <c r="T39" i="3"/>
  <c r="S39" i="3"/>
  <c r="R39" i="3"/>
  <c r="Q39" i="3"/>
  <c r="P39" i="3"/>
  <c r="O39" i="3"/>
  <c r="N39" i="3"/>
  <c r="M39" i="3"/>
  <c r="L39" i="3"/>
  <c r="K39" i="3"/>
  <c r="J39" i="3"/>
  <c r="I39" i="3"/>
  <c r="U39" i="3" s="1"/>
  <c r="T38" i="3"/>
  <c r="S38" i="3"/>
  <c r="R38" i="3"/>
  <c r="Q38" i="3"/>
  <c r="P38" i="3"/>
  <c r="O38" i="3"/>
  <c r="N38" i="3"/>
  <c r="M38" i="3"/>
  <c r="L38" i="3"/>
  <c r="K38" i="3"/>
  <c r="J38" i="3"/>
  <c r="I38" i="3"/>
  <c r="U38" i="3" s="1"/>
  <c r="T37" i="3"/>
  <c r="S37" i="3"/>
  <c r="R37" i="3"/>
  <c r="Q37" i="3"/>
  <c r="P37" i="3"/>
  <c r="O37" i="3"/>
  <c r="N37" i="3"/>
  <c r="M37" i="3"/>
  <c r="L37" i="3"/>
  <c r="K37" i="3"/>
  <c r="J37" i="3"/>
  <c r="I37" i="3"/>
  <c r="U37" i="3" s="1"/>
  <c r="T36" i="3"/>
  <c r="S36" i="3"/>
  <c r="R36" i="3"/>
  <c r="Q36" i="3"/>
  <c r="P36" i="3"/>
  <c r="O36" i="3"/>
  <c r="N36" i="3"/>
  <c r="M36" i="3"/>
  <c r="L36" i="3"/>
  <c r="K36" i="3"/>
  <c r="J36" i="3"/>
  <c r="I36" i="3"/>
  <c r="U36" i="3" s="1"/>
  <c r="T35" i="3"/>
  <c r="S35" i="3"/>
  <c r="R35" i="3"/>
  <c r="Q35" i="3"/>
  <c r="P35" i="3"/>
  <c r="O35" i="3"/>
  <c r="N35" i="3"/>
  <c r="M35" i="3"/>
  <c r="L35" i="3"/>
  <c r="K35" i="3"/>
  <c r="J35" i="3"/>
  <c r="I35" i="3"/>
  <c r="U35" i="3" s="1"/>
  <c r="T34" i="3"/>
  <c r="S34" i="3"/>
  <c r="R34" i="3"/>
  <c r="Q34" i="3"/>
  <c r="P34" i="3"/>
  <c r="O34" i="3"/>
  <c r="N34" i="3"/>
  <c r="M34" i="3"/>
  <c r="L34" i="3"/>
  <c r="K34" i="3"/>
  <c r="J34" i="3"/>
  <c r="I34" i="3"/>
  <c r="U34" i="3" s="1"/>
  <c r="T33" i="3"/>
  <c r="S33" i="3"/>
  <c r="R33" i="3"/>
  <c r="Q33" i="3"/>
  <c r="P33" i="3"/>
  <c r="O33" i="3"/>
  <c r="N33" i="3"/>
  <c r="M33" i="3"/>
  <c r="L33" i="3"/>
  <c r="K33" i="3"/>
  <c r="J33" i="3"/>
  <c r="I33" i="3"/>
  <c r="U33" i="3" s="1"/>
  <c r="T32" i="3"/>
  <c r="S32" i="3"/>
  <c r="R32" i="3"/>
  <c r="Q32" i="3"/>
  <c r="P32" i="3"/>
  <c r="O32" i="3"/>
  <c r="N32" i="3"/>
  <c r="M32" i="3"/>
  <c r="L32" i="3"/>
  <c r="K32" i="3"/>
  <c r="J32" i="3"/>
  <c r="I32" i="3"/>
  <c r="U32" i="3" s="1"/>
  <c r="T31" i="3"/>
  <c r="S31" i="3"/>
  <c r="R31" i="3"/>
  <c r="Q31" i="3"/>
  <c r="P31" i="3"/>
  <c r="O31" i="3"/>
  <c r="N31" i="3"/>
  <c r="M31" i="3"/>
  <c r="L31" i="3"/>
  <c r="K31" i="3"/>
  <c r="J31" i="3"/>
  <c r="I31" i="3"/>
  <c r="U31" i="3" s="1"/>
  <c r="T30" i="3"/>
  <c r="S30" i="3"/>
  <c r="R30" i="3"/>
  <c r="Q30" i="3"/>
  <c r="P30" i="3"/>
  <c r="O30" i="3"/>
  <c r="N30" i="3"/>
  <c r="M30" i="3"/>
  <c r="L30" i="3"/>
  <c r="K30" i="3"/>
  <c r="J30" i="3"/>
  <c r="I30" i="3"/>
  <c r="U30" i="3" s="1"/>
  <c r="T29" i="3"/>
  <c r="S29" i="3"/>
  <c r="R29" i="3"/>
  <c r="Q29" i="3"/>
  <c r="P29" i="3"/>
  <c r="O29" i="3"/>
  <c r="N29" i="3"/>
  <c r="M29" i="3"/>
  <c r="L29" i="3"/>
  <c r="K29" i="3"/>
  <c r="J29" i="3"/>
  <c r="I29" i="3"/>
  <c r="U29" i="3" s="1"/>
  <c r="T28" i="3"/>
  <c r="S28" i="3"/>
  <c r="R28" i="3"/>
  <c r="Q28" i="3"/>
  <c r="P28" i="3"/>
  <c r="O28" i="3"/>
  <c r="N28" i="3"/>
  <c r="M28" i="3"/>
  <c r="L28" i="3"/>
  <c r="K28" i="3"/>
  <c r="J28" i="3"/>
  <c r="I28" i="3"/>
  <c r="U28" i="3" s="1"/>
  <c r="T27" i="3"/>
  <c r="S27" i="3"/>
  <c r="R27" i="3"/>
  <c r="Q27" i="3"/>
  <c r="P27" i="3"/>
  <c r="O27" i="3"/>
  <c r="N27" i="3"/>
  <c r="M27" i="3"/>
  <c r="L27" i="3"/>
  <c r="K27" i="3"/>
  <c r="J27" i="3"/>
  <c r="I27" i="3"/>
  <c r="U27" i="3" s="1"/>
  <c r="T26" i="3"/>
  <c r="S26" i="3"/>
  <c r="R26" i="3"/>
  <c r="Q26" i="3"/>
  <c r="P26" i="3"/>
  <c r="O26" i="3"/>
  <c r="N26" i="3"/>
  <c r="M26" i="3"/>
  <c r="L26" i="3"/>
  <c r="K26" i="3"/>
  <c r="J26" i="3"/>
  <c r="I26" i="3"/>
  <c r="U26" i="3" s="1"/>
  <c r="T25" i="3"/>
  <c r="S25" i="3"/>
  <c r="R25" i="3"/>
  <c r="Q25" i="3"/>
  <c r="P25" i="3"/>
  <c r="O25" i="3"/>
  <c r="N25" i="3"/>
  <c r="M25" i="3"/>
  <c r="L25" i="3"/>
  <c r="K25" i="3"/>
  <c r="J25" i="3"/>
  <c r="I25" i="3"/>
  <c r="U25" i="3" s="1"/>
  <c r="T24" i="3"/>
  <c r="S24" i="3"/>
  <c r="R24" i="3"/>
  <c r="Q24" i="3"/>
  <c r="P24" i="3"/>
  <c r="O24" i="3"/>
  <c r="N24" i="3"/>
  <c r="M24" i="3"/>
  <c r="L24" i="3"/>
  <c r="K24" i="3"/>
  <c r="J24" i="3"/>
  <c r="I24" i="3"/>
  <c r="U24" i="3" s="1"/>
  <c r="T23" i="3"/>
  <c r="S23" i="3"/>
  <c r="R23" i="3"/>
  <c r="Q23" i="3"/>
  <c r="P23" i="3"/>
  <c r="O23" i="3"/>
  <c r="N23" i="3"/>
  <c r="M23" i="3"/>
  <c r="L23" i="3"/>
  <c r="K23" i="3"/>
  <c r="J23" i="3"/>
  <c r="I23" i="3"/>
  <c r="U23" i="3" s="1"/>
  <c r="T22" i="3"/>
  <c r="S22" i="3"/>
  <c r="R22" i="3"/>
  <c r="Q22" i="3"/>
  <c r="P22" i="3"/>
  <c r="O22" i="3"/>
  <c r="N22" i="3"/>
  <c r="M22" i="3"/>
  <c r="L22" i="3"/>
  <c r="K22" i="3"/>
  <c r="J22" i="3"/>
  <c r="I22" i="3"/>
  <c r="U22" i="3" s="1"/>
  <c r="T21" i="3"/>
  <c r="S21" i="3"/>
  <c r="R21" i="3"/>
  <c r="Q21" i="3"/>
  <c r="P21" i="3"/>
  <c r="O21" i="3"/>
  <c r="N21" i="3"/>
  <c r="M21" i="3"/>
  <c r="L21" i="3"/>
  <c r="K21" i="3"/>
  <c r="J21" i="3"/>
  <c r="I21" i="3"/>
  <c r="U21" i="3" s="1"/>
  <c r="T20" i="3"/>
  <c r="S20" i="3"/>
  <c r="R20" i="3"/>
  <c r="Q20" i="3"/>
  <c r="P20" i="3"/>
  <c r="O20" i="3"/>
  <c r="N20" i="3"/>
  <c r="M20" i="3"/>
  <c r="L20" i="3"/>
  <c r="K20" i="3"/>
  <c r="J20" i="3"/>
  <c r="I20" i="3"/>
  <c r="U20" i="3" s="1"/>
  <c r="T19" i="3"/>
  <c r="S19" i="3"/>
  <c r="R19" i="3"/>
  <c r="Q19" i="3"/>
  <c r="P19" i="3"/>
  <c r="O19" i="3"/>
  <c r="N19" i="3"/>
  <c r="M19" i="3"/>
  <c r="L19" i="3"/>
  <c r="K19" i="3"/>
  <c r="J19" i="3"/>
  <c r="I19" i="3"/>
  <c r="U19" i="3" s="1"/>
  <c r="T18" i="3"/>
  <c r="S18" i="3"/>
  <c r="R18" i="3"/>
  <c r="Q18" i="3"/>
  <c r="P18" i="3"/>
  <c r="O18" i="3"/>
  <c r="N18" i="3"/>
  <c r="M18" i="3"/>
  <c r="L18" i="3"/>
  <c r="K18" i="3"/>
  <c r="J18" i="3"/>
  <c r="I18" i="3"/>
  <c r="U18" i="3" s="1"/>
  <c r="T17" i="3"/>
  <c r="S17" i="3"/>
  <c r="R17" i="3"/>
  <c r="Q17" i="3"/>
  <c r="P17" i="3"/>
  <c r="O17" i="3"/>
  <c r="N17" i="3"/>
  <c r="M17" i="3"/>
  <c r="L17" i="3"/>
  <c r="K17" i="3"/>
  <c r="J17" i="3"/>
  <c r="I17" i="3"/>
  <c r="U17" i="3" s="1"/>
  <c r="T16" i="3"/>
  <c r="S16" i="3"/>
  <c r="R16" i="3"/>
  <c r="Q16" i="3"/>
  <c r="P16" i="3"/>
  <c r="O16" i="3"/>
  <c r="N16" i="3"/>
  <c r="M16" i="3"/>
  <c r="L16" i="3"/>
  <c r="K16" i="3"/>
  <c r="J16" i="3"/>
  <c r="I16" i="3"/>
  <c r="U16" i="3" s="1"/>
  <c r="T15" i="3"/>
  <c r="S15" i="3"/>
  <c r="R15" i="3"/>
  <c r="Q15" i="3"/>
  <c r="P15" i="3"/>
  <c r="O15" i="3"/>
  <c r="N15" i="3"/>
  <c r="M15" i="3"/>
  <c r="L15" i="3"/>
  <c r="K15" i="3"/>
  <c r="J15" i="3"/>
  <c r="I15" i="3"/>
  <c r="U15" i="3" s="1"/>
  <c r="T14" i="3"/>
  <c r="S14" i="3"/>
  <c r="R14" i="3"/>
  <c r="Q14" i="3"/>
  <c r="P14" i="3"/>
  <c r="O14" i="3"/>
  <c r="N14" i="3"/>
  <c r="M14" i="3"/>
  <c r="L14" i="3"/>
  <c r="K14" i="3"/>
  <c r="J14" i="3"/>
  <c r="I14" i="3"/>
  <c r="U14" i="3" s="1"/>
  <c r="T13" i="3"/>
  <c r="S13" i="3"/>
  <c r="R13" i="3"/>
  <c r="Q13" i="3"/>
  <c r="P13" i="3"/>
  <c r="O13" i="3"/>
  <c r="N13" i="3"/>
  <c r="M13" i="3"/>
  <c r="L13" i="3"/>
  <c r="K13" i="3"/>
  <c r="J13" i="3"/>
  <c r="I13" i="3"/>
  <c r="U13" i="3" s="1"/>
  <c r="T12" i="3"/>
  <c r="S12" i="3"/>
  <c r="R12" i="3"/>
  <c r="Q12" i="3"/>
  <c r="P12" i="3"/>
  <c r="O12" i="3"/>
  <c r="N12" i="3"/>
  <c r="M12" i="3"/>
  <c r="L12" i="3"/>
  <c r="K12" i="3"/>
  <c r="J12" i="3"/>
  <c r="I12" i="3"/>
  <c r="U12" i="3" s="1"/>
  <c r="T11" i="3"/>
  <c r="S11" i="3"/>
  <c r="R11" i="3"/>
  <c r="Q11" i="3"/>
  <c r="P11" i="3"/>
  <c r="O11" i="3"/>
  <c r="N11" i="3"/>
  <c r="M11" i="3"/>
  <c r="L11" i="3"/>
  <c r="K11" i="3"/>
  <c r="J11" i="3"/>
  <c r="I11" i="3"/>
  <c r="U11" i="3" s="1"/>
  <c r="T10" i="3"/>
  <c r="S10" i="3"/>
  <c r="R10" i="3"/>
  <c r="Q10" i="3"/>
  <c r="P10" i="3"/>
  <c r="O10" i="3"/>
  <c r="N10" i="3"/>
  <c r="M10" i="3"/>
  <c r="L10" i="3"/>
  <c r="K10" i="3"/>
  <c r="J10" i="3"/>
  <c r="I10" i="3"/>
  <c r="U10" i="3" s="1"/>
  <c r="T9" i="3"/>
  <c r="S9" i="3"/>
  <c r="R9" i="3"/>
  <c r="Q9" i="3"/>
  <c r="P9" i="3"/>
  <c r="O9" i="3"/>
  <c r="N9" i="3"/>
  <c r="M9" i="3"/>
  <c r="L9" i="3"/>
  <c r="K9" i="3"/>
  <c r="J9" i="3"/>
  <c r="I9" i="3"/>
  <c r="U9" i="3" s="1"/>
  <c r="T8" i="3"/>
  <c r="S8" i="3"/>
  <c r="R8" i="3"/>
  <c r="Q8" i="3"/>
  <c r="P8" i="3"/>
  <c r="O8" i="3"/>
  <c r="N8" i="3"/>
  <c r="M8" i="3"/>
  <c r="L8" i="3"/>
  <c r="K8" i="3"/>
  <c r="J8" i="3"/>
  <c r="I8" i="3"/>
  <c r="U8" i="3" s="1"/>
  <c r="T7" i="3"/>
  <c r="S7" i="3"/>
  <c r="R7" i="3"/>
  <c r="Q7" i="3"/>
  <c r="P7" i="3"/>
  <c r="O7" i="3"/>
  <c r="N7" i="3"/>
  <c r="M7" i="3"/>
  <c r="L7" i="3"/>
  <c r="K7" i="3"/>
  <c r="J7" i="3"/>
  <c r="I7" i="3"/>
  <c r="U7" i="3" s="1"/>
  <c r="T6" i="3"/>
  <c r="S6" i="3"/>
  <c r="R6" i="3"/>
  <c r="Q6" i="3"/>
  <c r="P6" i="3"/>
  <c r="O6" i="3"/>
  <c r="N6" i="3"/>
  <c r="M6" i="3"/>
  <c r="L6" i="3"/>
  <c r="K6" i="3"/>
  <c r="J6" i="3"/>
  <c r="I6" i="3"/>
  <c r="U6" i="3" s="1"/>
  <c r="T5" i="3"/>
  <c r="S5" i="3"/>
  <c r="R5" i="3"/>
  <c r="Q5" i="3"/>
  <c r="P5" i="3"/>
  <c r="O5" i="3"/>
  <c r="N5" i="3"/>
  <c r="M5" i="3"/>
  <c r="L5" i="3"/>
  <c r="K5" i="3"/>
  <c r="J5" i="3"/>
  <c r="I5" i="3"/>
  <c r="U5" i="3" s="1"/>
  <c r="T4" i="3"/>
  <c r="S4" i="3"/>
  <c r="R4" i="3"/>
  <c r="Q4" i="3"/>
  <c r="P4" i="3"/>
  <c r="O4" i="3"/>
  <c r="N4" i="3"/>
  <c r="M4" i="3"/>
  <c r="L4" i="3"/>
  <c r="K4" i="3"/>
  <c r="J4" i="3"/>
  <c r="I4" i="3"/>
  <c r="U4" i="3" s="1"/>
  <c r="T3" i="3"/>
  <c r="S3" i="3"/>
  <c r="R3" i="3"/>
  <c r="Q3" i="3"/>
  <c r="P3" i="3"/>
  <c r="O3" i="3"/>
  <c r="N3" i="3"/>
  <c r="M3" i="3"/>
  <c r="L3" i="3"/>
  <c r="K3" i="3"/>
  <c r="J3" i="3"/>
  <c r="I3" i="3"/>
  <c r="U3" i="3" s="1"/>
  <c r="T2" i="3"/>
  <c r="S2" i="3"/>
  <c r="R2" i="3"/>
  <c r="Q2" i="3"/>
  <c r="P2" i="3"/>
  <c r="O2" i="3"/>
  <c r="N2" i="3"/>
  <c r="M2" i="3"/>
  <c r="L2" i="3"/>
  <c r="K2" i="3"/>
  <c r="J2" i="3"/>
  <c r="I2" i="3"/>
  <c r="U2" i="3" s="1"/>
  <c r="H1" i="2"/>
  <c r="I7" i="29" l="1"/>
  <c r="BA59" i="29" s="1"/>
  <c r="P13" i="5"/>
  <c r="P16" i="5" s="1"/>
  <c r="I7" i="6"/>
  <c r="I7" i="8"/>
  <c r="I7" i="14"/>
  <c r="I7" i="9"/>
  <c r="I7" i="7"/>
  <c r="I14" i="29"/>
  <c r="I14" i="14"/>
  <c r="I14" i="9"/>
  <c r="I14" i="7"/>
  <c r="I14" i="6"/>
  <c r="I14" i="8"/>
  <c r="I21" i="29"/>
  <c r="I21" i="14"/>
  <c r="I21" i="9"/>
  <c r="I21" i="8"/>
  <c r="I21" i="7"/>
  <c r="I21" i="6"/>
  <c r="I29" i="29"/>
  <c r="I29" i="14"/>
  <c r="I29" i="9"/>
  <c r="I29" i="8"/>
  <c r="I29" i="6"/>
  <c r="I29" i="7"/>
  <c r="I36" i="29"/>
  <c r="I36" i="9"/>
  <c r="I36" i="14"/>
  <c r="I36" i="7"/>
  <c r="I36" i="8"/>
  <c r="I36" i="6"/>
  <c r="I39" i="29"/>
  <c r="I39" i="9"/>
  <c r="I39" i="14"/>
  <c r="I39" i="8"/>
  <c r="I39" i="7"/>
  <c r="I39" i="6"/>
  <c r="I43" i="29"/>
  <c r="I43" i="9"/>
  <c r="I43" i="14"/>
  <c r="I43" i="8"/>
  <c r="I43" i="7"/>
  <c r="I43" i="6"/>
  <c r="I49" i="29"/>
  <c r="I49" i="14"/>
  <c r="I49" i="9"/>
  <c r="I49" i="8"/>
  <c r="I49" i="6"/>
  <c r="I49" i="7"/>
  <c r="I11" i="30"/>
  <c r="I11" i="12"/>
  <c r="I11" i="13"/>
  <c r="I11" i="11"/>
  <c r="I11" i="10"/>
  <c r="I14" i="30"/>
  <c r="I14" i="13"/>
  <c r="I14" i="11"/>
  <c r="I14" i="10"/>
  <c r="I14" i="12"/>
  <c r="I15" i="30"/>
  <c r="I15" i="12"/>
  <c r="I15" i="13"/>
  <c r="I15" i="11"/>
  <c r="I15" i="10"/>
  <c r="I18" i="30"/>
  <c r="W61" i="30" s="1"/>
  <c r="I18" i="13"/>
  <c r="I18" i="11"/>
  <c r="I18" i="10"/>
  <c r="I18" i="12"/>
  <c r="I19" i="30"/>
  <c r="I19" i="12"/>
  <c r="I19" i="13"/>
  <c r="I19" i="11"/>
  <c r="I19" i="10"/>
  <c r="I20" i="30"/>
  <c r="I20" i="12"/>
  <c r="I20" i="13"/>
  <c r="I20" i="10"/>
  <c r="I20" i="11"/>
  <c r="I21" i="30"/>
  <c r="I21" i="13"/>
  <c r="I21" i="11"/>
  <c r="I21" i="10"/>
  <c r="I21" i="12"/>
  <c r="I23" i="30"/>
  <c r="I23" i="12"/>
  <c r="I23" i="13"/>
  <c r="I23" i="11"/>
  <c r="I23" i="10"/>
  <c r="I25" i="30"/>
  <c r="I25" i="13"/>
  <c r="I25" i="11"/>
  <c r="I25" i="10"/>
  <c r="I25" i="12"/>
  <c r="I26" i="30"/>
  <c r="AB69" i="30" s="1"/>
  <c r="I26" i="13"/>
  <c r="I26" i="11"/>
  <c r="I26" i="10"/>
  <c r="I26" i="12"/>
  <c r="I27" i="30"/>
  <c r="I27" i="12"/>
  <c r="I27" i="13"/>
  <c r="I27" i="11"/>
  <c r="I27" i="10"/>
  <c r="I28" i="30"/>
  <c r="I28" i="12"/>
  <c r="I28" i="10"/>
  <c r="I28" i="11"/>
  <c r="I28" i="13"/>
  <c r="I29" i="30"/>
  <c r="I29" i="13"/>
  <c r="I29" i="11"/>
  <c r="I29" i="10"/>
  <c r="I29" i="12"/>
  <c r="I30" i="30"/>
  <c r="I30" i="13"/>
  <c r="I30" i="11"/>
  <c r="I30" i="10"/>
  <c r="I30" i="12"/>
  <c r="I31" i="30"/>
  <c r="I31" i="12"/>
  <c r="I31" i="13"/>
  <c r="I31" i="11"/>
  <c r="I31" i="10"/>
  <c r="I32" i="30"/>
  <c r="I32" i="12"/>
  <c r="I32" i="11"/>
  <c r="I32" i="13"/>
  <c r="I32" i="10"/>
  <c r="I33" i="30"/>
  <c r="I33" i="13"/>
  <c r="I33" i="11"/>
  <c r="I33" i="10"/>
  <c r="I33" i="12"/>
  <c r="I34" i="30"/>
  <c r="I34" i="13"/>
  <c r="I34" i="11"/>
  <c r="I34" i="10"/>
  <c r="I34" i="12"/>
  <c r="I35" i="30"/>
  <c r="I35" i="12"/>
  <c r="I35" i="13"/>
  <c r="I35" i="11"/>
  <c r="I35" i="10"/>
  <c r="I36" i="30"/>
  <c r="I36" i="12"/>
  <c r="I36" i="13"/>
  <c r="I36" i="10"/>
  <c r="I36" i="11"/>
  <c r="I37" i="30"/>
  <c r="I37" i="13"/>
  <c r="I37" i="11"/>
  <c r="I37" i="10"/>
  <c r="I37" i="12"/>
  <c r="I38" i="30"/>
  <c r="I38" i="13"/>
  <c r="I38" i="11"/>
  <c r="I38" i="10"/>
  <c r="I38" i="12"/>
  <c r="I39" i="30"/>
  <c r="I39" i="12"/>
  <c r="I39" i="13"/>
  <c r="I39" i="11"/>
  <c r="I39" i="10"/>
  <c r="I40" i="30"/>
  <c r="I40" i="12"/>
  <c r="I40" i="10"/>
  <c r="I40" i="11"/>
  <c r="I40" i="13"/>
  <c r="I41" i="30"/>
  <c r="I41" i="13"/>
  <c r="I41" i="11"/>
  <c r="I41" i="10"/>
  <c r="I41" i="12"/>
  <c r="I42" i="30"/>
  <c r="I42" i="13"/>
  <c r="I42" i="11"/>
  <c r="I42" i="10"/>
  <c r="I42" i="12"/>
  <c r="I6" i="29"/>
  <c r="BB58" i="29" s="1"/>
  <c r="I6" i="14"/>
  <c r="I6" i="9"/>
  <c r="I6" i="7"/>
  <c r="I6" i="6"/>
  <c r="I6" i="8"/>
  <c r="I9" i="29"/>
  <c r="I9" i="14"/>
  <c r="I9" i="8"/>
  <c r="I9" i="9"/>
  <c r="I9" i="7"/>
  <c r="I9" i="6"/>
  <c r="I11" i="29"/>
  <c r="I11" i="6"/>
  <c r="I11" i="14"/>
  <c r="I11" i="8"/>
  <c r="I11" i="9"/>
  <c r="I11" i="7"/>
  <c r="I15" i="29"/>
  <c r="I15" i="6"/>
  <c r="I15" i="14"/>
  <c r="I15" i="8"/>
  <c r="I15" i="9"/>
  <c r="I15" i="7"/>
  <c r="I18" i="29"/>
  <c r="I18" i="14"/>
  <c r="I18" i="7"/>
  <c r="I18" i="6"/>
  <c r="I18" i="9"/>
  <c r="I18" i="8"/>
  <c r="I20" i="29"/>
  <c r="I20" i="9"/>
  <c r="I20" i="14"/>
  <c r="I20" i="8"/>
  <c r="I20" i="7"/>
  <c r="I20" i="6"/>
  <c r="I25" i="29"/>
  <c r="I25" i="14"/>
  <c r="I25" i="9"/>
  <c r="I25" i="8"/>
  <c r="I25" i="7"/>
  <c r="I25" i="6"/>
  <c r="I28" i="29"/>
  <c r="I28" i="9"/>
  <c r="I28" i="14"/>
  <c r="I28" i="7"/>
  <c r="I28" i="8"/>
  <c r="I28" i="6"/>
  <c r="I32" i="29"/>
  <c r="I32" i="9"/>
  <c r="I32" i="14"/>
  <c r="I32" i="7"/>
  <c r="I32" i="8"/>
  <c r="I32" i="6"/>
  <c r="I34" i="29"/>
  <c r="I34" i="14"/>
  <c r="I34" i="7"/>
  <c r="I34" i="6"/>
  <c r="I34" i="9"/>
  <c r="I34" i="8"/>
  <c r="I38" i="29"/>
  <c r="I38" i="14"/>
  <c r="I38" i="9"/>
  <c r="I38" i="7"/>
  <c r="I38" i="6"/>
  <c r="I38" i="8"/>
  <c r="I45" i="29"/>
  <c r="I45" i="14"/>
  <c r="I45" i="9"/>
  <c r="I45" i="8"/>
  <c r="I45" i="6"/>
  <c r="I45" i="7"/>
  <c r="I47" i="29"/>
  <c r="I47" i="9"/>
  <c r="I47" i="14"/>
  <c r="I47" i="8"/>
  <c r="I47" i="7"/>
  <c r="I47" i="6"/>
  <c r="I51" i="29"/>
  <c r="I51" i="9"/>
  <c r="I51" i="14"/>
  <c r="I51" i="8"/>
  <c r="I51" i="7"/>
  <c r="I51" i="6"/>
  <c r="I6" i="30"/>
  <c r="AA49" i="30" s="1"/>
  <c r="I6" i="13"/>
  <c r="I6" i="11"/>
  <c r="I6" i="10"/>
  <c r="I6" i="12"/>
  <c r="I8" i="30"/>
  <c r="I8" i="12"/>
  <c r="I8" i="10"/>
  <c r="I8" i="11"/>
  <c r="I8" i="13"/>
  <c r="I12" i="30"/>
  <c r="I12" i="12"/>
  <c r="I12" i="10"/>
  <c r="I12" i="11"/>
  <c r="I12" i="13"/>
  <c r="I16" i="30"/>
  <c r="I16" i="12"/>
  <c r="I16" i="11"/>
  <c r="I16" i="13"/>
  <c r="I16" i="10"/>
  <c r="I22" i="30"/>
  <c r="AB65" i="30" s="1"/>
  <c r="I22" i="13"/>
  <c r="I22" i="11"/>
  <c r="I22" i="10"/>
  <c r="I22" i="12"/>
  <c r="I5" i="29"/>
  <c r="P12" i="5"/>
  <c r="P15" i="5" s="1"/>
  <c r="I5" i="14"/>
  <c r="I5" i="8"/>
  <c r="I5" i="9"/>
  <c r="I5" i="7"/>
  <c r="I5" i="6"/>
  <c r="I8" i="29"/>
  <c r="AX60" i="29" s="1"/>
  <c r="I8" i="14"/>
  <c r="I8" i="6"/>
  <c r="I8" i="8"/>
  <c r="I8" i="9"/>
  <c r="I8" i="7"/>
  <c r="I17" i="29"/>
  <c r="I17" i="14"/>
  <c r="I17" i="9"/>
  <c r="I17" i="8"/>
  <c r="I17" i="7"/>
  <c r="I17" i="6"/>
  <c r="I19" i="29"/>
  <c r="I19" i="14"/>
  <c r="I19" i="9"/>
  <c r="I19" i="8"/>
  <c r="I19" i="7"/>
  <c r="I19" i="6"/>
  <c r="I23" i="29"/>
  <c r="I23" i="14"/>
  <c r="I23" i="9"/>
  <c r="I23" i="7"/>
  <c r="I23" i="8"/>
  <c r="I23" i="6"/>
  <c r="I27" i="29"/>
  <c r="I27" i="9"/>
  <c r="I27" i="14"/>
  <c r="I27" i="8"/>
  <c r="I27" i="7"/>
  <c r="I27" i="6"/>
  <c r="I30" i="29"/>
  <c r="I30" i="14"/>
  <c r="I30" i="7"/>
  <c r="I30" i="6"/>
  <c r="I30" i="9"/>
  <c r="I30" i="8"/>
  <c r="I35" i="29"/>
  <c r="I35" i="9"/>
  <c r="I35" i="14"/>
  <c r="I35" i="8"/>
  <c r="I35" i="7"/>
  <c r="I35" i="6"/>
  <c r="I40" i="29"/>
  <c r="I40" i="9"/>
  <c r="I40" i="14"/>
  <c r="I40" i="7"/>
  <c r="I40" i="8"/>
  <c r="I40" i="6"/>
  <c r="I42" i="29"/>
  <c r="I42" i="14"/>
  <c r="I42" i="7"/>
  <c r="I42" i="6"/>
  <c r="I42" i="9"/>
  <c r="I42" i="8"/>
  <c r="I46" i="29"/>
  <c r="I46" i="14"/>
  <c r="I46" i="7"/>
  <c r="I46" i="6"/>
  <c r="I46" i="9"/>
  <c r="I46" i="8"/>
  <c r="I50" i="29"/>
  <c r="I50" i="14"/>
  <c r="I50" i="7"/>
  <c r="I50" i="6"/>
  <c r="I50" i="9"/>
  <c r="I50" i="8"/>
  <c r="I7" i="30"/>
  <c r="I7" i="12"/>
  <c r="I7" i="13"/>
  <c r="I7" i="11"/>
  <c r="I7" i="10"/>
  <c r="I9" i="30"/>
  <c r="I9" i="13"/>
  <c r="I9" i="11"/>
  <c r="I9" i="10"/>
  <c r="I9" i="12"/>
  <c r="I13" i="30"/>
  <c r="I13" i="13"/>
  <c r="I13" i="11"/>
  <c r="I13" i="10"/>
  <c r="I13" i="12"/>
  <c r="I17" i="30"/>
  <c r="I17" i="13"/>
  <c r="I17" i="11"/>
  <c r="I17" i="10"/>
  <c r="I17" i="12"/>
  <c r="I10" i="29"/>
  <c r="I10" i="14"/>
  <c r="I10" i="9"/>
  <c r="I10" i="7"/>
  <c r="I10" i="6"/>
  <c r="I10" i="8"/>
  <c r="I12" i="29"/>
  <c r="I12" i="14"/>
  <c r="I12" i="6"/>
  <c r="I12" i="8"/>
  <c r="I12" i="9"/>
  <c r="I12" i="7"/>
  <c r="I13" i="29"/>
  <c r="I13" i="14"/>
  <c r="I13" i="8"/>
  <c r="I13" i="9"/>
  <c r="I13" i="7"/>
  <c r="I13" i="6"/>
  <c r="I16" i="29"/>
  <c r="I16" i="9"/>
  <c r="I16" i="14"/>
  <c r="I16" i="8"/>
  <c r="I16" i="7"/>
  <c r="I16" i="6"/>
  <c r="I22" i="29"/>
  <c r="I22" i="14"/>
  <c r="I22" i="9"/>
  <c r="I22" i="6"/>
  <c r="I22" i="8"/>
  <c r="I22" i="7"/>
  <c r="I24" i="29"/>
  <c r="I24" i="14"/>
  <c r="I24" i="9"/>
  <c r="I24" i="8"/>
  <c r="I24" i="6"/>
  <c r="I24" i="7"/>
  <c r="I26" i="29"/>
  <c r="I26" i="14"/>
  <c r="I26" i="7"/>
  <c r="I26" i="6"/>
  <c r="I26" i="9"/>
  <c r="I26" i="8"/>
  <c r="I31" i="29"/>
  <c r="I31" i="9"/>
  <c r="I31" i="14"/>
  <c r="I31" i="8"/>
  <c r="I31" i="7"/>
  <c r="I31" i="6"/>
  <c r="I33" i="29"/>
  <c r="I33" i="14"/>
  <c r="I33" i="9"/>
  <c r="I33" i="8"/>
  <c r="I33" i="6"/>
  <c r="I33" i="7"/>
  <c r="I37" i="29"/>
  <c r="I37" i="14"/>
  <c r="I37" i="9"/>
  <c r="I37" i="8"/>
  <c r="I37" i="6"/>
  <c r="I37" i="7"/>
  <c r="I41" i="29"/>
  <c r="I41" i="14"/>
  <c r="I41" i="9"/>
  <c r="I41" i="8"/>
  <c r="I41" i="6"/>
  <c r="I41" i="7"/>
  <c r="I44" i="29"/>
  <c r="I44" i="9"/>
  <c r="I44" i="14"/>
  <c r="I44" i="7"/>
  <c r="I44" i="8"/>
  <c r="I44" i="6"/>
  <c r="I48" i="29"/>
  <c r="I48" i="9"/>
  <c r="I48" i="14"/>
  <c r="I48" i="7"/>
  <c r="I48" i="8"/>
  <c r="I48" i="6"/>
  <c r="I5" i="30"/>
  <c r="P14" i="5"/>
  <c r="I5" i="13"/>
  <c r="I5" i="11"/>
  <c r="I5" i="10"/>
  <c r="AA44" i="10" s="1"/>
  <c r="I5" i="12"/>
  <c r="I10" i="30"/>
  <c r="AD53" i="30" s="1"/>
  <c r="I10" i="13"/>
  <c r="I10" i="11"/>
  <c r="I10" i="10"/>
  <c r="I10" i="12"/>
  <c r="I24" i="30"/>
  <c r="I24" i="12"/>
  <c r="I24" i="10"/>
  <c r="I24" i="11"/>
  <c r="I24" i="13"/>
  <c r="AT2" i="16"/>
  <c r="AT7" i="16" s="1"/>
  <c r="AJ2" i="16"/>
  <c r="AO3" i="16"/>
  <c r="AT3" i="16"/>
  <c r="AJ3" i="16"/>
  <c r="AJ4" i="16"/>
  <c r="AT4" i="16"/>
  <c r="AJ5" i="16"/>
  <c r="AJ6" i="16"/>
  <c r="AT6" i="16"/>
  <c r="P17" i="5"/>
  <c r="AC80" i="17"/>
  <c r="AC88" i="17"/>
  <c r="AC96" i="17"/>
  <c r="AC104" i="17"/>
  <c r="AC112" i="17"/>
  <c r="AC120" i="17"/>
  <c r="R12" i="27"/>
  <c r="AC82" i="17"/>
  <c r="AO5" i="16"/>
  <c r="AC9" i="17"/>
  <c r="AC17" i="17"/>
  <c r="AC25" i="17"/>
  <c r="AC33" i="17"/>
  <c r="AC41" i="17"/>
  <c r="AC49" i="17"/>
  <c r="AC53" i="17"/>
  <c r="AC57" i="17"/>
  <c r="AC61" i="17"/>
  <c r="AC81" i="17"/>
  <c r="AC89" i="17"/>
  <c r="AC97" i="17"/>
  <c r="AC105" i="17"/>
  <c r="AC113" i="17"/>
  <c r="AC121" i="17"/>
  <c r="AC126" i="17"/>
  <c r="AC127" i="17"/>
  <c r="AC128" i="17"/>
  <c r="AC129" i="17"/>
  <c r="AC130" i="17"/>
  <c r="AC131" i="17"/>
  <c r="AC132" i="17"/>
  <c r="AC133" i="17"/>
  <c r="AC134" i="17"/>
  <c r="AC135" i="17"/>
  <c r="AC136" i="17"/>
  <c r="AC137" i="17"/>
  <c r="AJ8" i="27"/>
  <c r="AJ6" i="27"/>
  <c r="BC57" i="29"/>
  <c r="AY57" i="29"/>
  <c r="AU57" i="29"/>
  <c r="AQ57" i="29"/>
  <c r="AM57" i="29"/>
  <c r="AI57" i="29"/>
  <c r="BD57" i="29"/>
  <c r="AZ57" i="29"/>
  <c r="AV57" i="29"/>
  <c r="AR57" i="29"/>
  <c r="AN57" i="29"/>
  <c r="AJ57" i="29"/>
  <c r="BC61" i="29"/>
  <c r="AY61" i="29"/>
  <c r="AU61" i="29"/>
  <c r="AQ61" i="29"/>
  <c r="AM61" i="29"/>
  <c r="AI61" i="29"/>
  <c r="BA61" i="29"/>
  <c r="AW61" i="29"/>
  <c r="AS61" i="29"/>
  <c r="AO61" i="29"/>
  <c r="AK61" i="29"/>
  <c r="BD61" i="29"/>
  <c r="AZ61" i="29"/>
  <c r="AV61" i="29"/>
  <c r="AR61" i="29"/>
  <c r="AN61" i="29"/>
  <c r="AJ61" i="29"/>
  <c r="BC65" i="29"/>
  <c r="AY65" i="29"/>
  <c r="AU65" i="29"/>
  <c r="AQ65" i="29"/>
  <c r="AM65" i="29"/>
  <c r="AI65" i="29"/>
  <c r="BB65" i="29"/>
  <c r="AX65" i="29"/>
  <c r="AT65" i="29"/>
  <c r="AP65" i="29"/>
  <c r="AL65" i="29"/>
  <c r="BA65" i="29"/>
  <c r="AW65" i="29"/>
  <c r="AS65" i="29"/>
  <c r="AO65" i="29"/>
  <c r="AK65" i="29"/>
  <c r="BD65" i="29"/>
  <c r="AZ65" i="29"/>
  <c r="AV65" i="29"/>
  <c r="AR65" i="29"/>
  <c r="AN65" i="29"/>
  <c r="AJ65" i="29"/>
  <c r="BC69" i="29"/>
  <c r="AY69" i="29"/>
  <c r="AU69" i="29"/>
  <c r="AQ69" i="29"/>
  <c r="AM69" i="29"/>
  <c r="AI69" i="29"/>
  <c r="BB69" i="29"/>
  <c r="AW69" i="29"/>
  <c r="AR69" i="29"/>
  <c r="AL69" i="29"/>
  <c r="BA69" i="29"/>
  <c r="AV69" i="29"/>
  <c r="AP69" i="29"/>
  <c r="AK69" i="29"/>
  <c r="AZ69" i="29"/>
  <c r="AT69" i="29"/>
  <c r="AO69" i="29"/>
  <c r="AJ69" i="29"/>
  <c r="BD69" i="29"/>
  <c r="AX69" i="29"/>
  <c r="AS69" i="29"/>
  <c r="AN69" i="29"/>
  <c r="BC73" i="29"/>
  <c r="AY73" i="29"/>
  <c r="AU73" i="29"/>
  <c r="AQ73" i="29"/>
  <c r="AM73" i="29"/>
  <c r="AI73" i="29"/>
  <c r="R73" i="29"/>
  <c r="BB73" i="29"/>
  <c r="AW73" i="29"/>
  <c r="AR73" i="29"/>
  <c r="AL73" i="29"/>
  <c r="P73" i="29"/>
  <c r="BA73" i="29"/>
  <c r="AV73" i="29"/>
  <c r="AP73" i="29"/>
  <c r="AK73" i="29"/>
  <c r="AZ73" i="29"/>
  <c r="AT73" i="29"/>
  <c r="AO73" i="29"/>
  <c r="AJ73" i="29"/>
  <c r="BD73" i="29"/>
  <c r="AX73" i="29"/>
  <c r="AS73" i="29"/>
  <c r="AN73" i="29"/>
  <c r="BC77" i="29"/>
  <c r="AY77" i="29"/>
  <c r="AU77" i="29"/>
  <c r="AQ77" i="29"/>
  <c r="AM77" i="29"/>
  <c r="AI77" i="29"/>
  <c r="BB77" i="29"/>
  <c r="AW77" i="29"/>
  <c r="AR77" i="29"/>
  <c r="AL77" i="29"/>
  <c r="BA77" i="29"/>
  <c r="AV77" i="29"/>
  <c r="AP77" i="29"/>
  <c r="AK77" i="29"/>
  <c r="AZ77" i="29"/>
  <c r="AT77" i="29"/>
  <c r="AO77" i="29"/>
  <c r="AJ77" i="29"/>
  <c r="BD77" i="29"/>
  <c r="AX77" i="29"/>
  <c r="AS77" i="29"/>
  <c r="AN77" i="29"/>
  <c r="BB81" i="29"/>
  <c r="AX81" i="29"/>
  <c r="AT81" i="29"/>
  <c r="AP81" i="29"/>
  <c r="AL81" i="29"/>
  <c r="BA81" i="29"/>
  <c r="AW81" i="29"/>
  <c r="AS81" i="29"/>
  <c r="AO81" i="29"/>
  <c r="AK81" i="29"/>
  <c r="P81" i="29"/>
  <c r="BC81" i="29"/>
  <c r="AY81" i="29"/>
  <c r="AU81" i="29"/>
  <c r="AQ81" i="29"/>
  <c r="AM81" i="29"/>
  <c r="AI81" i="29"/>
  <c r="R81" i="29"/>
  <c r="BD81" i="29"/>
  <c r="AN81" i="29"/>
  <c r="AZ81" i="29"/>
  <c r="AJ81" i="29"/>
  <c r="AV81" i="29"/>
  <c r="AR81" i="29"/>
  <c r="BB85" i="29"/>
  <c r="AX85" i="29"/>
  <c r="AT85" i="29"/>
  <c r="AP85" i="29"/>
  <c r="AL85" i="29"/>
  <c r="BA85" i="29"/>
  <c r="AW85" i="29"/>
  <c r="AS85" i="29"/>
  <c r="AO85" i="29"/>
  <c r="AK85" i="29"/>
  <c r="BD85" i="29"/>
  <c r="AZ85" i="29"/>
  <c r="AV85" i="29"/>
  <c r="AR85" i="29"/>
  <c r="AN85" i="29"/>
  <c r="AJ85" i="29"/>
  <c r="BC85" i="29"/>
  <c r="AY85" i="29"/>
  <c r="AU85" i="29"/>
  <c r="AQ85" i="29"/>
  <c r="AM85" i="29"/>
  <c r="AI85" i="29"/>
  <c r="BB89" i="29"/>
  <c r="AX89" i="29"/>
  <c r="AT89" i="29"/>
  <c r="AP89" i="29"/>
  <c r="AL89" i="29"/>
  <c r="BA89" i="29"/>
  <c r="AW89" i="29"/>
  <c r="AS89" i="29"/>
  <c r="AO89" i="29"/>
  <c r="AK89" i="29"/>
  <c r="BD89" i="29"/>
  <c r="AZ89" i="29"/>
  <c r="AV89" i="29"/>
  <c r="AR89" i="29"/>
  <c r="AN89" i="29"/>
  <c r="AJ89" i="29"/>
  <c r="BC89" i="29"/>
  <c r="AY89" i="29"/>
  <c r="AU89" i="29"/>
  <c r="AQ89" i="29"/>
  <c r="AM89" i="29"/>
  <c r="AI89" i="29"/>
  <c r="BA93" i="29"/>
  <c r="AW93" i="29"/>
  <c r="AS93" i="29"/>
  <c r="AO93" i="29"/>
  <c r="AK93" i="29"/>
  <c r="BB93" i="29"/>
  <c r="AX93" i="29"/>
  <c r="AT93" i="29"/>
  <c r="AP93" i="29"/>
  <c r="AL93" i="29"/>
  <c r="AZ93" i="29"/>
  <c r="AR93" i="29"/>
  <c r="AJ93" i="29"/>
  <c r="AY93" i="29"/>
  <c r="AQ93" i="29"/>
  <c r="AI93" i="29"/>
  <c r="BD93" i="29"/>
  <c r="AV93" i="29"/>
  <c r="AN93" i="29"/>
  <c r="BC93" i="29"/>
  <c r="AU93" i="29"/>
  <c r="AM93" i="29"/>
  <c r="BA97" i="29"/>
  <c r="AW97" i="29"/>
  <c r="AS97" i="29"/>
  <c r="AO97" i="29"/>
  <c r="AK97" i="29"/>
  <c r="BC97" i="29"/>
  <c r="AY97" i="29"/>
  <c r="AU97" i="29"/>
  <c r="AQ97" i="29"/>
  <c r="AM97" i="29"/>
  <c r="AI97" i="29"/>
  <c r="BB97" i="29"/>
  <c r="AX97" i="29"/>
  <c r="AT97" i="29"/>
  <c r="AP97" i="29"/>
  <c r="AL97" i="29"/>
  <c r="AZ97" i="29"/>
  <c r="AJ97" i="29"/>
  <c r="AV97" i="29"/>
  <c r="AR97" i="29"/>
  <c r="BD97" i="29"/>
  <c r="AN97" i="29"/>
  <c r="BB101" i="29"/>
  <c r="AX101" i="29"/>
  <c r="AT101" i="29"/>
  <c r="AP101" i="29"/>
  <c r="AL101" i="29"/>
  <c r="BD101" i="29"/>
  <c r="AZ101" i="29"/>
  <c r="AV101" i="29"/>
  <c r="AR101" i="29"/>
  <c r="AN101" i="29"/>
  <c r="AJ101" i="29"/>
  <c r="BC101" i="29"/>
  <c r="AU101" i="29"/>
  <c r="AM101" i="29"/>
  <c r="BA101" i="29"/>
  <c r="AS101" i="29"/>
  <c r="AK101" i="29"/>
  <c r="AY101" i="29"/>
  <c r="AQ101" i="29"/>
  <c r="AI101" i="29"/>
  <c r="AW101" i="29"/>
  <c r="AO101" i="29"/>
  <c r="AP57" i="29"/>
  <c r="AX57" i="29"/>
  <c r="AL58" i="29"/>
  <c r="AT58" i="29"/>
  <c r="AP59" i="29"/>
  <c r="AX59" i="29"/>
  <c r="AL60" i="29"/>
  <c r="AT60" i="29"/>
  <c r="BB60" i="29"/>
  <c r="AX61" i="29"/>
  <c r="BC58" i="29"/>
  <c r="AY58" i="29"/>
  <c r="AU58" i="29"/>
  <c r="AQ58" i="29"/>
  <c r="AM58" i="29"/>
  <c r="AI58" i="29"/>
  <c r="BD58" i="29"/>
  <c r="AZ58" i="29"/>
  <c r="AV58" i="29"/>
  <c r="AR58" i="29"/>
  <c r="AN58" i="29"/>
  <c r="AJ58" i="29"/>
  <c r="BC62" i="29"/>
  <c r="AY62" i="29"/>
  <c r="AU62" i="29"/>
  <c r="AQ62" i="29"/>
  <c r="AM62" i="29"/>
  <c r="AI62" i="29"/>
  <c r="BB62" i="29"/>
  <c r="AX62" i="29"/>
  <c r="AT62" i="29"/>
  <c r="AP62" i="29"/>
  <c r="AL62" i="29"/>
  <c r="BA62" i="29"/>
  <c r="AW62" i="29"/>
  <c r="AS62" i="29"/>
  <c r="AO62" i="29"/>
  <c r="AK62" i="29"/>
  <c r="BD62" i="29"/>
  <c r="AZ62" i="29"/>
  <c r="AV62" i="29"/>
  <c r="AR62" i="29"/>
  <c r="AN62" i="29"/>
  <c r="AJ62" i="29"/>
  <c r="BC66" i="29"/>
  <c r="AY66" i="29"/>
  <c r="AU66" i="29"/>
  <c r="BA66" i="29"/>
  <c r="AV66" i="29"/>
  <c r="AQ66" i="29"/>
  <c r="AM66" i="29"/>
  <c r="AI66" i="29"/>
  <c r="AZ66" i="29"/>
  <c r="AT66" i="29"/>
  <c r="AP66" i="29"/>
  <c r="AL66" i="29"/>
  <c r="BD66" i="29"/>
  <c r="AX66" i="29"/>
  <c r="AS66" i="29"/>
  <c r="AO66" i="29"/>
  <c r="AK66" i="29"/>
  <c r="BB66" i="29"/>
  <c r="AW66" i="29"/>
  <c r="AR66" i="29"/>
  <c r="AN66" i="29"/>
  <c r="AJ66" i="29"/>
  <c r="BC70" i="29"/>
  <c r="AY70" i="29"/>
  <c r="AU70" i="29"/>
  <c r="AQ70" i="29"/>
  <c r="AM70" i="29"/>
  <c r="AI70" i="29"/>
  <c r="BA70" i="29"/>
  <c r="AV70" i="29"/>
  <c r="AP70" i="29"/>
  <c r="AK70" i="29"/>
  <c r="AZ70" i="29"/>
  <c r="AT70" i="29"/>
  <c r="AO70" i="29"/>
  <c r="AJ70" i="29"/>
  <c r="BD70" i="29"/>
  <c r="AX70" i="29"/>
  <c r="AS70" i="29"/>
  <c r="AN70" i="29"/>
  <c r="BB70" i="29"/>
  <c r="AW70" i="29"/>
  <c r="AR70" i="29"/>
  <c r="AL70" i="29"/>
  <c r="BC74" i="29"/>
  <c r="AY74" i="29"/>
  <c r="AU74" i="29"/>
  <c r="AQ74" i="29"/>
  <c r="AM74" i="29"/>
  <c r="AI74" i="29"/>
  <c r="R74" i="29"/>
  <c r="BA74" i="29"/>
  <c r="AV74" i="29"/>
  <c r="AP74" i="29"/>
  <c r="AK74" i="29"/>
  <c r="AZ74" i="29"/>
  <c r="AT74" i="29"/>
  <c r="AO74" i="29"/>
  <c r="AJ74" i="29"/>
  <c r="BD74" i="29"/>
  <c r="AX74" i="29"/>
  <c r="AS74" i="29"/>
  <c r="AN74" i="29"/>
  <c r="BB74" i="29"/>
  <c r="AW74" i="29"/>
  <c r="AR74" i="29"/>
  <c r="AL74" i="29"/>
  <c r="P74" i="29"/>
  <c r="BB78" i="29"/>
  <c r="AX78" i="29"/>
  <c r="AT78" i="29"/>
  <c r="AP78" i="29"/>
  <c r="AL78" i="29"/>
  <c r="BA78" i="29"/>
  <c r="AW78" i="29"/>
  <c r="AS78" i="29"/>
  <c r="AO78" i="29"/>
  <c r="BC78" i="29"/>
  <c r="AY78" i="29"/>
  <c r="AU78" i="29"/>
  <c r="AQ78" i="29"/>
  <c r="AM78" i="29"/>
  <c r="AI78" i="29"/>
  <c r="R78" i="29"/>
  <c r="AR78" i="29"/>
  <c r="BD78" i="29"/>
  <c r="AN78" i="29"/>
  <c r="AZ78" i="29"/>
  <c r="AK78" i="29"/>
  <c r="AV78" i="29"/>
  <c r="AJ78" i="29"/>
  <c r="P78" i="29"/>
  <c r="BB82" i="29"/>
  <c r="AX82" i="29"/>
  <c r="AT82" i="29"/>
  <c r="AP82" i="29"/>
  <c r="AL82" i="29"/>
  <c r="BA82" i="29"/>
  <c r="AW82" i="29"/>
  <c r="AS82" i="29"/>
  <c r="AO82" i="29"/>
  <c r="AK82" i="29"/>
  <c r="BD82" i="29"/>
  <c r="AZ82" i="29"/>
  <c r="AV82" i="29"/>
  <c r="BC82" i="29"/>
  <c r="AY82" i="29"/>
  <c r="AU82" i="29"/>
  <c r="AQ82" i="29"/>
  <c r="AM82" i="29"/>
  <c r="AI82" i="29"/>
  <c r="AR82" i="29"/>
  <c r="AN82" i="29"/>
  <c r="AJ82" i="29"/>
  <c r="BB86" i="29"/>
  <c r="AX86" i="29"/>
  <c r="AT86" i="29"/>
  <c r="AP86" i="29"/>
  <c r="AL86" i="29"/>
  <c r="BA86" i="29"/>
  <c r="AW86" i="29"/>
  <c r="AS86" i="29"/>
  <c r="AO86" i="29"/>
  <c r="AK86" i="29"/>
  <c r="BD86" i="29"/>
  <c r="AZ86" i="29"/>
  <c r="AV86" i="29"/>
  <c r="AR86" i="29"/>
  <c r="AN86" i="29"/>
  <c r="AJ86" i="29"/>
  <c r="BC86" i="29"/>
  <c r="AY86" i="29"/>
  <c r="AU86" i="29"/>
  <c r="AQ86" i="29"/>
  <c r="AM86" i="29"/>
  <c r="AI86" i="29"/>
  <c r="BB90" i="29"/>
  <c r="AX90" i="29"/>
  <c r="AT90" i="29"/>
  <c r="AP90" i="29"/>
  <c r="AL90" i="29"/>
  <c r="AZ90" i="29"/>
  <c r="AU90" i="29"/>
  <c r="AO90" i="29"/>
  <c r="AJ90" i="29"/>
  <c r="BD90" i="29"/>
  <c r="AY90" i="29"/>
  <c r="AS90" i="29"/>
  <c r="AN90" i="29"/>
  <c r="AI90" i="29"/>
  <c r="BC90" i="29"/>
  <c r="AW90" i="29"/>
  <c r="AR90" i="29"/>
  <c r="AM90" i="29"/>
  <c r="BA90" i="29"/>
  <c r="AV90" i="29"/>
  <c r="AQ90" i="29"/>
  <c r="AK90" i="29"/>
  <c r="BA94" i="29"/>
  <c r="AW94" i="29"/>
  <c r="AS94" i="29"/>
  <c r="AO94" i="29"/>
  <c r="AK94" i="29"/>
  <c r="BC94" i="29"/>
  <c r="AY94" i="29"/>
  <c r="AU94" i="29"/>
  <c r="AQ94" i="29"/>
  <c r="AM94" i="29"/>
  <c r="AI94" i="29"/>
  <c r="BB94" i="29"/>
  <c r="AX94" i="29"/>
  <c r="AT94" i="29"/>
  <c r="AP94" i="29"/>
  <c r="AL94" i="29"/>
  <c r="BD94" i="29"/>
  <c r="AN94" i="29"/>
  <c r="AZ94" i="29"/>
  <c r="AJ94" i="29"/>
  <c r="AV94" i="29"/>
  <c r="AR94" i="29"/>
  <c r="BA98" i="29"/>
  <c r="AW98" i="29"/>
  <c r="AS98" i="29"/>
  <c r="AO98" i="29"/>
  <c r="AK98" i="29"/>
  <c r="BD98" i="29"/>
  <c r="AZ98" i="29"/>
  <c r="AV98" i="29"/>
  <c r="AR98" i="29"/>
  <c r="BC98" i="29"/>
  <c r="AY98" i="29"/>
  <c r="AU98" i="29"/>
  <c r="AQ98" i="29"/>
  <c r="AM98" i="29"/>
  <c r="AI98" i="29"/>
  <c r="BB98" i="29"/>
  <c r="AX98" i="29"/>
  <c r="AT98" i="29"/>
  <c r="AP98" i="29"/>
  <c r="AL98" i="29"/>
  <c r="AN98" i="29"/>
  <c r="AJ98" i="29"/>
  <c r="BB102" i="29"/>
  <c r="AX102" i="29"/>
  <c r="AT102" i="29"/>
  <c r="AP102" i="29"/>
  <c r="AL102" i="29"/>
  <c r="BD102" i="29"/>
  <c r="AZ102" i="29"/>
  <c r="AV102" i="29"/>
  <c r="AR102" i="29"/>
  <c r="AN102" i="29"/>
  <c r="AJ102" i="29"/>
  <c r="AY102" i="29"/>
  <c r="AQ102" i="29"/>
  <c r="AI102" i="29"/>
  <c r="AW102" i="29"/>
  <c r="AO102" i="29"/>
  <c r="BC102" i="29"/>
  <c r="AU102" i="29"/>
  <c r="AM102" i="29"/>
  <c r="BA102" i="29"/>
  <c r="AS102" i="29"/>
  <c r="AK102" i="29"/>
  <c r="AK57" i="29"/>
  <c r="AS57" i="29"/>
  <c r="BA57" i="29"/>
  <c r="AO58" i="29"/>
  <c r="AW58" i="29"/>
  <c r="AK59" i="29"/>
  <c r="AS59" i="29"/>
  <c r="AO60" i="29"/>
  <c r="AW60" i="29"/>
  <c r="AL61" i="29"/>
  <c r="BB61" i="29"/>
  <c r="BC59" i="29"/>
  <c r="AY59" i="29"/>
  <c r="AU59" i="29"/>
  <c r="AQ59" i="29"/>
  <c r="AM59" i="29"/>
  <c r="AI59" i="29"/>
  <c r="BD59" i="29"/>
  <c r="AZ59" i="29"/>
  <c r="AV59" i="29"/>
  <c r="AR59" i="29"/>
  <c r="AN59" i="29"/>
  <c r="AJ59" i="29"/>
  <c r="BC63" i="29"/>
  <c r="AY63" i="29"/>
  <c r="AU63" i="29"/>
  <c r="AQ63" i="29"/>
  <c r="AM63" i="29"/>
  <c r="AI63" i="29"/>
  <c r="BB63" i="29"/>
  <c r="AX63" i="29"/>
  <c r="AT63" i="29"/>
  <c r="AP63" i="29"/>
  <c r="AL63" i="29"/>
  <c r="BA63" i="29"/>
  <c r="AW63" i="29"/>
  <c r="AS63" i="29"/>
  <c r="AO63" i="29"/>
  <c r="AK63" i="29"/>
  <c r="BD63" i="29"/>
  <c r="AZ63" i="29"/>
  <c r="AV63" i="29"/>
  <c r="AR63" i="29"/>
  <c r="AN63" i="29"/>
  <c r="AJ63" i="29"/>
  <c r="BC67" i="29"/>
  <c r="AY67" i="29"/>
  <c r="AU67" i="29"/>
  <c r="AQ67" i="29"/>
  <c r="AM67" i="29"/>
  <c r="AI67" i="29"/>
  <c r="AZ67" i="29"/>
  <c r="AT67" i="29"/>
  <c r="AO67" i="29"/>
  <c r="AJ67" i="29"/>
  <c r="BD67" i="29"/>
  <c r="AX67" i="29"/>
  <c r="AS67" i="29"/>
  <c r="AN67" i="29"/>
  <c r="BB67" i="29"/>
  <c r="AW67" i="29"/>
  <c r="AR67" i="29"/>
  <c r="AL67" i="29"/>
  <c r="BA67" i="29"/>
  <c r="AV67" i="29"/>
  <c r="AP67" i="29"/>
  <c r="AK67" i="29"/>
  <c r="BC71" i="29"/>
  <c r="AY71" i="29"/>
  <c r="AU71" i="29"/>
  <c r="AQ71" i="29"/>
  <c r="AM71" i="29"/>
  <c r="AI71" i="29"/>
  <c r="AZ71" i="29"/>
  <c r="AT71" i="29"/>
  <c r="AO71" i="29"/>
  <c r="AJ71" i="29"/>
  <c r="BD71" i="29"/>
  <c r="AX71" i="29"/>
  <c r="AS71" i="29"/>
  <c r="AN71" i="29"/>
  <c r="BB71" i="29"/>
  <c r="AW71" i="29"/>
  <c r="AR71" i="29"/>
  <c r="AL71" i="29"/>
  <c r="BA71" i="29"/>
  <c r="AV71" i="29"/>
  <c r="AP71" i="29"/>
  <c r="AK71" i="29"/>
  <c r="BC75" i="29"/>
  <c r="AY75" i="29"/>
  <c r="AU75" i="29"/>
  <c r="AQ75" i="29"/>
  <c r="AM75" i="29"/>
  <c r="AI75" i="29"/>
  <c r="R75" i="29"/>
  <c r="AZ75" i="29"/>
  <c r="AT75" i="29"/>
  <c r="AO75" i="29"/>
  <c r="AJ75" i="29"/>
  <c r="BD75" i="29"/>
  <c r="AX75" i="29"/>
  <c r="AS75" i="29"/>
  <c r="AN75" i="29"/>
  <c r="BB75" i="29"/>
  <c r="AW75" i="29"/>
  <c r="AR75" i="29"/>
  <c r="AL75" i="29"/>
  <c r="P75" i="29"/>
  <c r="BA75" i="29"/>
  <c r="AV75" i="29"/>
  <c r="AP75" i="29"/>
  <c r="AK75" i="29"/>
  <c r="BB79" i="29"/>
  <c r="AX79" i="29"/>
  <c r="AT79" i="29"/>
  <c r="AP79" i="29"/>
  <c r="AL79" i="29"/>
  <c r="BA79" i="29"/>
  <c r="AW79" i="29"/>
  <c r="AS79" i="29"/>
  <c r="AO79" i="29"/>
  <c r="AK79" i="29"/>
  <c r="P79" i="29"/>
  <c r="BC79" i="29"/>
  <c r="AY79" i="29"/>
  <c r="AU79" i="29"/>
  <c r="AQ79" i="29"/>
  <c r="AM79" i="29"/>
  <c r="AI79" i="29"/>
  <c r="R79" i="29"/>
  <c r="AV79" i="29"/>
  <c r="AR79" i="29"/>
  <c r="BD79" i="29"/>
  <c r="AN79" i="29"/>
  <c r="AZ79" i="29"/>
  <c r="AJ79" i="29"/>
  <c r="BB83" i="29"/>
  <c r="AX83" i="29"/>
  <c r="AT83" i="29"/>
  <c r="AP83" i="29"/>
  <c r="AL83" i="29"/>
  <c r="BA83" i="29"/>
  <c r="AW83" i="29"/>
  <c r="AS83" i="29"/>
  <c r="AO83" i="29"/>
  <c r="AK83" i="29"/>
  <c r="BD83" i="29"/>
  <c r="AZ83" i="29"/>
  <c r="AV83" i="29"/>
  <c r="AR83" i="29"/>
  <c r="AN83" i="29"/>
  <c r="AJ83" i="29"/>
  <c r="BC83" i="29"/>
  <c r="AY83" i="29"/>
  <c r="AU83" i="29"/>
  <c r="AQ83" i="29"/>
  <c r="AM83" i="29"/>
  <c r="AI83" i="29"/>
  <c r="BB87" i="29"/>
  <c r="AX87" i="29"/>
  <c r="AT87" i="29"/>
  <c r="AP87" i="29"/>
  <c r="AL87" i="29"/>
  <c r="BA87" i="29"/>
  <c r="AW87" i="29"/>
  <c r="AS87" i="29"/>
  <c r="AO87" i="29"/>
  <c r="AK87" i="29"/>
  <c r="BD87" i="29"/>
  <c r="AZ87" i="29"/>
  <c r="AV87" i="29"/>
  <c r="AR87" i="29"/>
  <c r="AN87" i="29"/>
  <c r="AJ87" i="29"/>
  <c r="BC87" i="29"/>
  <c r="AY87" i="29"/>
  <c r="AU87" i="29"/>
  <c r="AQ87" i="29"/>
  <c r="AM87" i="29"/>
  <c r="AI87" i="29"/>
  <c r="BB91" i="29"/>
  <c r="AX91" i="29"/>
  <c r="AT91" i="29"/>
  <c r="AP91" i="29"/>
  <c r="AL91" i="29"/>
  <c r="BD91" i="29"/>
  <c r="AY91" i="29"/>
  <c r="AS91" i="29"/>
  <c r="AN91" i="29"/>
  <c r="AI91" i="29"/>
  <c r="BC91" i="29"/>
  <c r="AW91" i="29"/>
  <c r="AR91" i="29"/>
  <c r="AM91" i="29"/>
  <c r="BA91" i="29"/>
  <c r="AV91" i="29"/>
  <c r="AQ91" i="29"/>
  <c r="AK91" i="29"/>
  <c r="AZ91" i="29"/>
  <c r="AU91" i="29"/>
  <c r="AO91" i="29"/>
  <c r="AJ91" i="29"/>
  <c r="BA95" i="29"/>
  <c r="AW95" i="29"/>
  <c r="AS95" i="29"/>
  <c r="AO95" i="29"/>
  <c r="AK95" i="29"/>
  <c r="BC95" i="29"/>
  <c r="AY95" i="29"/>
  <c r="AU95" i="29"/>
  <c r="AQ95" i="29"/>
  <c r="AM95" i="29"/>
  <c r="AI95" i="29"/>
  <c r="BB95" i="29"/>
  <c r="AX95" i="29"/>
  <c r="AT95" i="29"/>
  <c r="AP95" i="29"/>
  <c r="AL95" i="29"/>
  <c r="AR95" i="29"/>
  <c r="BD95" i="29"/>
  <c r="AN95" i="29"/>
  <c r="AZ95" i="29"/>
  <c r="AJ95" i="29"/>
  <c r="AV95" i="29"/>
  <c r="BA99" i="29"/>
  <c r="AW99" i="29"/>
  <c r="AS99" i="29"/>
  <c r="AO99" i="29"/>
  <c r="AK99" i="29"/>
  <c r="BD99" i="29"/>
  <c r="AZ99" i="29"/>
  <c r="AV99" i="29"/>
  <c r="AR99" i="29"/>
  <c r="AN99" i="29"/>
  <c r="AJ99" i="29"/>
  <c r="BC99" i="29"/>
  <c r="AY99" i="29"/>
  <c r="AU99" i="29"/>
  <c r="AQ99" i="29"/>
  <c r="AM99" i="29"/>
  <c r="AI99" i="29"/>
  <c r="BB99" i="29"/>
  <c r="AX99" i="29"/>
  <c r="AT99" i="29"/>
  <c r="AP99" i="29"/>
  <c r="AL99" i="29"/>
  <c r="BB103" i="29"/>
  <c r="AX103" i="29"/>
  <c r="AT103" i="29"/>
  <c r="AP103" i="29"/>
  <c r="AL103" i="29"/>
  <c r="BD103" i="29"/>
  <c r="AZ103" i="29"/>
  <c r="AV103" i="29"/>
  <c r="AR103" i="29"/>
  <c r="AN103" i="29"/>
  <c r="AJ103" i="29"/>
  <c r="BC103" i="29"/>
  <c r="AU103" i="29"/>
  <c r="AM103" i="29"/>
  <c r="BA103" i="29"/>
  <c r="AS103" i="29"/>
  <c r="AK103" i="29"/>
  <c r="AY103" i="29"/>
  <c r="AQ103" i="29"/>
  <c r="AI103" i="29"/>
  <c r="AW103" i="29"/>
  <c r="AO103" i="29"/>
  <c r="AL57" i="29"/>
  <c r="AT57" i="29"/>
  <c r="BB57" i="29"/>
  <c r="AP58" i="29"/>
  <c r="AX58" i="29"/>
  <c r="AL59" i="29"/>
  <c r="AT59" i="29"/>
  <c r="BB59" i="29"/>
  <c r="AP60" i="29"/>
  <c r="AP61" i="29"/>
  <c r="BC60" i="29"/>
  <c r="AY60" i="29"/>
  <c r="AU60" i="29"/>
  <c r="AQ60" i="29"/>
  <c r="AM60" i="29"/>
  <c r="AI60" i="29"/>
  <c r="BD60" i="29"/>
  <c r="AZ60" i="29"/>
  <c r="AV60" i="29"/>
  <c r="AR60" i="29"/>
  <c r="AN60" i="29"/>
  <c r="AJ60" i="29"/>
  <c r="BC64" i="29"/>
  <c r="AY64" i="29"/>
  <c r="AU64" i="29"/>
  <c r="AQ64" i="29"/>
  <c r="AM64" i="29"/>
  <c r="AI64" i="29"/>
  <c r="BB64" i="29"/>
  <c r="AX64" i="29"/>
  <c r="AT64" i="29"/>
  <c r="AP64" i="29"/>
  <c r="AL64" i="29"/>
  <c r="BA64" i="29"/>
  <c r="AW64" i="29"/>
  <c r="AS64" i="29"/>
  <c r="AO64" i="29"/>
  <c r="AK64" i="29"/>
  <c r="BD64" i="29"/>
  <c r="AZ64" i="29"/>
  <c r="AV64" i="29"/>
  <c r="AR64" i="29"/>
  <c r="AN64" i="29"/>
  <c r="AJ64" i="29"/>
  <c r="BC68" i="29"/>
  <c r="AY68" i="29"/>
  <c r="AU68" i="29"/>
  <c r="AQ68" i="29"/>
  <c r="AM68" i="29"/>
  <c r="AI68" i="29"/>
  <c r="BD68" i="29"/>
  <c r="AX68" i="29"/>
  <c r="AS68" i="29"/>
  <c r="AN68" i="29"/>
  <c r="BB68" i="29"/>
  <c r="AW68" i="29"/>
  <c r="AR68" i="29"/>
  <c r="AL68" i="29"/>
  <c r="BA68" i="29"/>
  <c r="AV68" i="29"/>
  <c r="AP68" i="29"/>
  <c r="AK68" i="29"/>
  <c r="AZ68" i="29"/>
  <c r="AT68" i="29"/>
  <c r="AO68" i="29"/>
  <c r="AJ68" i="29"/>
  <c r="BC72" i="29"/>
  <c r="AY72" i="29"/>
  <c r="AU72" i="29"/>
  <c r="AQ72" i="29"/>
  <c r="AM72" i="29"/>
  <c r="AI72" i="29"/>
  <c r="BD72" i="29"/>
  <c r="AX72" i="29"/>
  <c r="AS72" i="29"/>
  <c r="AN72" i="29"/>
  <c r="BB72" i="29"/>
  <c r="AW72" i="29"/>
  <c r="AR72" i="29"/>
  <c r="AL72" i="29"/>
  <c r="BA72" i="29"/>
  <c r="AV72" i="29"/>
  <c r="AP72" i="29"/>
  <c r="AK72" i="29"/>
  <c r="AZ72" i="29"/>
  <c r="AT72" i="29"/>
  <c r="AO72" i="29"/>
  <c r="AJ72" i="29"/>
  <c r="BC76" i="29"/>
  <c r="AY76" i="29"/>
  <c r="AU76" i="29"/>
  <c r="AQ76" i="29"/>
  <c r="AM76" i="29"/>
  <c r="AI76" i="29"/>
  <c r="R76" i="29"/>
  <c r="BD76" i="29"/>
  <c r="AX76" i="29"/>
  <c r="AS76" i="29"/>
  <c r="AN76" i="29"/>
  <c r="BB76" i="29"/>
  <c r="AW76" i="29"/>
  <c r="AR76" i="29"/>
  <c r="AL76" i="29"/>
  <c r="P76" i="29"/>
  <c r="BA76" i="29"/>
  <c r="AV76" i="29"/>
  <c r="AP76" i="29"/>
  <c r="AK76" i="29"/>
  <c r="AZ76" i="29"/>
  <c r="AT76" i="29"/>
  <c r="AO76" i="29"/>
  <c r="AJ76" i="29"/>
  <c r="BB80" i="29"/>
  <c r="AX80" i="29"/>
  <c r="AT80" i="29"/>
  <c r="AP80" i="29"/>
  <c r="AL80" i="29"/>
  <c r="BA80" i="29"/>
  <c r="AW80" i="29"/>
  <c r="AS80" i="29"/>
  <c r="AO80" i="29"/>
  <c r="AK80" i="29"/>
  <c r="P80" i="29"/>
  <c r="BC80" i="29"/>
  <c r="AY80" i="29"/>
  <c r="AU80" i="29"/>
  <c r="AQ80" i="29"/>
  <c r="AM80" i="29"/>
  <c r="AI80" i="29"/>
  <c r="R80" i="29"/>
  <c r="AZ80" i="29"/>
  <c r="AJ80" i="29"/>
  <c r="AV80" i="29"/>
  <c r="AR80" i="29"/>
  <c r="BD80" i="29"/>
  <c r="AN80" i="29"/>
  <c r="BB84" i="29"/>
  <c r="AX84" i="29"/>
  <c r="AT84" i="29"/>
  <c r="AP84" i="29"/>
  <c r="AL84" i="29"/>
  <c r="BA84" i="29"/>
  <c r="AW84" i="29"/>
  <c r="AS84" i="29"/>
  <c r="AO84" i="29"/>
  <c r="AK84" i="29"/>
  <c r="BD84" i="29"/>
  <c r="AZ84" i="29"/>
  <c r="AV84" i="29"/>
  <c r="AR84" i="29"/>
  <c r="AN84" i="29"/>
  <c r="AJ84" i="29"/>
  <c r="BC84" i="29"/>
  <c r="AY84" i="29"/>
  <c r="AU84" i="29"/>
  <c r="AQ84" i="29"/>
  <c r="AM84" i="29"/>
  <c r="AI84" i="29"/>
  <c r="BB88" i="29"/>
  <c r="AX88" i="29"/>
  <c r="AT88" i="29"/>
  <c r="AP88" i="29"/>
  <c r="AL88" i="29"/>
  <c r="BA88" i="29"/>
  <c r="AW88" i="29"/>
  <c r="AS88" i="29"/>
  <c r="AO88" i="29"/>
  <c r="AK88" i="29"/>
  <c r="BD88" i="29"/>
  <c r="AZ88" i="29"/>
  <c r="AV88" i="29"/>
  <c r="AR88" i="29"/>
  <c r="AN88" i="29"/>
  <c r="AJ88" i="29"/>
  <c r="BC88" i="29"/>
  <c r="AY88" i="29"/>
  <c r="AU88" i="29"/>
  <c r="AQ88" i="29"/>
  <c r="AM88" i="29"/>
  <c r="AI88" i="29"/>
  <c r="BA92" i="29"/>
  <c r="AW92" i="29"/>
  <c r="AS92" i="29"/>
  <c r="AO92" i="29"/>
  <c r="AK92" i="29"/>
  <c r="BB92" i="29"/>
  <c r="AX92" i="29"/>
  <c r="AT92" i="29"/>
  <c r="AP92" i="29"/>
  <c r="AL92" i="29"/>
  <c r="BD92" i="29"/>
  <c r="AV92" i="29"/>
  <c r="AN92" i="29"/>
  <c r="BC92" i="29"/>
  <c r="AU92" i="29"/>
  <c r="AM92" i="29"/>
  <c r="AZ92" i="29"/>
  <c r="AR92" i="29"/>
  <c r="AJ92" i="29"/>
  <c r="AY92" i="29"/>
  <c r="AQ92" i="29"/>
  <c r="AI92" i="29"/>
  <c r="BA96" i="29"/>
  <c r="AW96" i="29"/>
  <c r="AS96" i="29"/>
  <c r="AO96" i="29"/>
  <c r="AK96" i="29"/>
  <c r="BC96" i="29"/>
  <c r="AY96" i="29"/>
  <c r="AU96" i="29"/>
  <c r="AQ96" i="29"/>
  <c r="AM96" i="29"/>
  <c r="AI96" i="29"/>
  <c r="BB96" i="29"/>
  <c r="AX96" i="29"/>
  <c r="AT96" i="29"/>
  <c r="AP96" i="29"/>
  <c r="AL96" i="29"/>
  <c r="AV96" i="29"/>
  <c r="AR96" i="29"/>
  <c r="BD96" i="29"/>
  <c r="AN96" i="29"/>
  <c r="AZ96" i="29"/>
  <c r="AJ96" i="29"/>
  <c r="BB100" i="29"/>
  <c r="AX100" i="29"/>
  <c r="AT100" i="29"/>
  <c r="AP100" i="29"/>
  <c r="AL100" i="29"/>
  <c r="BD100" i="29"/>
  <c r="AZ100" i="29"/>
  <c r="AV100" i="29"/>
  <c r="AR100" i="29"/>
  <c r="AN100" i="29"/>
  <c r="AJ100" i="29"/>
  <c r="AY100" i="29"/>
  <c r="AQ100" i="29"/>
  <c r="AI100" i="29"/>
  <c r="AW100" i="29"/>
  <c r="AO100" i="29"/>
  <c r="BC100" i="29"/>
  <c r="AU100" i="29"/>
  <c r="AM100" i="29"/>
  <c r="BA100" i="29"/>
  <c r="AS100" i="29"/>
  <c r="AK100" i="29"/>
  <c r="AO57" i="29"/>
  <c r="AW57" i="29"/>
  <c r="AK58" i="29"/>
  <c r="AS58" i="29"/>
  <c r="BA58" i="29"/>
  <c r="AO59" i="29"/>
  <c r="AW59" i="29"/>
  <c r="AK60" i="29"/>
  <c r="AS60" i="29"/>
  <c r="BA60" i="29"/>
  <c r="AT61" i="29"/>
  <c r="AF48" i="30"/>
  <c r="AB48" i="30"/>
  <c r="X48" i="30"/>
  <c r="AC48" i="30"/>
  <c r="W48" i="30"/>
  <c r="AA48" i="30"/>
  <c r="AE48" i="30"/>
  <c r="Z48" i="30"/>
  <c r="AD48" i="30"/>
  <c r="Y48" i="30"/>
  <c r="AC52" i="30"/>
  <c r="Y52" i="30"/>
  <c r="AE52" i="30"/>
  <c r="Z52" i="30"/>
  <c r="AF52" i="30"/>
  <c r="X52" i="30"/>
  <c r="AD52" i="30"/>
  <c r="W52" i="30"/>
  <c r="AB52" i="30"/>
  <c r="AA52" i="30"/>
  <c r="AC56" i="30"/>
  <c r="Y56" i="30"/>
  <c r="AD56" i="30"/>
  <c r="X56" i="30"/>
  <c r="AB56" i="30"/>
  <c r="W56" i="30"/>
  <c r="AE56" i="30"/>
  <c r="Z56" i="30"/>
  <c r="AA56" i="30"/>
  <c r="AF56" i="30"/>
  <c r="AC60" i="30"/>
  <c r="Y60" i="30"/>
  <c r="AD60" i="30"/>
  <c r="X60" i="30"/>
  <c r="AB60" i="30"/>
  <c r="W60" i="30"/>
  <c r="AE60" i="30"/>
  <c r="Z60" i="30"/>
  <c r="AF60" i="30"/>
  <c r="AA60" i="30"/>
  <c r="AC64" i="30"/>
  <c r="Y64" i="30"/>
  <c r="AD64" i="30"/>
  <c r="X64" i="30"/>
  <c r="AB64" i="30"/>
  <c r="W64" i="30"/>
  <c r="AE64" i="30"/>
  <c r="Z64" i="30"/>
  <c r="AF64" i="30"/>
  <c r="AA64" i="30"/>
  <c r="AC68" i="30"/>
  <c r="Y68" i="30"/>
  <c r="AD68" i="30"/>
  <c r="X68" i="30"/>
  <c r="AB68" i="30"/>
  <c r="W68" i="30"/>
  <c r="AE68" i="30"/>
  <c r="Z68" i="30"/>
  <c r="AF68" i="30"/>
  <c r="AA68" i="30"/>
  <c r="AC72" i="30"/>
  <c r="Y72" i="30"/>
  <c r="AD72" i="30"/>
  <c r="X72" i="30"/>
  <c r="AB72" i="30"/>
  <c r="W72" i="30"/>
  <c r="AF72" i="30"/>
  <c r="AA72" i="30"/>
  <c r="AE72" i="30"/>
  <c r="Z72" i="30"/>
  <c r="AF76" i="30"/>
  <c r="AB76" i="30"/>
  <c r="X76" i="30"/>
  <c r="AE76" i="30"/>
  <c r="AA76" i="30"/>
  <c r="W76" i="30"/>
  <c r="AC76" i="30"/>
  <c r="Y76" i="30"/>
  <c r="AD76" i="30"/>
  <c r="Z76" i="30"/>
  <c r="AF80" i="30"/>
  <c r="AB80" i="30"/>
  <c r="X80" i="30"/>
  <c r="AE80" i="30"/>
  <c r="AA80" i="30"/>
  <c r="W80" i="30"/>
  <c r="AC80" i="30"/>
  <c r="Y80" i="30"/>
  <c r="AD80" i="30"/>
  <c r="Z80" i="30"/>
  <c r="AF84" i="30"/>
  <c r="AB84" i="30"/>
  <c r="X84" i="30"/>
  <c r="AE84" i="30"/>
  <c r="AA84" i="30"/>
  <c r="W84" i="30"/>
  <c r="AC84" i="30"/>
  <c r="Y84" i="30"/>
  <c r="AD84" i="30"/>
  <c r="Z84" i="30"/>
  <c r="AF50" i="30"/>
  <c r="AB50" i="30"/>
  <c r="X50" i="30"/>
  <c r="AE50" i="30"/>
  <c r="Z50" i="30"/>
  <c r="AD50" i="30"/>
  <c r="Y50" i="30"/>
  <c r="AC50" i="30"/>
  <c r="W50" i="30"/>
  <c r="AA50" i="30"/>
  <c r="AC54" i="30"/>
  <c r="Y54" i="30"/>
  <c r="AB54" i="30"/>
  <c r="W54" i="30"/>
  <c r="AA54" i="30"/>
  <c r="AF54" i="30"/>
  <c r="Z54" i="30"/>
  <c r="AE54" i="30"/>
  <c r="X54" i="30"/>
  <c r="AD54" i="30"/>
  <c r="AC58" i="30"/>
  <c r="Y58" i="30"/>
  <c r="AF58" i="30"/>
  <c r="AA58" i="30"/>
  <c r="AE58" i="30"/>
  <c r="Z58" i="30"/>
  <c r="AB58" i="30"/>
  <c r="W58" i="30"/>
  <c r="AD58" i="30"/>
  <c r="X58" i="30"/>
  <c r="AC62" i="30"/>
  <c r="Y62" i="30"/>
  <c r="AF62" i="30"/>
  <c r="AA62" i="30"/>
  <c r="AE62" i="30"/>
  <c r="Z62" i="30"/>
  <c r="AB62" i="30"/>
  <c r="W62" i="30"/>
  <c r="AD62" i="30"/>
  <c r="X62" i="30"/>
  <c r="AC66" i="30"/>
  <c r="Y66" i="30"/>
  <c r="AF66" i="30"/>
  <c r="AA66" i="30"/>
  <c r="AE66" i="30"/>
  <c r="Z66" i="30"/>
  <c r="AB66" i="30"/>
  <c r="W66" i="30"/>
  <c r="AD66" i="30"/>
  <c r="X66" i="30"/>
  <c r="AC70" i="30"/>
  <c r="Y70" i="30"/>
  <c r="AF70" i="30"/>
  <c r="AA70" i="30"/>
  <c r="AE70" i="30"/>
  <c r="Z70" i="30"/>
  <c r="AB70" i="30"/>
  <c r="W70" i="30"/>
  <c r="X70" i="30"/>
  <c r="AD70" i="30"/>
  <c r="AF74" i="30"/>
  <c r="AB74" i="30"/>
  <c r="X74" i="30"/>
  <c r="AC74" i="30"/>
  <c r="Y74" i="30"/>
  <c r="Z74" i="30"/>
  <c r="AE74" i="30"/>
  <c r="W74" i="30"/>
  <c r="AD74" i="30"/>
  <c r="AA74" i="30"/>
  <c r="AF78" i="30"/>
  <c r="AB78" i="30"/>
  <c r="X78" i="30"/>
  <c r="AE78" i="30"/>
  <c r="AA78" i="30"/>
  <c r="W78" i="30"/>
  <c r="AC78" i="30"/>
  <c r="Y78" i="30"/>
  <c r="Z78" i="30"/>
  <c r="AD78" i="30"/>
  <c r="AF82" i="30"/>
  <c r="AB82" i="30"/>
  <c r="X82" i="30"/>
  <c r="AE82" i="30"/>
  <c r="AA82" i="30"/>
  <c r="W82" i="30"/>
  <c r="AC82" i="30"/>
  <c r="Y82" i="30"/>
  <c r="Z82" i="30"/>
  <c r="AD82" i="30"/>
  <c r="AF51" i="30"/>
  <c r="AB51" i="30"/>
  <c r="X51" i="30"/>
  <c r="AC55" i="30"/>
  <c r="Y55" i="30"/>
  <c r="AB55" i="30"/>
  <c r="W55" i="30"/>
  <c r="AF55" i="30"/>
  <c r="AA55" i="30"/>
  <c r="AD55" i="30"/>
  <c r="X55" i="30"/>
  <c r="AC59" i="30"/>
  <c r="Y59" i="30"/>
  <c r="AB59" i="30"/>
  <c r="W59" i="30"/>
  <c r="AF59" i="30"/>
  <c r="AA59" i="30"/>
  <c r="AD59" i="30"/>
  <c r="X59" i="30"/>
  <c r="AC63" i="30"/>
  <c r="Y63" i="30"/>
  <c r="AB63" i="30"/>
  <c r="W63" i="30"/>
  <c r="AF63" i="30"/>
  <c r="AA63" i="30"/>
  <c r="AD63" i="30"/>
  <c r="X63" i="30"/>
  <c r="AC67" i="30"/>
  <c r="Y67" i="30"/>
  <c r="AB67" i="30"/>
  <c r="W67" i="30"/>
  <c r="AF67" i="30"/>
  <c r="AA67" i="30"/>
  <c r="AD67" i="30"/>
  <c r="X67" i="30"/>
  <c r="AC71" i="30"/>
  <c r="Y71" i="30"/>
  <c r="AB71" i="30"/>
  <c r="W71" i="30"/>
  <c r="AF71" i="30"/>
  <c r="AA71" i="30"/>
  <c r="AE71" i="30"/>
  <c r="Z71" i="30"/>
  <c r="AD71" i="30"/>
  <c r="X71" i="30"/>
  <c r="AF75" i="30"/>
  <c r="AB75" i="30"/>
  <c r="X75" i="30"/>
  <c r="AE75" i="30"/>
  <c r="AA75" i="30"/>
  <c r="W75" i="30"/>
  <c r="AC75" i="30"/>
  <c r="Y75" i="30"/>
  <c r="AD75" i="30"/>
  <c r="Z75" i="30"/>
  <c r="AF79" i="30"/>
  <c r="AB79" i="30"/>
  <c r="X79" i="30"/>
  <c r="AE79" i="30"/>
  <c r="AA79" i="30"/>
  <c r="W79" i="30"/>
  <c r="AC79" i="30"/>
  <c r="Y79" i="30"/>
  <c r="AD79" i="30"/>
  <c r="Z79" i="30"/>
  <c r="AF83" i="30"/>
  <c r="AB83" i="30"/>
  <c r="X83" i="30"/>
  <c r="AE83" i="30"/>
  <c r="AA83" i="30"/>
  <c r="W83" i="30"/>
  <c r="AC83" i="30"/>
  <c r="Y83" i="30"/>
  <c r="AD83" i="30"/>
  <c r="Z83" i="30"/>
  <c r="Z49" i="30"/>
  <c r="AE49" i="30"/>
  <c r="W51" i="30"/>
  <c r="AC51" i="30"/>
  <c r="AB53" i="30"/>
  <c r="AE55" i="30"/>
  <c r="W65" i="30"/>
  <c r="Z67" i="30"/>
  <c r="Y51" i="30"/>
  <c r="AD51" i="30"/>
  <c r="W53" i="30"/>
  <c r="Z63" i="30"/>
  <c r="AE67" i="30"/>
  <c r="AF49" i="30"/>
  <c r="AB49" i="30"/>
  <c r="X49" i="30"/>
  <c r="AC53" i="30"/>
  <c r="Y53" i="30"/>
  <c r="AF53" i="30"/>
  <c r="AA53" i="30"/>
  <c r="AC57" i="30"/>
  <c r="Y57" i="30"/>
  <c r="AE57" i="30"/>
  <c r="Z57" i="30"/>
  <c r="AD57" i="30"/>
  <c r="X57" i="30"/>
  <c r="AF57" i="30"/>
  <c r="AA57" i="30"/>
  <c r="AC61" i="30"/>
  <c r="Y61" i="30"/>
  <c r="AE61" i="30"/>
  <c r="Z61" i="30"/>
  <c r="AD61" i="30"/>
  <c r="X61" i="30"/>
  <c r="AF61" i="30"/>
  <c r="AA61" i="30"/>
  <c r="AC65" i="30"/>
  <c r="Y65" i="30"/>
  <c r="AE65" i="30"/>
  <c r="Z65" i="30"/>
  <c r="AD65" i="30"/>
  <c r="X65" i="30"/>
  <c r="AF65" i="30"/>
  <c r="AA65" i="30"/>
  <c r="AC69" i="30"/>
  <c r="Y69" i="30"/>
  <c r="AE69" i="30"/>
  <c r="Z69" i="30"/>
  <c r="AD69" i="30"/>
  <c r="X69" i="30"/>
  <c r="AF69" i="30"/>
  <c r="AA69" i="30"/>
  <c r="AF73" i="30"/>
  <c r="AB73" i="30"/>
  <c r="X73" i="30"/>
  <c r="AC73" i="30"/>
  <c r="Y73" i="30"/>
  <c r="AD73" i="30"/>
  <c r="AA73" i="30"/>
  <c r="Z73" i="30"/>
  <c r="AE73" i="30"/>
  <c r="W73" i="30"/>
  <c r="AF77" i="30"/>
  <c r="AB77" i="30"/>
  <c r="X77" i="30"/>
  <c r="AE77" i="30"/>
  <c r="AA77" i="30"/>
  <c r="W77" i="30"/>
  <c r="AC77" i="30"/>
  <c r="Y77" i="30"/>
  <c r="AD77" i="30"/>
  <c r="Z77" i="30"/>
  <c r="AF81" i="30"/>
  <c r="AB81" i="30"/>
  <c r="X81" i="30"/>
  <c r="AE81" i="30"/>
  <c r="AA81" i="30"/>
  <c r="W81" i="30"/>
  <c r="AC81" i="30"/>
  <c r="Y81" i="30"/>
  <c r="AD81" i="30"/>
  <c r="Z81" i="30"/>
  <c r="AC85" i="30"/>
  <c r="AB85" i="30"/>
  <c r="X85" i="30"/>
  <c r="AF85" i="30"/>
  <c r="AA85" i="30"/>
  <c r="W85" i="30"/>
  <c r="AE85" i="30"/>
  <c r="Z85" i="30"/>
  <c r="AD85" i="30"/>
  <c r="Y85" i="30"/>
  <c r="W49" i="30"/>
  <c r="AC49" i="30"/>
  <c r="Z51" i="30"/>
  <c r="AE51" i="30"/>
  <c r="X53" i="30"/>
  <c r="AE53" i="30"/>
  <c r="W57" i="30"/>
  <c r="Z59" i="30"/>
  <c r="AB61" i="30"/>
  <c r="AE63" i="30"/>
  <c r="Y49" i="30"/>
  <c r="AD49" i="30"/>
  <c r="AA51" i="30"/>
  <c r="Z53" i="30"/>
  <c r="Z55" i="30"/>
  <c r="AB57" i="30"/>
  <c r="AE59" i="30"/>
  <c r="W69" i="30"/>
  <c r="B8" i="31"/>
  <c r="D8" i="31"/>
  <c r="F8" i="31"/>
  <c r="H8" i="31"/>
  <c r="J8" i="31"/>
  <c r="L8" i="31"/>
  <c r="N8" i="31"/>
  <c r="P8" i="31"/>
  <c r="R8" i="31"/>
  <c r="T8" i="31"/>
  <c r="V8" i="31"/>
  <c r="C8" i="32"/>
  <c r="E8" i="32"/>
  <c r="G8" i="32"/>
  <c r="I8" i="32"/>
  <c r="K8" i="32"/>
  <c r="E8" i="31"/>
  <c r="G8" i="31"/>
  <c r="I8" i="31"/>
  <c r="K8" i="31"/>
  <c r="M8" i="31"/>
  <c r="O8" i="31"/>
  <c r="Q8" i="31"/>
  <c r="S8" i="31"/>
  <c r="U8" i="31"/>
  <c r="W8" i="31"/>
  <c r="B8" i="32"/>
  <c r="D8" i="32"/>
  <c r="F8" i="32"/>
  <c r="H8" i="32"/>
  <c r="J8" i="32"/>
  <c r="Z6" i="27"/>
  <c r="AH6" i="27" s="1"/>
  <c r="AJ13" i="27"/>
  <c r="Z8" i="27"/>
  <c r="AH8" i="27" s="1"/>
  <c r="AJ5" i="27"/>
  <c r="Z3" i="27"/>
  <c r="AH3" i="27" s="1"/>
  <c r="Z4" i="27"/>
  <c r="AH4" i="27" s="1"/>
  <c r="Z5" i="27"/>
  <c r="AH5" i="27" s="1"/>
  <c r="Z13" i="27"/>
  <c r="AH13" i="27" s="1"/>
  <c r="R10" i="27"/>
  <c r="M321" i="27"/>
  <c r="U10" i="27" s="1"/>
  <c r="AI10" i="27" s="1"/>
  <c r="R9" i="27"/>
  <c r="M170" i="27"/>
  <c r="U9" i="27" s="1"/>
  <c r="AI9" i="27" s="1"/>
  <c r="U11" i="27"/>
  <c r="AI11" i="27" s="1"/>
  <c r="R11" i="27"/>
  <c r="M457" i="27"/>
  <c r="U12" i="27" s="1"/>
  <c r="AI12" i="27" s="1"/>
  <c r="AF3" i="27"/>
  <c r="AJ3" i="27"/>
  <c r="AG4" i="27"/>
  <c r="AG58" i="6"/>
  <c r="AD57" i="6"/>
  <c r="D35" i="5"/>
  <c r="E35" i="5"/>
  <c r="AI5" i="17"/>
  <c r="AT5" i="16"/>
  <c r="AT8" i="16" s="1"/>
  <c r="AC65" i="17"/>
  <c r="AC69" i="17"/>
  <c r="AC45" i="17"/>
  <c r="AC27" i="17"/>
  <c r="AC11" i="17"/>
  <c r="AC72" i="17"/>
  <c r="AC73" i="17"/>
  <c r="AC5" i="17"/>
  <c r="AI8" i="17" s="1"/>
  <c r="AC6" i="17"/>
  <c r="AC43" i="17"/>
  <c r="AC51" i="17"/>
  <c r="AC59" i="17"/>
  <c r="AC67" i="17"/>
  <c r="AC75" i="17"/>
  <c r="AC83" i="17"/>
  <c r="AJ8" i="16"/>
  <c r="AO7" i="16"/>
  <c r="AC12" i="17"/>
  <c r="AC13" i="17"/>
  <c r="AC20" i="17"/>
  <c r="AC21" i="17"/>
  <c r="AC28" i="17"/>
  <c r="AC29" i="17"/>
  <c r="AC36" i="17"/>
  <c r="AC37" i="17"/>
  <c r="AC44" i="17"/>
  <c r="AC52" i="17"/>
  <c r="AC60" i="17"/>
  <c r="AC68" i="17"/>
  <c r="AC76" i="17"/>
  <c r="AC77" i="17"/>
  <c r="AI6" i="17" s="1"/>
  <c r="AC78" i="17"/>
  <c r="AC84" i="17"/>
  <c r="AC85" i="17"/>
  <c r="AI7" i="17" s="1"/>
  <c r="AC86" i="17"/>
  <c r="AC92" i="17"/>
  <c r="AC93" i="17"/>
  <c r="AC100" i="17"/>
  <c r="AC101" i="17"/>
  <c r="AC108" i="17"/>
  <c r="AC109" i="17"/>
  <c r="AC116" i="17"/>
  <c r="AC117" i="17"/>
  <c r="AC124" i="17"/>
  <c r="AC125" i="17"/>
  <c r="AC8" i="17"/>
  <c r="AC47" i="17"/>
  <c r="AC55" i="17"/>
  <c r="AC63" i="17"/>
  <c r="AC71" i="17"/>
  <c r="AC79" i="17"/>
  <c r="AC87" i="17"/>
  <c r="AJ7" i="16"/>
  <c r="AO8" i="16"/>
  <c r="AC10" i="17"/>
  <c r="AC14" i="17"/>
  <c r="AC22" i="17"/>
  <c r="AC26" i="17"/>
  <c r="AC30" i="17"/>
  <c r="AC34" i="17"/>
  <c r="AC38" i="17"/>
  <c r="AC42" i="17"/>
  <c r="AC46" i="17"/>
  <c r="AC50" i="17"/>
  <c r="AC54" i="17"/>
  <c r="AC58" i="17"/>
  <c r="AC62" i="17"/>
  <c r="AC66" i="17"/>
  <c r="AC70" i="17"/>
  <c r="AC74" i="17"/>
  <c r="AC90" i="17"/>
  <c r="AC94" i="17"/>
  <c r="AC98" i="17"/>
  <c r="AC102" i="17"/>
  <c r="AC106" i="17"/>
  <c r="AC110" i="17"/>
  <c r="AC114" i="17"/>
  <c r="AC118" i="17"/>
  <c r="AC122" i="17"/>
  <c r="AC91" i="17"/>
  <c r="AC95" i="17"/>
  <c r="AC99" i="17"/>
  <c r="AC103" i="17"/>
  <c r="AC107" i="17"/>
  <c r="AC111" i="17"/>
  <c r="AC115" i="17"/>
  <c r="AC119" i="17"/>
  <c r="AC123" i="17"/>
  <c r="M11" i="6"/>
  <c r="M19" i="6"/>
  <c r="AD54" i="8"/>
  <c r="AD54" i="9"/>
  <c r="AD54" i="7"/>
  <c r="V47" i="12"/>
  <c r="V47" i="13"/>
  <c r="V47" i="11"/>
  <c r="V47" i="10"/>
  <c r="Z46" i="12"/>
  <c r="Z46" i="13"/>
  <c r="Z46" i="11"/>
  <c r="Z46" i="10"/>
  <c r="U56" i="9"/>
  <c r="U56" i="8"/>
  <c r="U58" i="6"/>
  <c r="U56" i="7"/>
  <c r="F18" i="5"/>
  <c r="T47" i="13"/>
  <c r="T47" i="12"/>
  <c r="T47" i="11"/>
  <c r="T47" i="10"/>
  <c r="AH56" i="9"/>
  <c r="AH56" i="8"/>
  <c r="AH58" i="6"/>
  <c r="AH56" i="7"/>
  <c r="F28" i="5"/>
  <c r="AJ54" i="8"/>
  <c r="AJ54" i="9"/>
  <c r="AJ54" i="7"/>
  <c r="Y46" i="13"/>
  <c r="Y46" i="12"/>
  <c r="Y46" i="10"/>
  <c r="Y46" i="11"/>
  <c r="X54" i="8"/>
  <c r="X58" i="8" s="1"/>
  <c r="X54" i="9"/>
  <c r="X54" i="7"/>
  <c r="AC54" i="8"/>
  <c r="AC58" i="8" s="1"/>
  <c r="AC54" i="9"/>
  <c r="AC54" i="7"/>
  <c r="AL55" i="9"/>
  <c r="AL55" i="8"/>
  <c r="AL55" i="7"/>
  <c r="AL57" i="6"/>
  <c r="W54" i="8"/>
  <c r="W58" i="8" s="1"/>
  <c r="W54" i="9"/>
  <c r="W54" i="7"/>
  <c r="AB54" i="8"/>
  <c r="AB54" i="9"/>
  <c r="AB54" i="7"/>
  <c r="AD56" i="9"/>
  <c r="AD56" i="8"/>
  <c r="AD56" i="7"/>
  <c r="AD58" i="6"/>
  <c r="D28" i="5"/>
  <c r="AL56" i="6" s="1"/>
  <c r="P54" i="8"/>
  <c r="P58" i="8" s="1"/>
  <c r="P54" i="9"/>
  <c r="P54" i="7"/>
  <c r="U54" i="8"/>
  <c r="U58" i="8" s="1"/>
  <c r="U54" i="9"/>
  <c r="U54" i="7"/>
  <c r="AF54" i="8"/>
  <c r="AF54" i="9"/>
  <c r="AF54" i="7"/>
  <c r="AI54" i="8"/>
  <c r="AI58" i="8" s="1"/>
  <c r="AI54" i="9"/>
  <c r="AI54" i="7"/>
  <c r="AB55" i="9"/>
  <c r="AB55" i="8"/>
  <c r="AB57" i="6"/>
  <c r="AG54" i="8"/>
  <c r="AG54" i="9"/>
  <c r="AG54" i="7"/>
  <c r="Z54" i="8"/>
  <c r="Z58" i="8" s="1"/>
  <c r="Z54" i="9"/>
  <c r="Z54" i="7"/>
  <c r="X45" i="13"/>
  <c r="X45" i="12"/>
  <c r="X45" i="11"/>
  <c r="X45" i="10"/>
  <c r="Z47" i="13"/>
  <c r="Z47" i="12"/>
  <c r="Z47" i="11"/>
  <c r="Z47" i="10"/>
  <c r="V56" i="9"/>
  <c r="V56" i="8"/>
  <c r="AJ55" i="9"/>
  <c r="AJ55" i="8"/>
  <c r="Y47" i="12"/>
  <c r="Y47" i="13"/>
  <c r="Y47" i="10"/>
  <c r="Y47" i="11"/>
  <c r="M14" i="6"/>
  <c r="M50" i="6"/>
  <c r="O54" i="8"/>
  <c r="O58" i="8" s="1"/>
  <c r="O54" i="9"/>
  <c r="S54" i="8"/>
  <c r="S54" i="9"/>
  <c r="AH56" i="6"/>
  <c r="AG56" i="7"/>
  <c r="R55" i="6"/>
  <c r="R60" i="6" s="1"/>
  <c r="R33" i="7" s="1"/>
  <c r="Y55" i="6"/>
  <c r="M54" i="8"/>
  <c r="M58" i="8" s="1"/>
  <c r="M54" i="9"/>
  <c r="M54" i="7"/>
  <c r="R54" i="8"/>
  <c r="R58" i="8" s="1"/>
  <c r="R54" i="9"/>
  <c r="R54" i="7"/>
  <c r="Z58" i="6"/>
  <c r="AE54" i="8"/>
  <c r="AE54" i="9"/>
  <c r="AH57" i="6"/>
  <c r="AK54" i="8"/>
  <c r="AK58" i="8" s="1"/>
  <c r="AK54" i="9"/>
  <c r="AK54" i="7"/>
  <c r="AD55" i="7"/>
  <c r="V56" i="7"/>
  <c r="S54" i="7"/>
  <c r="AA54" i="7"/>
  <c r="AG56" i="8"/>
  <c r="AD55" i="9"/>
  <c r="V45" i="13"/>
  <c r="V45" i="12"/>
  <c r="V45" i="10"/>
  <c r="V45" i="11"/>
  <c r="X47" i="13"/>
  <c r="X47" i="12"/>
  <c r="X47" i="11"/>
  <c r="X47" i="10"/>
  <c r="Q45" i="12"/>
  <c r="Q45" i="13"/>
  <c r="Q45" i="10"/>
  <c r="Q45" i="11"/>
  <c r="Z56" i="9"/>
  <c r="Z56" i="8"/>
  <c r="AI55" i="9"/>
  <c r="AI55" i="8"/>
  <c r="AJ56" i="9"/>
  <c r="AJ56" i="8"/>
  <c r="V46" i="13"/>
  <c r="V46" i="12"/>
  <c r="V46" i="11"/>
  <c r="V46" i="10"/>
  <c r="Z45" i="13"/>
  <c r="Z45" i="12"/>
  <c r="Z45" i="10"/>
  <c r="Z45" i="11"/>
  <c r="AA56" i="9"/>
  <c r="AA56" i="8"/>
  <c r="AH55" i="9"/>
  <c r="AH55" i="8"/>
  <c r="AI56" i="9"/>
  <c r="AI56" i="8"/>
  <c r="Y45" i="12"/>
  <c r="Y49" i="12" s="1"/>
  <c r="Y45" i="13"/>
  <c r="Y45" i="10"/>
  <c r="Y48" i="10" s="1"/>
  <c r="Y45" i="11"/>
  <c r="Y49" i="11" s="1"/>
  <c r="L54" i="8"/>
  <c r="L58" i="8" s="1"/>
  <c r="L54" i="9"/>
  <c r="Q54" i="8"/>
  <c r="Q58" i="8" s="1"/>
  <c r="Q54" i="9"/>
  <c r="Q54" i="7"/>
  <c r="AI55" i="7"/>
  <c r="AA56" i="7"/>
  <c r="AI56" i="7"/>
  <c r="L54" i="7"/>
  <c r="AA54" i="9"/>
  <c r="W44" i="11"/>
  <c r="N48" i="10"/>
  <c r="N48" i="12" s="1"/>
  <c r="M44" i="10"/>
  <c r="O44" i="10"/>
  <c r="S44" i="10"/>
  <c r="U44" i="10"/>
  <c r="X44" i="10"/>
  <c r="Y44" i="10"/>
  <c r="T48" i="10"/>
  <c r="T48" i="12" s="1"/>
  <c r="M48" i="10"/>
  <c r="M48" i="11" s="1"/>
  <c r="O48" i="10"/>
  <c r="O48" i="11" s="1"/>
  <c r="S48" i="10"/>
  <c r="S48" i="11" s="1"/>
  <c r="U48" i="10"/>
  <c r="U48" i="12" s="1"/>
  <c r="W48" i="10"/>
  <c r="R44" i="10"/>
  <c r="L44" i="10"/>
  <c r="N44" i="10"/>
  <c r="P44" i="10"/>
  <c r="Q44" i="10"/>
  <c r="T44" i="10"/>
  <c r="V44" i="10"/>
  <c r="W44" i="10"/>
  <c r="W49" i="10" s="1"/>
  <c r="Z44" i="10"/>
  <c r="Z51" i="9"/>
  <c r="Z47" i="9"/>
  <c r="Z43" i="9"/>
  <c r="Z48" i="9"/>
  <c r="Z44" i="9"/>
  <c r="Z37" i="9"/>
  <c r="Z35" i="9"/>
  <c r="Z46" i="9"/>
  <c r="Z30" i="9"/>
  <c r="Z28" i="9"/>
  <c r="Z40" i="9"/>
  <c r="Z33" i="9"/>
  <c r="Z26" i="9"/>
  <c r="Z24" i="9"/>
  <c r="Z27" i="9"/>
  <c r="Z25" i="9"/>
  <c r="Z23" i="9"/>
  <c r="Z17" i="9"/>
  <c r="Z15" i="9"/>
  <c r="Z11" i="9"/>
  <c r="Z22" i="9"/>
  <c r="Z10" i="9"/>
  <c r="Z16" i="9"/>
  <c r="Z12" i="9"/>
  <c r="Z7" i="9"/>
  <c r="Z5" i="9"/>
  <c r="R33" i="9"/>
  <c r="AA51" i="9"/>
  <c r="AA49" i="9"/>
  <c r="AA47" i="9"/>
  <c r="AA45" i="9"/>
  <c r="AA50" i="9"/>
  <c r="AA48" i="9"/>
  <c r="AA46" i="9"/>
  <c r="AA42" i="9"/>
  <c r="AA43" i="9"/>
  <c r="AA44" i="9"/>
  <c r="AA40" i="9"/>
  <c r="AA38" i="9"/>
  <c r="AA36" i="9"/>
  <c r="AA34" i="9"/>
  <c r="AA41" i="9"/>
  <c r="AA39" i="9"/>
  <c r="AA35" i="9"/>
  <c r="AA33" i="9"/>
  <c r="AA31" i="9"/>
  <c r="AA29" i="9"/>
  <c r="AA27" i="9"/>
  <c r="AA37" i="9"/>
  <c r="AA32" i="9"/>
  <c r="AA28" i="9"/>
  <c r="AA30" i="9"/>
  <c r="AA25" i="9"/>
  <c r="AA23" i="9"/>
  <c r="AA21" i="9"/>
  <c r="AA19" i="9"/>
  <c r="AA17" i="9"/>
  <c r="AA16" i="9"/>
  <c r="AA13" i="9"/>
  <c r="AA8" i="9"/>
  <c r="AA20" i="9"/>
  <c r="AA14" i="9"/>
  <c r="AA11" i="9"/>
  <c r="AA24" i="9"/>
  <c r="AA12" i="9"/>
  <c r="AA9" i="9"/>
  <c r="AA7" i="9"/>
  <c r="AA5" i="9"/>
  <c r="AA26" i="9"/>
  <c r="AA22" i="9"/>
  <c r="AA18" i="9"/>
  <c r="AA15" i="9"/>
  <c r="AA10" i="9"/>
  <c r="AA6" i="9"/>
  <c r="M67" i="6"/>
  <c r="M69" i="6"/>
  <c r="M63" i="6"/>
  <c r="AF53" i="7"/>
  <c r="AE53" i="7"/>
  <c r="AA53" i="7"/>
  <c r="AA58" i="7" s="1"/>
  <c r="Z53" i="7"/>
  <c r="Z58" i="7" s="1"/>
  <c r="AG53" i="7"/>
  <c r="AM57" i="7"/>
  <c r="M22" i="6"/>
  <c r="M12" i="6"/>
  <c r="M20" i="6"/>
  <c r="M27" i="6"/>
  <c r="M29" i="6"/>
  <c r="M31" i="6"/>
  <c r="M33" i="6"/>
  <c r="M35" i="6"/>
  <c r="M37" i="6"/>
  <c r="M39" i="6"/>
  <c r="M41" i="6"/>
  <c r="M43" i="6"/>
  <c r="M45" i="6"/>
  <c r="M47" i="6"/>
  <c r="M49" i="6"/>
  <c r="M51" i="6"/>
  <c r="O55" i="6"/>
  <c r="O60" i="6" s="1"/>
  <c r="O41" i="7" s="1"/>
  <c r="S55" i="6"/>
  <c r="S60" i="6" s="1"/>
  <c r="U55" i="6"/>
  <c r="U60" i="6" s="1"/>
  <c r="AC55" i="6"/>
  <c r="AC60" i="6" s="1"/>
  <c r="AE55" i="6"/>
  <c r="AE60" i="6" s="1"/>
  <c r="M24" i="6"/>
  <c r="M7" i="6"/>
  <c r="M13" i="6"/>
  <c r="M17" i="6"/>
  <c r="M21" i="6"/>
  <c r="M23" i="6"/>
  <c r="M25" i="6"/>
  <c r="L55" i="6"/>
  <c r="L60" i="6" s="1"/>
  <c r="L38" i="7" s="1"/>
  <c r="P55" i="6"/>
  <c r="P60" i="6" s="1"/>
  <c r="P35" i="7" s="1"/>
  <c r="V55" i="6"/>
  <c r="W55" i="6"/>
  <c r="W60" i="6" s="1"/>
  <c r="AF55" i="6"/>
  <c r="AF60" i="6" s="1"/>
  <c r="AH55" i="6"/>
  <c r="AH60" i="6" s="1"/>
  <c r="AH43" i="7" s="1"/>
  <c r="M8" i="6"/>
  <c r="M18" i="6"/>
  <c r="M26" i="6"/>
  <c r="M28" i="6"/>
  <c r="M30" i="6"/>
  <c r="M32" i="6"/>
  <c r="M34" i="6"/>
  <c r="M36" i="6"/>
  <c r="M38" i="6"/>
  <c r="M40" i="6"/>
  <c r="M42" i="6"/>
  <c r="M44" i="6"/>
  <c r="M46" i="6"/>
  <c r="M48" i="6"/>
  <c r="Q55" i="6"/>
  <c r="Q60" i="6" s="1"/>
  <c r="Q32" i="7" s="1"/>
  <c r="X55" i="6"/>
  <c r="X60" i="6" s="1"/>
  <c r="AA55" i="6"/>
  <c r="D36" i="5"/>
  <c r="T49" i="10" l="1"/>
  <c r="T31" i="11" s="1"/>
  <c r="X44" i="11"/>
  <c r="Z55" i="6"/>
  <c r="AI55" i="6"/>
  <c r="AI60" i="6" s="1"/>
  <c r="M68" i="6"/>
  <c r="Y48" i="12"/>
  <c r="X10" i="27"/>
  <c r="AF10" i="27" s="1"/>
  <c r="M66" i="6"/>
  <c r="M64" i="6" s="1"/>
  <c r="M70" i="6" s="1"/>
  <c r="B10" i="32"/>
  <c r="B6" i="32"/>
  <c r="C10" i="32"/>
  <c r="C6" i="32"/>
  <c r="P10" i="31"/>
  <c r="P6" i="31"/>
  <c r="E10" i="31"/>
  <c r="E6" i="31"/>
  <c r="G10" i="31"/>
  <c r="G6" i="31"/>
  <c r="W10" i="31"/>
  <c r="W6" i="31"/>
  <c r="J10" i="31"/>
  <c r="J6" i="31"/>
  <c r="D10" i="32"/>
  <c r="D6" i="32"/>
  <c r="E10" i="32"/>
  <c r="E6" i="32"/>
  <c r="F10" i="32"/>
  <c r="F6" i="32"/>
  <c r="H10" i="32"/>
  <c r="H6" i="32"/>
  <c r="G10" i="32"/>
  <c r="G6" i="32"/>
  <c r="H10" i="31"/>
  <c r="H6" i="31"/>
  <c r="T10" i="31"/>
  <c r="T6" i="31"/>
  <c r="K10" i="31"/>
  <c r="K6" i="31"/>
  <c r="N10" i="31"/>
  <c r="N6" i="31"/>
  <c r="L8" i="32"/>
  <c r="I10" i="32"/>
  <c r="I6" i="32"/>
  <c r="J10" i="32"/>
  <c r="J6" i="32"/>
  <c r="K10" i="32"/>
  <c r="K6" i="32"/>
  <c r="U10" i="31"/>
  <c r="U6" i="31"/>
  <c r="L10" i="31"/>
  <c r="L6" i="31"/>
  <c r="Q10" i="31"/>
  <c r="Q6" i="31"/>
  <c r="O10" i="31"/>
  <c r="O6" i="31"/>
  <c r="B6" i="31"/>
  <c r="B10" i="31"/>
  <c r="R10" i="31"/>
  <c r="R6" i="31"/>
  <c r="M10" i="31"/>
  <c r="M6" i="31"/>
  <c r="D10" i="31"/>
  <c r="D6" i="31"/>
  <c r="I10" i="31"/>
  <c r="I6" i="31"/>
  <c r="C8" i="31"/>
  <c r="X8" i="31" s="1"/>
  <c r="C10" i="31"/>
  <c r="C6" i="31"/>
  <c r="S10" i="31"/>
  <c r="S6" i="31"/>
  <c r="F10" i="31"/>
  <c r="F6" i="31"/>
  <c r="V10" i="31"/>
  <c r="V6" i="31"/>
  <c r="X11" i="27"/>
  <c r="AF11" i="27" s="1"/>
  <c r="X9" i="27"/>
  <c r="AF9" i="27" s="1"/>
  <c r="X12" i="27"/>
  <c r="AF12" i="27" s="1"/>
  <c r="R35" i="7"/>
  <c r="Z49" i="9"/>
  <c r="Z50" i="9"/>
  <c r="Z39" i="9"/>
  <c r="Z38" i="9"/>
  <c r="Z42" i="9"/>
  <c r="Z29" i="9"/>
  <c r="Z31" i="9"/>
  <c r="Z21" i="9"/>
  <c r="Z13" i="9"/>
  <c r="Z18" i="9"/>
  <c r="Z14" i="9"/>
  <c r="Z8" i="9"/>
  <c r="Z6" i="9"/>
  <c r="Z20" i="9"/>
  <c r="Z9" i="9"/>
  <c r="Z19" i="9"/>
  <c r="Z34" i="9"/>
  <c r="Z36" i="9"/>
  <c r="Z32" i="9"/>
  <c r="Z41" i="9"/>
  <c r="Z45" i="9"/>
  <c r="P35" i="9"/>
  <c r="D30" i="5"/>
  <c r="L45" i="13" s="1"/>
  <c r="AO9" i="16"/>
  <c r="AT9" i="16"/>
  <c r="AJ9" i="16"/>
  <c r="S48" i="12"/>
  <c r="O32" i="7"/>
  <c r="AH32" i="7"/>
  <c r="U48" i="11"/>
  <c r="R40" i="7"/>
  <c r="L18" i="7"/>
  <c r="AH34" i="7"/>
  <c r="R37" i="7"/>
  <c r="O21" i="7"/>
  <c r="O21" i="9" s="1"/>
  <c r="R51" i="7"/>
  <c r="R46" i="7"/>
  <c r="L44" i="7"/>
  <c r="T31" i="12"/>
  <c r="T31" i="13"/>
  <c r="Q32" i="9"/>
  <c r="O41" i="9"/>
  <c r="L38" i="9"/>
  <c r="R45" i="13"/>
  <c r="R45" i="12"/>
  <c r="R45" i="10"/>
  <c r="R45" i="11"/>
  <c r="AC20" i="7"/>
  <c r="AC15" i="7"/>
  <c r="AC12" i="7"/>
  <c r="AC8" i="7"/>
  <c r="AC36" i="7"/>
  <c r="AC22" i="7"/>
  <c r="AC18" i="7"/>
  <c r="AC13" i="7"/>
  <c r="AC9" i="7"/>
  <c r="AC5" i="7"/>
  <c r="AC51" i="7"/>
  <c r="AC40" i="7"/>
  <c r="AC17" i="7"/>
  <c r="AC19" i="7"/>
  <c r="AC16" i="7"/>
  <c r="AC14" i="7"/>
  <c r="AC10" i="7"/>
  <c r="AC6" i="7"/>
  <c r="AC50" i="7"/>
  <c r="AC48" i="7"/>
  <c r="AC46" i="7"/>
  <c r="AC44" i="7"/>
  <c r="AC42" i="7"/>
  <c r="AC38" i="7"/>
  <c r="AC34" i="7"/>
  <c r="AC31" i="7"/>
  <c r="AC25" i="7"/>
  <c r="AC11" i="7"/>
  <c r="AC7" i="7"/>
  <c r="AC35" i="7"/>
  <c r="AC28" i="7"/>
  <c r="AC29" i="7"/>
  <c r="AC45" i="7"/>
  <c r="AC30" i="7"/>
  <c r="AC39" i="7"/>
  <c r="AC32" i="7"/>
  <c r="AC33" i="7"/>
  <c r="AC49" i="7"/>
  <c r="AC43" i="7"/>
  <c r="AC37" i="7"/>
  <c r="AC21" i="7"/>
  <c r="AA51" i="8"/>
  <c r="Z51" i="29" s="1"/>
  <c r="Z103" i="29" s="1"/>
  <c r="AA48" i="8"/>
  <c r="Z48" i="29" s="1"/>
  <c r="Z100" i="29" s="1"/>
  <c r="AA50" i="8"/>
  <c r="Z50" i="29" s="1"/>
  <c r="Z102" i="29" s="1"/>
  <c r="AA47" i="8"/>
  <c r="Z47" i="29" s="1"/>
  <c r="Z99" i="29" s="1"/>
  <c r="AA43" i="8"/>
  <c r="Z43" i="29" s="1"/>
  <c r="Z95" i="29" s="1"/>
  <c r="AA40" i="8"/>
  <c r="Z40" i="29" s="1"/>
  <c r="Z92" i="29" s="1"/>
  <c r="AA35" i="8"/>
  <c r="Z35" i="29" s="1"/>
  <c r="Z87" i="29" s="1"/>
  <c r="AA32" i="8"/>
  <c r="Z32" i="29" s="1"/>
  <c r="Z84" i="29" s="1"/>
  <c r="AA26" i="8"/>
  <c r="Z26" i="29" s="1"/>
  <c r="Z78" i="29" s="1"/>
  <c r="AA20" i="8"/>
  <c r="Z20" i="29" s="1"/>
  <c r="Z72" i="29" s="1"/>
  <c r="AA46" i="8"/>
  <c r="Z46" i="29" s="1"/>
  <c r="Z98" i="29" s="1"/>
  <c r="AA44" i="8"/>
  <c r="Z44" i="29" s="1"/>
  <c r="Z96" i="29" s="1"/>
  <c r="AA39" i="8"/>
  <c r="Z39" i="29" s="1"/>
  <c r="Z91" i="29" s="1"/>
  <c r="AA36" i="8"/>
  <c r="Z36" i="29" s="1"/>
  <c r="Z88" i="29" s="1"/>
  <c r="AA31" i="8"/>
  <c r="Z31" i="29" s="1"/>
  <c r="Z83" i="29" s="1"/>
  <c r="AA49" i="8"/>
  <c r="Z49" i="29" s="1"/>
  <c r="Z101" i="29" s="1"/>
  <c r="AA41" i="8"/>
  <c r="Z41" i="29" s="1"/>
  <c r="Z93" i="29" s="1"/>
  <c r="AA30" i="8"/>
  <c r="Z30" i="29" s="1"/>
  <c r="Z82" i="29" s="1"/>
  <c r="AA27" i="8"/>
  <c r="Z27" i="29" s="1"/>
  <c r="Z79" i="29" s="1"/>
  <c r="AA22" i="8"/>
  <c r="Z22" i="29" s="1"/>
  <c r="Z74" i="29" s="1"/>
  <c r="AA18" i="8"/>
  <c r="Z18" i="29" s="1"/>
  <c r="Z70" i="29" s="1"/>
  <c r="AA16" i="8"/>
  <c r="Z16" i="29" s="1"/>
  <c r="Z68" i="29" s="1"/>
  <c r="AA12" i="8"/>
  <c r="Z12" i="29" s="1"/>
  <c r="Z64" i="29" s="1"/>
  <c r="AA8" i="8"/>
  <c r="Z8" i="29" s="1"/>
  <c r="Z60" i="29" s="1"/>
  <c r="AA45" i="8"/>
  <c r="Z45" i="29" s="1"/>
  <c r="Z97" i="29" s="1"/>
  <c r="AA34" i="8"/>
  <c r="Z34" i="29" s="1"/>
  <c r="Z86" i="29" s="1"/>
  <c r="AA25" i="8"/>
  <c r="Z25" i="29" s="1"/>
  <c r="Z77" i="29" s="1"/>
  <c r="AA21" i="8"/>
  <c r="Z21" i="29" s="1"/>
  <c r="Z73" i="29" s="1"/>
  <c r="AA17" i="8"/>
  <c r="Z17" i="29" s="1"/>
  <c r="Z69" i="29" s="1"/>
  <c r="AA15" i="8"/>
  <c r="Z15" i="29" s="1"/>
  <c r="Z67" i="29" s="1"/>
  <c r="AA11" i="8"/>
  <c r="Z11" i="29" s="1"/>
  <c r="Z63" i="29" s="1"/>
  <c r="AA7" i="8"/>
  <c r="Z7" i="29" s="1"/>
  <c r="Z59" i="29" s="1"/>
  <c r="AA38" i="8"/>
  <c r="Z38" i="29" s="1"/>
  <c r="Z90" i="29" s="1"/>
  <c r="AA33" i="8"/>
  <c r="Z33" i="29" s="1"/>
  <c r="Z85" i="29" s="1"/>
  <c r="AA29" i="8"/>
  <c r="Z29" i="29" s="1"/>
  <c r="Z81" i="29" s="1"/>
  <c r="AA24" i="8"/>
  <c r="Z24" i="29" s="1"/>
  <c r="Z76" i="29" s="1"/>
  <c r="AA14" i="8"/>
  <c r="Z14" i="29" s="1"/>
  <c r="Z66" i="29" s="1"/>
  <c r="AA10" i="8"/>
  <c r="Z10" i="29" s="1"/>
  <c r="Z62" i="29" s="1"/>
  <c r="AA6" i="8"/>
  <c r="Z6" i="29" s="1"/>
  <c r="Z58" i="29" s="1"/>
  <c r="AA5" i="8"/>
  <c r="Z5" i="29" s="1"/>
  <c r="Z57" i="29" s="1"/>
  <c r="P7" i="31" s="1"/>
  <c r="AA37" i="8"/>
  <c r="Z37" i="29" s="1"/>
  <c r="Z89" i="29" s="1"/>
  <c r="AA42" i="8"/>
  <c r="Z42" i="29" s="1"/>
  <c r="Z94" i="29" s="1"/>
  <c r="AA28" i="8"/>
  <c r="Z28" i="29" s="1"/>
  <c r="Z80" i="29" s="1"/>
  <c r="AA23" i="8"/>
  <c r="Z23" i="29" s="1"/>
  <c r="Z75" i="29" s="1"/>
  <c r="AA13" i="8"/>
  <c r="Z13" i="29" s="1"/>
  <c r="Z65" i="29" s="1"/>
  <c r="AA19" i="8"/>
  <c r="Z19" i="29" s="1"/>
  <c r="Z71" i="29" s="1"/>
  <c r="AA9" i="8"/>
  <c r="Z9" i="29" s="1"/>
  <c r="Z61" i="29" s="1"/>
  <c r="AC24" i="7"/>
  <c r="AC27" i="7"/>
  <c r="R37" i="9"/>
  <c r="AB56" i="9"/>
  <c r="AB56" i="8"/>
  <c r="AB58" i="6"/>
  <c r="AB56" i="7"/>
  <c r="F36" i="5"/>
  <c r="Q47" i="12"/>
  <c r="Q49" i="12" s="1"/>
  <c r="Q48" i="12" s="1"/>
  <c r="Q47" i="13"/>
  <c r="Q47" i="10"/>
  <c r="Q47" i="11"/>
  <c r="U50" i="7"/>
  <c r="U51" i="7"/>
  <c r="U49" i="7"/>
  <c r="U47" i="7"/>
  <c r="U45" i="7"/>
  <c r="U43" i="7"/>
  <c r="U41" i="7"/>
  <c r="U39" i="7"/>
  <c r="U37" i="7"/>
  <c r="U35" i="7"/>
  <c r="U33" i="7"/>
  <c r="U29" i="7"/>
  <c r="U26" i="7"/>
  <c r="U21" i="7"/>
  <c r="U18" i="7"/>
  <c r="U13" i="7"/>
  <c r="U9" i="7"/>
  <c r="U5" i="7"/>
  <c r="U23" i="7"/>
  <c r="U15" i="7"/>
  <c r="U30" i="7"/>
  <c r="U27" i="7"/>
  <c r="U24" i="7"/>
  <c r="U19" i="7"/>
  <c r="U16" i="7"/>
  <c r="U14" i="7"/>
  <c r="U10" i="7"/>
  <c r="U6" i="7"/>
  <c r="U20" i="7"/>
  <c r="U48" i="7"/>
  <c r="U46" i="7"/>
  <c r="U44" i="7"/>
  <c r="U42" i="7"/>
  <c r="U40" i="7"/>
  <c r="U38" i="7"/>
  <c r="U36" i="7"/>
  <c r="U34" i="7"/>
  <c r="U31" i="7"/>
  <c r="U25" i="7"/>
  <c r="U22" i="7"/>
  <c r="U17" i="7"/>
  <c r="U11" i="7"/>
  <c r="U7" i="7"/>
  <c r="U32" i="7"/>
  <c r="U28" i="7"/>
  <c r="U12" i="7"/>
  <c r="U8" i="7"/>
  <c r="T36" i="11"/>
  <c r="AC26" i="7"/>
  <c r="Q42" i="7"/>
  <c r="R35" i="9"/>
  <c r="AC23" i="7"/>
  <c r="Q48" i="7"/>
  <c r="L17" i="7"/>
  <c r="Q11" i="7"/>
  <c r="L20" i="7"/>
  <c r="W51" i="7"/>
  <c r="W48" i="7"/>
  <c r="W46" i="7"/>
  <c r="W44" i="7"/>
  <c r="W42" i="7"/>
  <c r="W40" i="7"/>
  <c r="W38" i="7"/>
  <c r="W36" i="7"/>
  <c r="W34" i="7"/>
  <c r="W31" i="7"/>
  <c r="W25" i="7"/>
  <c r="W22" i="7"/>
  <c r="W17" i="7"/>
  <c r="W11" i="7"/>
  <c r="W7" i="7"/>
  <c r="W27" i="7"/>
  <c r="W16" i="7"/>
  <c r="W32" i="7"/>
  <c r="W28" i="7"/>
  <c r="W23" i="7"/>
  <c r="W20" i="7"/>
  <c r="W15" i="7"/>
  <c r="W12" i="7"/>
  <c r="W8" i="7"/>
  <c r="W30" i="7"/>
  <c r="W49" i="7"/>
  <c r="W47" i="7"/>
  <c r="W45" i="7"/>
  <c r="W43" i="7"/>
  <c r="W41" i="7"/>
  <c r="W39" i="7"/>
  <c r="W37" i="7"/>
  <c r="W35" i="7"/>
  <c r="W33" i="7"/>
  <c r="W29" i="7"/>
  <c r="W26" i="7"/>
  <c r="W21" i="7"/>
  <c r="W18" i="7"/>
  <c r="W13" i="7"/>
  <c r="W9" i="7"/>
  <c r="W5" i="7"/>
  <c r="W50" i="7"/>
  <c r="W24" i="7"/>
  <c r="W19" i="7"/>
  <c r="W14" i="7"/>
  <c r="W10" i="7"/>
  <c r="W6" i="7"/>
  <c r="T11" i="11"/>
  <c r="T8" i="11"/>
  <c r="T6" i="11"/>
  <c r="T5" i="11"/>
  <c r="T10" i="11"/>
  <c r="T9" i="11"/>
  <c r="T18" i="11"/>
  <c r="T7" i="11"/>
  <c r="T32" i="11"/>
  <c r="T16" i="11"/>
  <c r="T12" i="11"/>
  <c r="T13" i="11"/>
  <c r="T19" i="11"/>
  <c r="T35" i="11"/>
  <c r="T15" i="11"/>
  <c r="T20" i="11"/>
  <c r="T40" i="11"/>
  <c r="T37" i="11"/>
  <c r="T22" i="11"/>
  <c r="T42" i="11"/>
  <c r="T17" i="11"/>
  <c r="T26" i="11"/>
  <c r="T23" i="11"/>
  <c r="T24" i="11"/>
  <c r="T21" i="11"/>
  <c r="T41" i="11"/>
  <c r="T30" i="11"/>
  <c r="T25" i="11"/>
  <c r="T39" i="11"/>
  <c r="T27" i="11"/>
  <c r="T28" i="11"/>
  <c r="T29" i="11"/>
  <c r="T34" i="11"/>
  <c r="E36" i="5"/>
  <c r="Q46" i="12"/>
  <c r="Q46" i="13"/>
  <c r="Q46" i="10"/>
  <c r="Q46" i="11"/>
  <c r="X32" i="7"/>
  <c r="X28" i="7"/>
  <c r="X23" i="7"/>
  <c r="X20" i="7"/>
  <c r="X15" i="7"/>
  <c r="X12" i="7"/>
  <c r="X8" i="7"/>
  <c r="X40" i="7"/>
  <c r="X34" i="7"/>
  <c r="X49" i="7"/>
  <c r="X47" i="7"/>
  <c r="X45" i="7"/>
  <c r="X43" i="7"/>
  <c r="X41" i="7"/>
  <c r="X39" i="7"/>
  <c r="X37" i="7"/>
  <c r="X35" i="7"/>
  <c r="X33" i="7"/>
  <c r="X29" i="7"/>
  <c r="X26" i="7"/>
  <c r="X21" i="7"/>
  <c r="X18" i="7"/>
  <c r="X13" i="7"/>
  <c r="X9" i="7"/>
  <c r="X5" i="7"/>
  <c r="X38" i="7"/>
  <c r="X36" i="7"/>
  <c r="X31" i="7"/>
  <c r="X25" i="7"/>
  <c r="X50" i="7"/>
  <c r="X30" i="7"/>
  <c r="X27" i="7"/>
  <c r="X24" i="7"/>
  <c r="X19" i="7"/>
  <c r="X16" i="7"/>
  <c r="X14" i="7"/>
  <c r="X10" i="7"/>
  <c r="X6" i="7"/>
  <c r="X51" i="7"/>
  <c r="X48" i="7"/>
  <c r="X46" i="7"/>
  <c r="X44" i="7"/>
  <c r="X42" i="7"/>
  <c r="X22" i="7"/>
  <c r="X17" i="7"/>
  <c r="X11" i="7"/>
  <c r="X7" i="7"/>
  <c r="AH19" i="7"/>
  <c r="AH14" i="7"/>
  <c r="AH11" i="7"/>
  <c r="AH7" i="7"/>
  <c r="AH33" i="7"/>
  <c r="AH24" i="7"/>
  <c r="AH21" i="7"/>
  <c r="AH25" i="7"/>
  <c r="AH20" i="7"/>
  <c r="AH17" i="7"/>
  <c r="AH12" i="7"/>
  <c r="AH8" i="7"/>
  <c r="AH37" i="7"/>
  <c r="AH18" i="7"/>
  <c r="AH15" i="7"/>
  <c r="AH13" i="7"/>
  <c r="AH9" i="7"/>
  <c r="AH5" i="7"/>
  <c r="AH49" i="7"/>
  <c r="AH45" i="7"/>
  <c r="AH41" i="7"/>
  <c r="AH30" i="7"/>
  <c r="AH16" i="7"/>
  <c r="AH10" i="7"/>
  <c r="AH6" i="7"/>
  <c r="AH29" i="7"/>
  <c r="AH38" i="7"/>
  <c r="AH31" i="7"/>
  <c r="AH47" i="7"/>
  <c r="AH36" i="7"/>
  <c r="AH42" i="7"/>
  <c r="AH35" i="7"/>
  <c r="AH51" i="7"/>
  <c r="AH23" i="7"/>
  <c r="AH40" i="7"/>
  <c r="AH26" i="7"/>
  <c r="AH46" i="7"/>
  <c r="AH22" i="7"/>
  <c r="AH39" i="7"/>
  <c r="AH28" i="7"/>
  <c r="AH44" i="7"/>
  <c r="P29" i="7"/>
  <c r="P26" i="7"/>
  <c r="P21" i="7"/>
  <c r="P18" i="7"/>
  <c r="P13" i="7"/>
  <c r="P9" i="7"/>
  <c r="P5" i="7"/>
  <c r="P28" i="7"/>
  <c r="P27" i="7"/>
  <c r="P24" i="7"/>
  <c r="P19" i="7"/>
  <c r="P16" i="7"/>
  <c r="P14" i="7"/>
  <c r="P10" i="7"/>
  <c r="P6" i="7"/>
  <c r="P32" i="7"/>
  <c r="P25" i="7"/>
  <c r="P22" i="7"/>
  <c r="P17" i="7"/>
  <c r="P11" i="7"/>
  <c r="P7" i="7"/>
  <c r="P23" i="7"/>
  <c r="P20" i="7"/>
  <c r="P15" i="7"/>
  <c r="P12" i="7"/>
  <c r="P8" i="7"/>
  <c r="P41" i="7"/>
  <c r="P30" i="7"/>
  <c r="P46" i="7"/>
  <c r="P39" i="7"/>
  <c r="P40" i="7"/>
  <c r="P45" i="7"/>
  <c r="P34" i="7"/>
  <c r="P47" i="7"/>
  <c r="P43" i="7"/>
  <c r="P44" i="7"/>
  <c r="P33" i="7"/>
  <c r="P49" i="7"/>
  <c r="P38" i="7"/>
  <c r="P31" i="7"/>
  <c r="P51" i="7"/>
  <c r="P48" i="7"/>
  <c r="S20" i="7"/>
  <c r="S15" i="7"/>
  <c r="S12" i="7"/>
  <c r="S8" i="7"/>
  <c r="S38" i="7"/>
  <c r="S25" i="7"/>
  <c r="S22" i="7"/>
  <c r="S17" i="7"/>
  <c r="S18" i="7"/>
  <c r="S13" i="7"/>
  <c r="S9" i="7"/>
  <c r="S5" i="7"/>
  <c r="S42" i="7"/>
  <c r="S34" i="7"/>
  <c r="S19" i="7"/>
  <c r="S16" i="7"/>
  <c r="S14" i="7"/>
  <c r="S10" i="7"/>
  <c r="S6" i="7"/>
  <c r="S48" i="7"/>
  <c r="S46" i="7"/>
  <c r="S44" i="7"/>
  <c r="S40" i="7"/>
  <c r="S36" i="7"/>
  <c r="S31" i="7"/>
  <c r="S11" i="7"/>
  <c r="S7" i="7"/>
  <c r="S35" i="7"/>
  <c r="S51" i="7"/>
  <c r="S24" i="7"/>
  <c r="S41" i="7"/>
  <c r="S30" i="7"/>
  <c r="S39" i="7"/>
  <c r="S23" i="7"/>
  <c r="S29" i="7"/>
  <c r="S45" i="7"/>
  <c r="S50" i="7"/>
  <c r="S43" i="7"/>
  <c r="S28" i="7"/>
  <c r="S33" i="7"/>
  <c r="S49" i="7"/>
  <c r="S21" i="7"/>
  <c r="Z49" i="8"/>
  <c r="Y49" i="29" s="1"/>
  <c r="Y101" i="29" s="1"/>
  <c r="Z46" i="8"/>
  <c r="Y46" i="29" s="1"/>
  <c r="Y98" i="29" s="1"/>
  <c r="Z51" i="8"/>
  <c r="Y51" i="29" s="1"/>
  <c r="Y103" i="29" s="1"/>
  <c r="Z48" i="8"/>
  <c r="Y48" i="29" s="1"/>
  <c r="Y100" i="29" s="1"/>
  <c r="Z50" i="8"/>
  <c r="Y50" i="29" s="1"/>
  <c r="Y102" i="29" s="1"/>
  <c r="Z47" i="8"/>
  <c r="Y47" i="29" s="1"/>
  <c r="Y99" i="29" s="1"/>
  <c r="Z41" i="8"/>
  <c r="Y41" i="29" s="1"/>
  <c r="Y93" i="29" s="1"/>
  <c r="Z38" i="8"/>
  <c r="Y38" i="29" s="1"/>
  <c r="Y90" i="29" s="1"/>
  <c r="Z33" i="8"/>
  <c r="Y33" i="29" s="1"/>
  <c r="Y85" i="29" s="1"/>
  <c r="Z30" i="8"/>
  <c r="Y30" i="29" s="1"/>
  <c r="Y82" i="29" s="1"/>
  <c r="Z27" i="8"/>
  <c r="Y27" i="29" s="1"/>
  <c r="Y79" i="29" s="1"/>
  <c r="Z23" i="8"/>
  <c r="Y23" i="29" s="1"/>
  <c r="Y75" i="29" s="1"/>
  <c r="Z17" i="8"/>
  <c r="Y17" i="29" s="1"/>
  <c r="Y69" i="29" s="1"/>
  <c r="Z45" i="8"/>
  <c r="Y45" i="29" s="1"/>
  <c r="Y97" i="29" s="1"/>
  <c r="Z42" i="8"/>
  <c r="Y42" i="29" s="1"/>
  <c r="Y94" i="29" s="1"/>
  <c r="Z37" i="8"/>
  <c r="Y37" i="29" s="1"/>
  <c r="Y89" i="29" s="1"/>
  <c r="Z34" i="8"/>
  <c r="Y34" i="29" s="1"/>
  <c r="Y86" i="29" s="1"/>
  <c r="Z36" i="8"/>
  <c r="Y36" i="29" s="1"/>
  <c r="Y88" i="29" s="1"/>
  <c r="Z31" i="8"/>
  <c r="Y31" i="29" s="1"/>
  <c r="Y83" i="29" s="1"/>
  <c r="Z28" i="8"/>
  <c r="Y28" i="29" s="1"/>
  <c r="Y80" i="29" s="1"/>
  <c r="Z19" i="8"/>
  <c r="Y19" i="29" s="1"/>
  <c r="Y71" i="29" s="1"/>
  <c r="Z13" i="8"/>
  <c r="Y13" i="29" s="1"/>
  <c r="Y65" i="29" s="1"/>
  <c r="Z9" i="8"/>
  <c r="Z5" i="8"/>
  <c r="Y5" i="29" s="1"/>
  <c r="Y57" i="29" s="1"/>
  <c r="Z40" i="8"/>
  <c r="Y40" i="29" s="1"/>
  <c r="Y92" i="29" s="1"/>
  <c r="Z35" i="8"/>
  <c r="Y35" i="29" s="1"/>
  <c r="Y87" i="29" s="1"/>
  <c r="Z26" i="8"/>
  <c r="Y26" i="29" s="1"/>
  <c r="Y78" i="29" s="1"/>
  <c r="Z22" i="8"/>
  <c r="Y22" i="29" s="1"/>
  <c r="Y74" i="29" s="1"/>
  <c r="Z18" i="8"/>
  <c r="Y18" i="29" s="1"/>
  <c r="Y70" i="29" s="1"/>
  <c r="Z16" i="8"/>
  <c r="Y16" i="29" s="1"/>
  <c r="Y68" i="29" s="1"/>
  <c r="Z12" i="8"/>
  <c r="Y12" i="29" s="1"/>
  <c r="Y64" i="29" s="1"/>
  <c r="Z8" i="8"/>
  <c r="Y8" i="29" s="1"/>
  <c r="Y60" i="29" s="1"/>
  <c r="Z44" i="8"/>
  <c r="Y44" i="29" s="1"/>
  <c r="Y96" i="29" s="1"/>
  <c r="Z39" i="8"/>
  <c r="Y39" i="29" s="1"/>
  <c r="Y91" i="29" s="1"/>
  <c r="Z25" i="8"/>
  <c r="Y25" i="29" s="1"/>
  <c r="Y77" i="29" s="1"/>
  <c r="Z21" i="8"/>
  <c r="Y21" i="29" s="1"/>
  <c r="Y73" i="29" s="1"/>
  <c r="Z15" i="8"/>
  <c r="Y15" i="29" s="1"/>
  <c r="Y67" i="29" s="1"/>
  <c r="Z11" i="8"/>
  <c r="Y11" i="29" s="1"/>
  <c r="Y63" i="29" s="1"/>
  <c r="Z7" i="8"/>
  <c r="Y7" i="29" s="1"/>
  <c r="Y59" i="29" s="1"/>
  <c r="Z43" i="8"/>
  <c r="Y43" i="29" s="1"/>
  <c r="Y95" i="29" s="1"/>
  <c r="Z32" i="8"/>
  <c r="Z20" i="8"/>
  <c r="Y20" i="29" s="1"/>
  <c r="Y72" i="29" s="1"/>
  <c r="Z6" i="8"/>
  <c r="Y6" i="29" s="1"/>
  <c r="Y58" i="29" s="1"/>
  <c r="Z14" i="8"/>
  <c r="Y14" i="29" s="1"/>
  <c r="Y66" i="29" s="1"/>
  <c r="Z29" i="8"/>
  <c r="Y29" i="29" s="1"/>
  <c r="Y81" i="29" s="1"/>
  <c r="Z24" i="8"/>
  <c r="Y24" i="29" s="1"/>
  <c r="Y76" i="29" s="1"/>
  <c r="Z10" i="8"/>
  <c r="Y10" i="29" s="1"/>
  <c r="Y62" i="29" s="1"/>
  <c r="O32" i="9"/>
  <c r="R51" i="9"/>
  <c r="T33" i="11"/>
  <c r="N48" i="11"/>
  <c r="T14" i="11"/>
  <c r="P50" i="7"/>
  <c r="Q7" i="7"/>
  <c r="AH27" i="7"/>
  <c r="Q41" i="7"/>
  <c r="S47" i="7"/>
  <c r="P37" i="7"/>
  <c r="L45" i="10"/>
  <c r="L48" i="10" s="1"/>
  <c r="Q27" i="7"/>
  <c r="Q24" i="7"/>
  <c r="Q16" i="7"/>
  <c r="Q14" i="7"/>
  <c r="Q10" i="7"/>
  <c r="Q6" i="7"/>
  <c r="Q35" i="7"/>
  <c r="Q21" i="7"/>
  <c r="Q22" i="7"/>
  <c r="Q39" i="7"/>
  <c r="Q29" i="7"/>
  <c r="Q18" i="7"/>
  <c r="Q13" i="7"/>
  <c r="Q28" i="7"/>
  <c r="Q23" i="7"/>
  <c r="Q15" i="7"/>
  <c r="Q8" i="7"/>
  <c r="Q50" i="7"/>
  <c r="Q47" i="7"/>
  <c r="Q43" i="7"/>
  <c r="Q26" i="7"/>
  <c r="Q9" i="7"/>
  <c r="Q5" i="7"/>
  <c r="Q19" i="7"/>
  <c r="Q36" i="7"/>
  <c r="Q25" i="7"/>
  <c r="Q45" i="7"/>
  <c r="Q30" i="7"/>
  <c r="Q46" i="7"/>
  <c r="Q51" i="7"/>
  <c r="Q31" i="7"/>
  <c r="Q12" i="7"/>
  <c r="Q40" i="7"/>
  <c r="Q33" i="7"/>
  <c r="Q49" i="7"/>
  <c r="Q34" i="7"/>
  <c r="Q20" i="7"/>
  <c r="Q44" i="7"/>
  <c r="Q37" i="7"/>
  <c r="Q38" i="7"/>
  <c r="L27" i="7"/>
  <c r="L24" i="7"/>
  <c r="L16" i="7"/>
  <c r="L14" i="7"/>
  <c r="L10" i="7"/>
  <c r="L6" i="7"/>
  <c r="L39" i="7"/>
  <c r="L26" i="7"/>
  <c r="L22" i="7"/>
  <c r="L37" i="7"/>
  <c r="L35" i="7"/>
  <c r="L21" i="7"/>
  <c r="L28" i="7"/>
  <c r="L23" i="7"/>
  <c r="L15" i="7"/>
  <c r="L8" i="7"/>
  <c r="L49" i="7"/>
  <c r="L47" i="7"/>
  <c r="L45" i="7"/>
  <c r="L43" i="7"/>
  <c r="L41" i="7"/>
  <c r="L33" i="7"/>
  <c r="L29" i="7"/>
  <c r="L13" i="7"/>
  <c r="L9" i="7"/>
  <c r="L5" i="7"/>
  <c r="L32" i="7"/>
  <c r="L48" i="7"/>
  <c r="L25" i="7"/>
  <c r="L46" i="7"/>
  <c r="L34" i="7"/>
  <c r="L11" i="7"/>
  <c r="L36" i="7"/>
  <c r="L7" i="7"/>
  <c r="L42" i="7"/>
  <c r="L19" i="7"/>
  <c r="L51" i="7"/>
  <c r="L12" i="7"/>
  <c r="L40" i="7"/>
  <c r="L30" i="7"/>
  <c r="L50" i="7"/>
  <c r="L31" i="7"/>
  <c r="O20" i="7"/>
  <c r="O15" i="7"/>
  <c r="O12" i="7"/>
  <c r="O8" i="7"/>
  <c r="O51" i="7"/>
  <c r="O42" i="7"/>
  <c r="O36" i="7"/>
  <c r="O18" i="7"/>
  <c r="O13" i="7"/>
  <c r="O9" i="7"/>
  <c r="O5" i="7"/>
  <c r="O40" i="7"/>
  <c r="O31" i="7"/>
  <c r="O17" i="7"/>
  <c r="O19" i="7"/>
  <c r="O16" i="7"/>
  <c r="O14" i="7"/>
  <c r="O10" i="7"/>
  <c r="O6" i="7"/>
  <c r="O48" i="7"/>
  <c r="O46" i="7"/>
  <c r="O44" i="7"/>
  <c r="O38" i="7"/>
  <c r="O34" i="7"/>
  <c r="O25" i="7"/>
  <c r="O22" i="7"/>
  <c r="O11" i="7"/>
  <c r="O7" i="7"/>
  <c r="O43" i="7"/>
  <c r="O45" i="7"/>
  <c r="O33" i="7"/>
  <c r="O26" i="7"/>
  <c r="O27" i="7"/>
  <c r="O47" i="7"/>
  <c r="O23" i="7"/>
  <c r="O29" i="7"/>
  <c r="O49" i="7"/>
  <c r="O30" i="7"/>
  <c r="O35" i="7"/>
  <c r="O28" i="7"/>
  <c r="O37" i="7"/>
  <c r="O50" i="7"/>
  <c r="AA53" i="9"/>
  <c r="L18" i="9"/>
  <c r="L44" i="9"/>
  <c r="M48" i="12"/>
  <c r="T38" i="11"/>
  <c r="Q5" i="9"/>
  <c r="AH48" i="7"/>
  <c r="S26" i="7"/>
  <c r="P36" i="7"/>
  <c r="O24" i="7"/>
  <c r="AC41" i="7"/>
  <c r="S37" i="7"/>
  <c r="Q17" i="7"/>
  <c r="AL54" i="8"/>
  <c r="AL54" i="9"/>
  <c r="AL54" i="7"/>
  <c r="AH50" i="7"/>
  <c r="S32" i="7"/>
  <c r="P42" i="7"/>
  <c r="AC47" i="7"/>
  <c r="S27" i="7"/>
  <c r="O39" i="7"/>
  <c r="Q49" i="10"/>
  <c r="O48" i="12"/>
  <c r="AH54" i="8"/>
  <c r="AH58" i="8" s="1"/>
  <c r="AH34" i="9" s="1"/>
  <c r="AH54" i="9"/>
  <c r="AH54" i="7"/>
  <c r="R36" i="7"/>
  <c r="R47" i="7"/>
  <c r="R31" i="7"/>
  <c r="R42" i="7"/>
  <c r="R49" i="7"/>
  <c r="T48" i="11"/>
  <c r="R25" i="7"/>
  <c r="R22" i="7"/>
  <c r="R17" i="7"/>
  <c r="R11" i="7"/>
  <c r="R7" i="7"/>
  <c r="R30" i="7"/>
  <c r="R14" i="7"/>
  <c r="R28" i="7"/>
  <c r="R23" i="7"/>
  <c r="R20" i="7"/>
  <c r="R15" i="7"/>
  <c r="R12" i="7"/>
  <c r="R8" i="7"/>
  <c r="R24" i="7"/>
  <c r="R19" i="7"/>
  <c r="R16" i="7"/>
  <c r="R29" i="7"/>
  <c r="R26" i="7"/>
  <c r="R21" i="7"/>
  <c r="R18" i="7"/>
  <c r="R13" i="7"/>
  <c r="R9" i="7"/>
  <c r="R5" i="7"/>
  <c r="R27" i="7"/>
  <c r="R10" i="7"/>
  <c r="R6" i="7"/>
  <c r="R48" i="7"/>
  <c r="R32" i="7"/>
  <c r="R43" i="7"/>
  <c r="R38" i="7"/>
  <c r="R45" i="7"/>
  <c r="AJ58" i="8"/>
  <c r="N49" i="10"/>
  <c r="Y48" i="11"/>
  <c r="Q49" i="11"/>
  <c r="Q48" i="11" s="1"/>
  <c r="R44" i="7"/>
  <c r="R39" i="7"/>
  <c r="R50" i="7"/>
  <c r="R34" i="7"/>
  <c r="R41" i="7"/>
  <c r="AL56" i="9"/>
  <c r="AL56" i="8"/>
  <c r="AL58" i="6"/>
  <c r="AL56" i="7"/>
  <c r="S49" i="10"/>
  <c r="Y49" i="10"/>
  <c r="O49" i="10"/>
  <c r="M49" i="10"/>
  <c r="U49" i="10"/>
  <c r="M55" i="6"/>
  <c r="M60" i="6" s="1"/>
  <c r="M32" i="7" s="1"/>
  <c r="Y56" i="6"/>
  <c r="V60" i="6"/>
  <c r="V56" i="6"/>
  <c r="L45" i="11" l="1"/>
  <c r="L49" i="11" s="1"/>
  <c r="Y9" i="29"/>
  <c r="Y61" i="29" s="1"/>
  <c r="O9" i="31" s="1"/>
  <c r="O15" i="31" s="1"/>
  <c r="R31" i="30"/>
  <c r="R74" i="30" s="1"/>
  <c r="U7" i="9"/>
  <c r="L45" i="12"/>
  <c r="L49" i="12" s="1"/>
  <c r="L48" i="12" s="1"/>
  <c r="Z53" i="9"/>
  <c r="AI29" i="7"/>
  <c r="AI11" i="7"/>
  <c r="AI7" i="7"/>
  <c r="AI22" i="7"/>
  <c r="AI19" i="7"/>
  <c r="AI31" i="7"/>
  <c r="AI21" i="7"/>
  <c r="AI35" i="7"/>
  <c r="AI43" i="7"/>
  <c r="AI5" i="7"/>
  <c r="AI18" i="7"/>
  <c r="AI49" i="7"/>
  <c r="AI20" i="7"/>
  <c r="AI34" i="7"/>
  <c r="AI42" i="7"/>
  <c r="AI50" i="7"/>
  <c r="AI27" i="7"/>
  <c r="AI6" i="7"/>
  <c r="AI24" i="7"/>
  <c r="AI37" i="7"/>
  <c r="AI45" i="7"/>
  <c r="AI9" i="7"/>
  <c r="AI23" i="7"/>
  <c r="AI8" i="7"/>
  <c r="AI25" i="7"/>
  <c r="AI36" i="7"/>
  <c r="AI44" i="7"/>
  <c r="AI10" i="7"/>
  <c r="AI30" i="7"/>
  <c r="AI39" i="7"/>
  <c r="AI47" i="7"/>
  <c r="AI13" i="7"/>
  <c r="AI26" i="7"/>
  <c r="AI12" i="7"/>
  <c r="AI28" i="7"/>
  <c r="AI38" i="7"/>
  <c r="AI46" i="7"/>
  <c r="AI14" i="7"/>
  <c r="AI16" i="7"/>
  <c r="AI33" i="7"/>
  <c r="AI41" i="7"/>
  <c r="AI15" i="7"/>
  <c r="AI51" i="7"/>
  <c r="AI17" i="7"/>
  <c r="AI32" i="7"/>
  <c r="AI40" i="7"/>
  <c r="AI48" i="7"/>
  <c r="D34" i="5"/>
  <c r="Y32" i="29"/>
  <c r="Y84" i="29" s="1"/>
  <c r="O7" i="31" s="1"/>
  <c r="R40" i="9"/>
  <c r="P9" i="31"/>
  <c r="P15" i="31" s="1"/>
  <c r="O11" i="31"/>
  <c r="P11" i="31"/>
  <c r="X6" i="31"/>
  <c r="L6" i="32"/>
  <c r="L10" i="32"/>
  <c r="X10" i="31"/>
  <c r="AH32" i="9"/>
  <c r="AH43" i="9"/>
  <c r="R46" i="9"/>
  <c r="D4" i="5"/>
  <c r="E30" i="5" s="1"/>
  <c r="F30" i="5"/>
  <c r="M32" i="9"/>
  <c r="R50" i="9"/>
  <c r="R13" i="9"/>
  <c r="R23" i="9"/>
  <c r="R42" i="9"/>
  <c r="AD47" i="7"/>
  <c r="AC47" i="9"/>
  <c r="AD47" i="9" s="1"/>
  <c r="O50" i="9"/>
  <c r="O47" i="9"/>
  <c r="O22" i="9"/>
  <c r="O10" i="9"/>
  <c r="O9" i="9"/>
  <c r="O15" i="9"/>
  <c r="L51" i="9"/>
  <c r="L25" i="9"/>
  <c r="L41" i="9"/>
  <c r="L22" i="9"/>
  <c r="Q38" i="9"/>
  <c r="Q15" i="9"/>
  <c r="S53" i="7"/>
  <c r="M24" i="7"/>
  <c r="P45" i="9"/>
  <c r="P32" i="9"/>
  <c r="P18" i="9"/>
  <c r="AH51" i="9"/>
  <c r="AH41" i="9"/>
  <c r="AH20" i="9"/>
  <c r="X7" i="9"/>
  <c r="X30" i="9"/>
  <c r="X29" i="9"/>
  <c r="X8" i="9"/>
  <c r="T34" i="12"/>
  <c r="R34" i="30" s="1"/>
  <c r="R77" i="30" s="1"/>
  <c r="T34" i="13"/>
  <c r="T17" i="12"/>
  <c r="R17" i="30" s="1"/>
  <c r="R60" i="30" s="1"/>
  <c r="T17" i="13"/>
  <c r="T32" i="12"/>
  <c r="R32" i="30" s="1"/>
  <c r="R75" i="30" s="1"/>
  <c r="T32" i="13"/>
  <c r="W10" i="9"/>
  <c r="W41" i="9"/>
  <c r="W32" i="9"/>
  <c r="L20" i="9"/>
  <c r="U25" i="9"/>
  <c r="U10" i="9"/>
  <c r="U18" i="9"/>
  <c r="U49" i="9"/>
  <c r="AD21" i="7"/>
  <c r="AC21" i="9"/>
  <c r="AD21" i="9" s="1"/>
  <c r="AD33" i="7"/>
  <c r="AC33" i="9"/>
  <c r="AD33" i="9" s="1"/>
  <c r="AD45" i="7"/>
  <c r="AC45" i="9"/>
  <c r="AD45" i="9" s="1"/>
  <c r="AD7" i="7"/>
  <c r="AD34" i="7"/>
  <c r="AC34" i="9"/>
  <c r="AD34" i="9" s="1"/>
  <c r="AD46" i="7"/>
  <c r="AC46" i="9"/>
  <c r="AD46" i="9" s="1"/>
  <c r="AD10" i="7"/>
  <c r="AC10" i="9"/>
  <c r="AD10" i="9" s="1"/>
  <c r="AD17" i="7"/>
  <c r="AC17" i="9"/>
  <c r="AD17" i="9" s="1"/>
  <c r="AD9" i="7"/>
  <c r="AC9" i="9"/>
  <c r="AD9" i="9" s="1"/>
  <c r="AD36" i="7"/>
  <c r="AC36" i="9"/>
  <c r="AD36" i="9" s="1"/>
  <c r="AD20" i="7"/>
  <c r="AC20" i="9"/>
  <c r="AD20" i="9" s="1"/>
  <c r="V54" i="8"/>
  <c r="V58" i="8" s="1"/>
  <c r="V54" i="9"/>
  <c r="V54" i="7"/>
  <c r="O8" i="11"/>
  <c r="O5" i="11"/>
  <c r="O16" i="11"/>
  <c r="O9" i="11"/>
  <c r="O7" i="11"/>
  <c r="O6" i="11"/>
  <c r="O11" i="11"/>
  <c r="O10" i="11"/>
  <c r="O13" i="11"/>
  <c r="O15" i="11"/>
  <c r="O21" i="11"/>
  <c r="O37" i="11"/>
  <c r="O34" i="11"/>
  <c r="O23" i="11"/>
  <c r="O32" i="11"/>
  <c r="O14" i="11"/>
  <c r="O20" i="11"/>
  <c r="O25" i="11"/>
  <c r="O41" i="11"/>
  <c r="O38" i="11"/>
  <c r="O31" i="11"/>
  <c r="O40" i="11"/>
  <c r="O27" i="11"/>
  <c r="O36" i="11"/>
  <c r="O12" i="11"/>
  <c r="O29" i="11"/>
  <c r="O18" i="11"/>
  <c r="O22" i="11"/>
  <c r="O42" i="11"/>
  <c r="O35" i="11"/>
  <c r="O24" i="11"/>
  <c r="O17" i="11"/>
  <c r="O26" i="11"/>
  <c r="O28" i="11"/>
  <c r="O33" i="11"/>
  <c r="O19" i="11"/>
  <c r="O30" i="11"/>
  <c r="O39" i="11"/>
  <c r="R41" i="9"/>
  <c r="R39" i="9"/>
  <c r="R45" i="9"/>
  <c r="R32" i="9"/>
  <c r="R27" i="9"/>
  <c r="R18" i="9"/>
  <c r="R16" i="9"/>
  <c r="R12" i="9"/>
  <c r="R28" i="9"/>
  <c r="R11" i="9"/>
  <c r="R31" i="9"/>
  <c r="Q5" i="11"/>
  <c r="Q16" i="11"/>
  <c r="Q9" i="11"/>
  <c r="Q7" i="11"/>
  <c r="Q6" i="11"/>
  <c r="Q11" i="11"/>
  <c r="Q10" i="11"/>
  <c r="Q17" i="11"/>
  <c r="Q15" i="11"/>
  <c r="Q24" i="11"/>
  <c r="Q8" i="11"/>
  <c r="Q33" i="11"/>
  <c r="Q14" i="11"/>
  <c r="Q18" i="11"/>
  <c r="Q27" i="11"/>
  <c r="Q28" i="11"/>
  <c r="Q21" i="11"/>
  <c r="Q41" i="11"/>
  <c r="Q34" i="11"/>
  <c r="Q30" i="11"/>
  <c r="Q31" i="11"/>
  <c r="Q32" i="11"/>
  <c r="Q25" i="11"/>
  <c r="Q38" i="11"/>
  <c r="Q19" i="11"/>
  <c r="Q35" i="11"/>
  <c r="Q36" i="11"/>
  <c r="Q29" i="11"/>
  <c r="Q22" i="11"/>
  <c r="Q42" i="11"/>
  <c r="Q13" i="11"/>
  <c r="Q40" i="11"/>
  <c r="Q26" i="11"/>
  <c r="Q23" i="11"/>
  <c r="Q12" i="11"/>
  <c r="Q39" i="11"/>
  <c r="Q20" i="11"/>
  <c r="Q37" i="11"/>
  <c r="P42" i="9"/>
  <c r="AD41" i="7"/>
  <c r="AC41" i="9"/>
  <c r="AD41" i="9" s="1"/>
  <c r="AH48" i="9"/>
  <c r="T38" i="12"/>
  <c r="R38" i="30" s="1"/>
  <c r="R81" i="30" s="1"/>
  <c r="T38" i="13"/>
  <c r="M29" i="7"/>
  <c r="O37" i="9"/>
  <c r="O49" i="9"/>
  <c r="O27" i="9"/>
  <c r="O43" i="9"/>
  <c r="O25" i="9"/>
  <c r="O46" i="9"/>
  <c r="O14" i="9"/>
  <c r="O31" i="9"/>
  <c r="O13" i="9"/>
  <c r="O51" i="9"/>
  <c r="O20" i="9"/>
  <c r="L30" i="9"/>
  <c r="L19" i="9"/>
  <c r="L11" i="9"/>
  <c r="L48" i="9"/>
  <c r="L13" i="9"/>
  <c r="L43" i="9"/>
  <c r="L8" i="9"/>
  <c r="L21" i="9"/>
  <c r="L26" i="9"/>
  <c r="L14" i="9"/>
  <c r="M26" i="7"/>
  <c r="Q37" i="9"/>
  <c r="Q49" i="9"/>
  <c r="Q31" i="9"/>
  <c r="Q45" i="9"/>
  <c r="Q5" i="8"/>
  <c r="Q5" i="29" s="1"/>
  <c r="Q57" i="29" s="1"/>
  <c r="Q53" i="7"/>
  <c r="Q58" i="7" s="1"/>
  <c r="Q32" i="8" s="1"/>
  <c r="Q32" i="29" s="1"/>
  <c r="Q84" i="29" s="1"/>
  <c r="Q47" i="9"/>
  <c r="Q23" i="9"/>
  <c r="Q29" i="9"/>
  <c r="Q35" i="9"/>
  <c r="Q16" i="9"/>
  <c r="L48" i="11"/>
  <c r="M13" i="7"/>
  <c r="M47" i="7"/>
  <c r="M21" i="7"/>
  <c r="P38" i="9"/>
  <c r="P43" i="9"/>
  <c r="P40" i="9"/>
  <c r="P41" i="9"/>
  <c r="P20" i="9"/>
  <c r="P17" i="9"/>
  <c r="P6" i="9"/>
  <c r="P19" i="9"/>
  <c r="P5" i="9"/>
  <c r="P53" i="7"/>
  <c r="P58" i="7" s="1"/>
  <c r="P21" i="9"/>
  <c r="AH28" i="9"/>
  <c r="AH26" i="9"/>
  <c r="AH35" i="9"/>
  <c r="AH31" i="9"/>
  <c r="AH10" i="9"/>
  <c r="AH45" i="9"/>
  <c r="AH13" i="9"/>
  <c r="AH8" i="9"/>
  <c r="AH25" i="9"/>
  <c r="AH7" i="9"/>
  <c r="M28" i="7"/>
  <c r="X11" i="9"/>
  <c r="X44" i="9"/>
  <c r="X6" i="9"/>
  <c r="X19" i="9"/>
  <c r="X50" i="9"/>
  <c r="X38" i="9"/>
  <c r="X18" i="9"/>
  <c r="X33" i="9"/>
  <c r="X41" i="9"/>
  <c r="X49" i="9"/>
  <c r="X12" i="9"/>
  <c r="X28" i="9"/>
  <c r="T29" i="12"/>
  <c r="R29" i="30" s="1"/>
  <c r="R72" i="30" s="1"/>
  <c r="T29" i="13"/>
  <c r="T25" i="12"/>
  <c r="R25" i="30" s="1"/>
  <c r="R68" i="30" s="1"/>
  <c r="T25" i="13"/>
  <c r="T24" i="12"/>
  <c r="R24" i="30" s="1"/>
  <c r="R67" i="30" s="1"/>
  <c r="T24" i="13"/>
  <c r="T42" i="12"/>
  <c r="R42" i="30" s="1"/>
  <c r="R85" i="30" s="1"/>
  <c r="T42" i="13"/>
  <c r="T20" i="12"/>
  <c r="R20" i="30" s="1"/>
  <c r="R63" i="30" s="1"/>
  <c r="T20" i="13"/>
  <c r="T13" i="12"/>
  <c r="R13" i="30" s="1"/>
  <c r="R56" i="30" s="1"/>
  <c r="T13" i="13"/>
  <c r="T7" i="12"/>
  <c r="R7" i="30" s="1"/>
  <c r="R50" i="30" s="1"/>
  <c r="T7" i="13"/>
  <c r="T5" i="12"/>
  <c r="R5" i="30" s="1"/>
  <c r="R48" i="30" s="1"/>
  <c r="T44" i="11"/>
  <c r="T5" i="13"/>
  <c r="M35" i="7"/>
  <c r="W14" i="9"/>
  <c r="W53" i="7"/>
  <c r="W58" i="7" s="1"/>
  <c r="W10" i="8" s="1"/>
  <c r="V10" i="29" s="1"/>
  <c r="V62" i="29" s="1"/>
  <c r="W5" i="9"/>
  <c r="W21" i="9"/>
  <c r="W35" i="9"/>
  <c r="W43" i="9"/>
  <c r="W30" i="9"/>
  <c r="W20" i="9"/>
  <c r="W16" i="8"/>
  <c r="V16" i="29" s="1"/>
  <c r="V68" i="29" s="1"/>
  <c r="W16" i="9"/>
  <c r="W17" i="9"/>
  <c r="W34" i="8"/>
  <c r="V34" i="29" s="1"/>
  <c r="V86" i="29" s="1"/>
  <c r="W34" i="9"/>
  <c r="W42" i="9"/>
  <c r="W51" i="9"/>
  <c r="Q11" i="8"/>
  <c r="Q11" i="29" s="1"/>
  <c r="Q63" i="29" s="1"/>
  <c r="Q11" i="9"/>
  <c r="AD26" i="7"/>
  <c r="AC26" i="9"/>
  <c r="AD26" i="9" s="1"/>
  <c r="T36" i="12"/>
  <c r="R36" i="30" s="1"/>
  <c r="R79" i="30" s="1"/>
  <c r="T36" i="13"/>
  <c r="M33" i="7"/>
  <c r="U12" i="9"/>
  <c r="U11" i="9"/>
  <c r="U31" i="9"/>
  <c r="U40" i="9"/>
  <c r="U48" i="9"/>
  <c r="U14" i="9"/>
  <c r="U27" i="9"/>
  <c r="U53" i="7"/>
  <c r="U58" i="7" s="1"/>
  <c r="U31" i="8" s="1"/>
  <c r="T31" i="29" s="1"/>
  <c r="T83" i="29" s="1"/>
  <c r="U5" i="9"/>
  <c r="U21" i="9"/>
  <c r="U35" i="9"/>
  <c r="U43" i="9"/>
  <c r="U51" i="9"/>
  <c r="M8" i="7"/>
  <c r="R47" i="13"/>
  <c r="R47" i="12"/>
  <c r="R47" i="11"/>
  <c r="R47" i="10"/>
  <c r="AD37" i="7"/>
  <c r="AC37" i="9"/>
  <c r="AD37" i="9" s="1"/>
  <c r="AD32" i="7"/>
  <c r="AC32" i="9"/>
  <c r="AD32" i="9" s="1"/>
  <c r="AD29" i="7"/>
  <c r="AC29" i="9"/>
  <c r="AD29" i="9" s="1"/>
  <c r="AD11" i="7"/>
  <c r="AC11" i="9"/>
  <c r="AD11" i="9" s="1"/>
  <c r="AD38" i="7"/>
  <c r="AC38" i="9"/>
  <c r="AD38" i="9" s="1"/>
  <c r="AD48" i="7"/>
  <c r="AC48" i="9"/>
  <c r="AD48" i="9" s="1"/>
  <c r="AD14" i="7"/>
  <c r="AC14" i="9"/>
  <c r="AD14" i="9" s="1"/>
  <c r="AD40" i="7"/>
  <c r="AC40" i="9"/>
  <c r="AD40" i="9" s="1"/>
  <c r="AD13" i="7"/>
  <c r="AC13" i="9"/>
  <c r="AD13" i="9" s="1"/>
  <c r="AD8" i="7"/>
  <c r="AC8" i="9"/>
  <c r="AD8" i="9" s="1"/>
  <c r="M15" i="7"/>
  <c r="M9" i="7"/>
  <c r="M5" i="7"/>
  <c r="M16" i="7"/>
  <c r="M10" i="7"/>
  <c r="M6" i="7"/>
  <c r="M11" i="7"/>
  <c r="M19" i="7"/>
  <c r="R29" i="9"/>
  <c r="R7" i="9"/>
  <c r="O30" i="9"/>
  <c r="O45" i="9"/>
  <c r="O44" i="9"/>
  <c r="O17" i="9"/>
  <c r="O42" i="9"/>
  <c r="L50" i="9"/>
  <c r="L36" i="9"/>
  <c r="L9" i="9"/>
  <c r="L49" i="9"/>
  <c r="L28" i="9"/>
  <c r="L10" i="9"/>
  <c r="L27" i="9"/>
  <c r="Q34" i="8"/>
  <c r="Q34" i="29" s="1"/>
  <c r="Q86" i="29" s="1"/>
  <c r="Q34" i="9"/>
  <c r="Q12" i="8"/>
  <c r="Q12" i="29" s="1"/>
  <c r="Q64" i="29" s="1"/>
  <c r="Q12" i="9"/>
  <c r="Q30" i="8"/>
  <c r="Q30" i="29" s="1"/>
  <c r="Q82" i="29" s="1"/>
  <c r="Q30" i="9"/>
  <c r="Q19" i="8"/>
  <c r="Q19" i="29" s="1"/>
  <c r="Q71" i="29" s="1"/>
  <c r="Q19" i="9"/>
  <c r="Q43" i="8"/>
  <c r="Q43" i="29" s="1"/>
  <c r="Q95" i="29" s="1"/>
  <c r="Q43" i="9"/>
  <c r="Q18" i="8"/>
  <c r="Q18" i="29" s="1"/>
  <c r="Q70" i="29" s="1"/>
  <c r="Q18" i="9"/>
  <c r="Q21" i="8"/>
  <c r="Q21" i="29" s="1"/>
  <c r="Q73" i="29" s="1"/>
  <c r="Q21" i="9"/>
  <c r="Q14" i="8"/>
  <c r="Q14" i="29" s="1"/>
  <c r="Q66" i="29" s="1"/>
  <c r="Q14" i="9"/>
  <c r="M43" i="7"/>
  <c r="Q7" i="8"/>
  <c r="Q7" i="29" s="1"/>
  <c r="Q59" i="29" s="1"/>
  <c r="Q7" i="9"/>
  <c r="T14" i="12"/>
  <c r="R14" i="30" s="1"/>
  <c r="R57" i="30" s="1"/>
  <c r="T14" i="13"/>
  <c r="P44" i="9"/>
  <c r="P15" i="8"/>
  <c r="P15" i="29" s="1"/>
  <c r="P67" i="29" s="1"/>
  <c r="P15" i="9"/>
  <c r="P16" i="9"/>
  <c r="AH44" i="9"/>
  <c r="AH47" i="9"/>
  <c r="AH9" i="9"/>
  <c r="AH19" i="9"/>
  <c r="X51" i="9"/>
  <c r="X36" i="9"/>
  <c r="X39" i="9"/>
  <c r="X23" i="9"/>
  <c r="T39" i="12"/>
  <c r="R39" i="30" s="1"/>
  <c r="R82" i="30" s="1"/>
  <c r="T39" i="13"/>
  <c r="T40" i="12"/>
  <c r="R40" i="30" s="1"/>
  <c r="R83" i="30" s="1"/>
  <c r="T40" i="13"/>
  <c r="T10" i="12"/>
  <c r="R10" i="30" s="1"/>
  <c r="R53" i="30" s="1"/>
  <c r="T10" i="13"/>
  <c r="W50" i="9"/>
  <c r="W33" i="8"/>
  <c r="V33" i="29" s="1"/>
  <c r="V85" i="29" s="1"/>
  <c r="W33" i="9"/>
  <c r="W15" i="9"/>
  <c r="W31" i="9"/>
  <c r="W48" i="9"/>
  <c r="Q42" i="8"/>
  <c r="Q42" i="29" s="1"/>
  <c r="Q94" i="29" s="1"/>
  <c r="Q42" i="9"/>
  <c r="U8" i="9"/>
  <c r="U38" i="9"/>
  <c r="U24" i="8"/>
  <c r="T24" i="29" s="1"/>
  <c r="T76" i="29" s="1"/>
  <c r="U24" i="9"/>
  <c r="U33" i="9"/>
  <c r="M23" i="7"/>
  <c r="Y16" i="11"/>
  <c r="Y9" i="11"/>
  <c r="Y7" i="11"/>
  <c r="Y11" i="11"/>
  <c r="Y8" i="11"/>
  <c r="Y6" i="11"/>
  <c r="Y28" i="11"/>
  <c r="Y10" i="11"/>
  <c r="Y12" i="11"/>
  <c r="Y5" i="11"/>
  <c r="Y21" i="11"/>
  <c r="Y18" i="11"/>
  <c r="Y17" i="11"/>
  <c r="Y27" i="11"/>
  <c r="Y32" i="11"/>
  <c r="Y29" i="11"/>
  <c r="Y22" i="11"/>
  <c r="Y42" i="11"/>
  <c r="Y37" i="11"/>
  <c r="Y13" i="11"/>
  <c r="Y14" i="11"/>
  <c r="Y31" i="11"/>
  <c r="Y36" i="11"/>
  <c r="Y33" i="11"/>
  <c r="Y30" i="11"/>
  <c r="Y41" i="11"/>
  <c r="Y26" i="11"/>
  <c r="Y19" i="11"/>
  <c r="Y39" i="11"/>
  <c r="Y20" i="11"/>
  <c r="Y40" i="11"/>
  <c r="Y34" i="11"/>
  <c r="Y24" i="11"/>
  <c r="Y35" i="11"/>
  <c r="Y23" i="11"/>
  <c r="Y15" i="11"/>
  <c r="Y38" i="11"/>
  <c r="Y25" i="11"/>
  <c r="AC7" i="9"/>
  <c r="AD7" i="9" s="1"/>
  <c r="R44" i="9"/>
  <c r="R38" i="9"/>
  <c r="R48" i="9"/>
  <c r="R5" i="9"/>
  <c r="R53" i="7"/>
  <c r="R21" i="9"/>
  <c r="R19" i="9"/>
  <c r="R15" i="9"/>
  <c r="R14" i="9"/>
  <c r="R17" i="9"/>
  <c r="R47" i="9"/>
  <c r="O39" i="9"/>
  <c r="O24" i="9"/>
  <c r="M37" i="7"/>
  <c r="O28" i="9"/>
  <c r="O29" i="9"/>
  <c r="O26" i="9"/>
  <c r="O7" i="9"/>
  <c r="O34" i="9"/>
  <c r="O48" i="9"/>
  <c r="O16" i="9"/>
  <c r="O40" i="9"/>
  <c r="O18" i="9"/>
  <c r="O8" i="9"/>
  <c r="M17" i="7"/>
  <c r="L40" i="9"/>
  <c r="L42" i="9"/>
  <c r="L34" i="9"/>
  <c r="L32" i="9"/>
  <c r="L29" i="9"/>
  <c r="L45" i="9"/>
  <c r="L15" i="9"/>
  <c r="L35" i="9"/>
  <c r="L39" i="9"/>
  <c r="L16" i="9"/>
  <c r="M34" i="7"/>
  <c r="Q44" i="8"/>
  <c r="Q44" i="29" s="1"/>
  <c r="Q96" i="29" s="1"/>
  <c r="Q44" i="9"/>
  <c r="Q33" i="8"/>
  <c r="Q33" i="29" s="1"/>
  <c r="Q85" i="29" s="1"/>
  <c r="Q33" i="9"/>
  <c r="Q51" i="8"/>
  <c r="Q51" i="29" s="1"/>
  <c r="Q103" i="29" s="1"/>
  <c r="Q51" i="9"/>
  <c r="Q25" i="8"/>
  <c r="Q25" i="29" s="1"/>
  <c r="Q77" i="29" s="1"/>
  <c r="Q25" i="9"/>
  <c r="Q9" i="8"/>
  <c r="Q9" i="29" s="1"/>
  <c r="Q61" i="29" s="1"/>
  <c r="Q9" i="9"/>
  <c r="Q50" i="8"/>
  <c r="Q50" i="29" s="1"/>
  <c r="Q102" i="29" s="1"/>
  <c r="Q50" i="9"/>
  <c r="Q28" i="8"/>
  <c r="Q28" i="29" s="1"/>
  <c r="Q80" i="29" s="1"/>
  <c r="Q28" i="9"/>
  <c r="Q39" i="8"/>
  <c r="Q39" i="29" s="1"/>
  <c r="Q91" i="29" s="1"/>
  <c r="Q39" i="9"/>
  <c r="Q6" i="8"/>
  <c r="Q6" i="29" s="1"/>
  <c r="Q58" i="29" s="1"/>
  <c r="Q6" i="9"/>
  <c r="Q24" i="8"/>
  <c r="Q24" i="29" s="1"/>
  <c r="Q76" i="29" s="1"/>
  <c r="Q24" i="9"/>
  <c r="M25" i="7"/>
  <c r="Q41" i="8"/>
  <c r="Q41" i="29" s="1"/>
  <c r="Q93" i="29" s="1"/>
  <c r="Q41" i="9"/>
  <c r="T33" i="12"/>
  <c r="R33" i="30" s="1"/>
  <c r="R76" i="30" s="1"/>
  <c r="T33" i="13"/>
  <c r="Z53" i="8"/>
  <c r="M12" i="7"/>
  <c r="P48" i="8"/>
  <c r="P48" i="29" s="1"/>
  <c r="P100" i="29" s="1"/>
  <c r="P48" i="9"/>
  <c r="P49" i="8"/>
  <c r="P49" i="29" s="1"/>
  <c r="P101" i="29" s="1"/>
  <c r="P49" i="9"/>
  <c r="P47" i="8"/>
  <c r="P47" i="29" s="1"/>
  <c r="P99" i="29" s="1"/>
  <c r="P47" i="9"/>
  <c r="P39" i="8"/>
  <c r="P39" i="29" s="1"/>
  <c r="P91" i="29" s="1"/>
  <c r="P39" i="9"/>
  <c r="P8" i="8"/>
  <c r="P8" i="29" s="1"/>
  <c r="P60" i="29" s="1"/>
  <c r="P8" i="9"/>
  <c r="P23" i="8"/>
  <c r="P23" i="9"/>
  <c r="P22" i="8"/>
  <c r="P22" i="9"/>
  <c r="P10" i="8"/>
  <c r="P10" i="29" s="1"/>
  <c r="P62" i="29" s="1"/>
  <c r="P10" i="9"/>
  <c r="P24" i="8"/>
  <c r="P24" i="9"/>
  <c r="P9" i="8"/>
  <c r="P9" i="29" s="1"/>
  <c r="P61" i="29" s="1"/>
  <c r="P9" i="9"/>
  <c r="P26" i="8"/>
  <c r="P26" i="9"/>
  <c r="AH39" i="9"/>
  <c r="AH40" i="9"/>
  <c r="AH42" i="9"/>
  <c r="AH38" i="9"/>
  <c r="AH16" i="9"/>
  <c r="AH49" i="9"/>
  <c r="AH15" i="9"/>
  <c r="AH12" i="9"/>
  <c r="AH21" i="9"/>
  <c r="AH11" i="9"/>
  <c r="M36" i="7"/>
  <c r="X17" i="9"/>
  <c r="X46" i="9"/>
  <c r="X10" i="9"/>
  <c r="X24" i="9"/>
  <c r="X25" i="9"/>
  <c r="X5" i="9"/>
  <c r="X53" i="7"/>
  <c r="X58" i="7" s="1"/>
  <c r="X7" i="8" s="1"/>
  <c r="W7" i="29" s="1"/>
  <c r="W59" i="29" s="1"/>
  <c r="X21" i="9"/>
  <c r="X35" i="9"/>
  <c r="X43" i="9"/>
  <c r="X34" i="9"/>
  <c r="X15" i="9"/>
  <c r="X32" i="8"/>
  <c r="W32" i="29" s="1"/>
  <c r="W84" i="29" s="1"/>
  <c r="X32" i="9"/>
  <c r="T28" i="12"/>
  <c r="R28" i="30" s="1"/>
  <c r="R71" i="30" s="1"/>
  <c r="T28" i="13"/>
  <c r="T30" i="12"/>
  <c r="R30" i="30" s="1"/>
  <c r="R73" i="30" s="1"/>
  <c r="T30" i="13"/>
  <c r="T23" i="12"/>
  <c r="R23" i="30" s="1"/>
  <c r="R66" i="30" s="1"/>
  <c r="T23" i="13"/>
  <c r="T22" i="12"/>
  <c r="R22" i="30" s="1"/>
  <c r="R65" i="30" s="1"/>
  <c r="T22" i="13"/>
  <c r="T15" i="12"/>
  <c r="R15" i="30" s="1"/>
  <c r="R58" i="30" s="1"/>
  <c r="T15" i="13"/>
  <c r="T12" i="12"/>
  <c r="R12" i="30" s="1"/>
  <c r="R55" i="30" s="1"/>
  <c r="T12" i="13"/>
  <c r="T18" i="12"/>
  <c r="R18" i="30" s="1"/>
  <c r="R61" i="30" s="1"/>
  <c r="T18" i="13"/>
  <c r="T6" i="12"/>
  <c r="R6" i="30" s="1"/>
  <c r="R49" i="30" s="1"/>
  <c r="T6" i="13"/>
  <c r="M51" i="7"/>
  <c r="W19" i="8"/>
  <c r="V19" i="29" s="1"/>
  <c r="V71" i="29" s="1"/>
  <c r="W19" i="9"/>
  <c r="W9" i="8"/>
  <c r="V9" i="29" s="1"/>
  <c r="V61" i="29" s="1"/>
  <c r="W9" i="9"/>
  <c r="W26" i="8"/>
  <c r="V26" i="29" s="1"/>
  <c r="V78" i="29" s="1"/>
  <c r="W26" i="9"/>
  <c r="W37" i="8"/>
  <c r="V37" i="29" s="1"/>
  <c r="V89" i="29" s="1"/>
  <c r="W37" i="9"/>
  <c r="W45" i="8"/>
  <c r="V45" i="29" s="1"/>
  <c r="V97" i="29" s="1"/>
  <c r="W45" i="9"/>
  <c r="W8" i="8"/>
  <c r="V8" i="29" s="1"/>
  <c r="V60" i="29" s="1"/>
  <c r="W8" i="9"/>
  <c r="W23" i="8"/>
  <c r="V23" i="29" s="1"/>
  <c r="V75" i="29" s="1"/>
  <c r="W23" i="9"/>
  <c r="W27" i="8"/>
  <c r="V27" i="29" s="1"/>
  <c r="V79" i="29" s="1"/>
  <c r="W27" i="9"/>
  <c r="W22" i="8"/>
  <c r="V22" i="29" s="1"/>
  <c r="V74" i="29" s="1"/>
  <c r="W22" i="9"/>
  <c r="W36" i="8"/>
  <c r="V36" i="29" s="1"/>
  <c r="V88" i="29" s="1"/>
  <c r="W36" i="9"/>
  <c r="W44" i="8"/>
  <c r="V44" i="29" s="1"/>
  <c r="V96" i="29" s="1"/>
  <c r="W44" i="9"/>
  <c r="M18" i="7"/>
  <c r="L17" i="9"/>
  <c r="M14" i="7"/>
  <c r="M41" i="7"/>
  <c r="U28" i="9"/>
  <c r="U17" i="9"/>
  <c r="U34" i="8"/>
  <c r="T34" i="29" s="1"/>
  <c r="T86" i="29" s="1"/>
  <c r="U34" i="9"/>
  <c r="U42" i="8"/>
  <c r="T42" i="29" s="1"/>
  <c r="T94" i="29" s="1"/>
  <c r="U42" i="9"/>
  <c r="U20" i="9"/>
  <c r="U16" i="9"/>
  <c r="U30" i="8"/>
  <c r="T30" i="29" s="1"/>
  <c r="T82" i="29" s="1"/>
  <c r="U30" i="9"/>
  <c r="U9" i="8"/>
  <c r="T9" i="29" s="1"/>
  <c r="T61" i="29" s="1"/>
  <c r="U9" i="9"/>
  <c r="U26" i="9"/>
  <c r="U37" i="9"/>
  <c r="U45" i="9"/>
  <c r="U50" i="8"/>
  <c r="T50" i="29" s="1"/>
  <c r="T102" i="29" s="1"/>
  <c r="U50" i="9"/>
  <c r="M30" i="7"/>
  <c r="AD43" i="7"/>
  <c r="AC43" i="9"/>
  <c r="AD43" i="9" s="1"/>
  <c r="AD39" i="7"/>
  <c r="AC39" i="9"/>
  <c r="AD39" i="9" s="1"/>
  <c r="AD28" i="7"/>
  <c r="AC28" i="9"/>
  <c r="AD28" i="9" s="1"/>
  <c r="AD25" i="7"/>
  <c r="AC25" i="9"/>
  <c r="AD25" i="9" s="1"/>
  <c r="AD42" i="7"/>
  <c r="AC42" i="9"/>
  <c r="AD42" i="9" s="1"/>
  <c r="AD50" i="7"/>
  <c r="AC50" i="9"/>
  <c r="AD50" i="9" s="1"/>
  <c r="AD16" i="7"/>
  <c r="AC16" i="9"/>
  <c r="AD16" i="9" s="1"/>
  <c r="AD51" i="7"/>
  <c r="AC51" i="9"/>
  <c r="AD51" i="9" s="1"/>
  <c r="AD18" i="7"/>
  <c r="AC18" i="9"/>
  <c r="AD18" i="9" s="1"/>
  <c r="AD12" i="7"/>
  <c r="AC12" i="9"/>
  <c r="AD12" i="9" s="1"/>
  <c r="M16" i="11"/>
  <c r="M9" i="11"/>
  <c r="M7" i="11"/>
  <c r="M6" i="11"/>
  <c r="M11" i="11"/>
  <c r="M10" i="11"/>
  <c r="M8" i="11"/>
  <c r="M18" i="11"/>
  <c r="M5" i="11"/>
  <c r="M14" i="11"/>
  <c r="M28" i="11"/>
  <c r="M25" i="11"/>
  <c r="M22" i="11"/>
  <c r="M42" i="11"/>
  <c r="M31" i="11"/>
  <c r="M36" i="11"/>
  <c r="M35" i="11"/>
  <c r="M12" i="11"/>
  <c r="M29" i="11"/>
  <c r="M26" i="11"/>
  <c r="M19" i="11"/>
  <c r="M39" i="11"/>
  <c r="M20" i="11"/>
  <c r="M40" i="11"/>
  <c r="M37" i="11"/>
  <c r="M17" i="11"/>
  <c r="M33" i="11"/>
  <c r="M13" i="11"/>
  <c r="M30" i="11"/>
  <c r="M23" i="11"/>
  <c r="M24" i="11"/>
  <c r="M38" i="11"/>
  <c r="M21" i="11"/>
  <c r="M15" i="11"/>
  <c r="M41" i="11"/>
  <c r="M32" i="11"/>
  <c r="M34" i="11"/>
  <c r="M27" i="11"/>
  <c r="R10" i="9"/>
  <c r="R8" i="9"/>
  <c r="R25" i="9"/>
  <c r="M22" i="7"/>
  <c r="P37" i="8"/>
  <c r="P37" i="29" s="1"/>
  <c r="P89" i="29" s="1"/>
  <c r="P37" i="9"/>
  <c r="M39" i="7"/>
  <c r="P31" i="8"/>
  <c r="P31" i="29" s="1"/>
  <c r="P83" i="29" s="1"/>
  <c r="P31" i="9"/>
  <c r="P30" i="8"/>
  <c r="P30" i="29" s="1"/>
  <c r="P82" i="29" s="1"/>
  <c r="P30" i="9"/>
  <c r="P11" i="8"/>
  <c r="P11" i="29" s="1"/>
  <c r="P63" i="29" s="1"/>
  <c r="P11" i="9"/>
  <c r="P28" i="8"/>
  <c r="P28" i="9"/>
  <c r="AH46" i="9"/>
  <c r="AH6" i="9"/>
  <c r="AH37" i="9"/>
  <c r="AH33" i="9"/>
  <c r="X42" i="8"/>
  <c r="W42" i="29" s="1"/>
  <c r="W94" i="29" s="1"/>
  <c r="X42" i="9"/>
  <c r="X16" i="8"/>
  <c r="W16" i="29" s="1"/>
  <c r="W68" i="29" s="1"/>
  <c r="X16" i="9"/>
  <c r="X13" i="8"/>
  <c r="W13" i="29" s="1"/>
  <c r="W65" i="29" s="1"/>
  <c r="X13" i="9"/>
  <c r="X47" i="8"/>
  <c r="W47" i="29" s="1"/>
  <c r="W99" i="29" s="1"/>
  <c r="X47" i="9"/>
  <c r="T21" i="12"/>
  <c r="R21" i="30" s="1"/>
  <c r="R64" i="30" s="1"/>
  <c r="T21" i="13"/>
  <c r="T19" i="12"/>
  <c r="R19" i="30" s="1"/>
  <c r="R62" i="30" s="1"/>
  <c r="T19" i="13"/>
  <c r="T11" i="12"/>
  <c r="R11" i="30" s="1"/>
  <c r="R54" i="30" s="1"/>
  <c r="T11" i="13"/>
  <c r="W18" i="8"/>
  <c r="V18" i="29" s="1"/>
  <c r="V70" i="29" s="1"/>
  <c r="W18" i="9"/>
  <c r="W49" i="8"/>
  <c r="V49" i="29" s="1"/>
  <c r="V101" i="29" s="1"/>
  <c r="W49" i="9"/>
  <c r="W11" i="8"/>
  <c r="V11" i="29" s="1"/>
  <c r="V63" i="29" s="1"/>
  <c r="W11" i="9"/>
  <c r="W40" i="8"/>
  <c r="V40" i="29" s="1"/>
  <c r="V92" i="29" s="1"/>
  <c r="W40" i="9"/>
  <c r="AD23" i="7"/>
  <c r="AC23" i="9"/>
  <c r="AD23" i="9" s="1"/>
  <c r="M20" i="7"/>
  <c r="U46" i="9"/>
  <c r="U23" i="9"/>
  <c r="U41" i="9"/>
  <c r="M46" i="7"/>
  <c r="AD24" i="7"/>
  <c r="AC24" i="9"/>
  <c r="AD24" i="9" s="1"/>
  <c r="V51" i="7"/>
  <c r="V50" i="7"/>
  <c r="V30" i="7"/>
  <c r="V27" i="7"/>
  <c r="V24" i="7"/>
  <c r="V19" i="7"/>
  <c r="V16" i="7"/>
  <c r="V14" i="7"/>
  <c r="V10" i="7"/>
  <c r="V6" i="7"/>
  <c r="V41" i="7"/>
  <c r="V37" i="7"/>
  <c r="V29" i="7"/>
  <c r="V26" i="7"/>
  <c r="V18" i="7"/>
  <c r="V13" i="7"/>
  <c r="V48" i="7"/>
  <c r="V46" i="7"/>
  <c r="V44" i="7"/>
  <c r="V42" i="7"/>
  <c r="V40" i="7"/>
  <c r="V38" i="7"/>
  <c r="V36" i="7"/>
  <c r="V34" i="7"/>
  <c r="V31" i="7"/>
  <c r="V25" i="7"/>
  <c r="V22" i="7"/>
  <c r="V17" i="7"/>
  <c r="V11" i="7"/>
  <c r="V7" i="7"/>
  <c r="V33" i="7"/>
  <c r="V32" i="7"/>
  <c r="V28" i="7"/>
  <c r="V23" i="7"/>
  <c r="V20" i="7"/>
  <c r="V15" i="7"/>
  <c r="V12" i="7"/>
  <c r="V8" i="7"/>
  <c r="V49" i="7"/>
  <c r="V47" i="7"/>
  <c r="V45" i="7"/>
  <c r="V43" i="7"/>
  <c r="V39" i="7"/>
  <c r="V35" i="7"/>
  <c r="V21" i="7"/>
  <c r="V9" i="7"/>
  <c r="V5" i="7"/>
  <c r="D45" i="5"/>
  <c r="P45" i="13"/>
  <c r="P45" i="12"/>
  <c r="P45" i="11"/>
  <c r="P45" i="10"/>
  <c r="Y60" i="6"/>
  <c r="Y54" i="8"/>
  <c r="Y58" i="8" s="1"/>
  <c r="Y54" i="9"/>
  <c r="Y54" i="7"/>
  <c r="U8" i="11"/>
  <c r="U6" i="11"/>
  <c r="U5" i="11"/>
  <c r="U16" i="11"/>
  <c r="U10" i="11"/>
  <c r="U9" i="11"/>
  <c r="U7" i="11"/>
  <c r="U11" i="11"/>
  <c r="U14" i="11"/>
  <c r="U13" i="11"/>
  <c r="U40" i="11"/>
  <c r="U36" i="11"/>
  <c r="U25" i="11"/>
  <c r="U41" i="11"/>
  <c r="U38" i="11"/>
  <c r="U31" i="11"/>
  <c r="U12" i="11"/>
  <c r="U29" i="11"/>
  <c r="U18" i="11"/>
  <c r="U22" i="11"/>
  <c r="U42" i="11"/>
  <c r="U35" i="11"/>
  <c r="U24" i="11"/>
  <c r="U15" i="11"/>
  <c r="U17" i="11"/>
  <c r="U33" i="11"/>
  <c r="U30" i="11"/>
  <c r="U26" i="11"/>
  <c r="U19" i="11"/>
  <c r="U39" i="11"/>
  <c r="U28" i="11"/>
  <c r="U37" i="11"/>
  <c r="U27" i="11"/>
  <c r="U32" i="11"/>
  <c r="U20" i="11"/>
  <c r="U23" i="11"/>
  <c r="U21" i="11"/>
  <c r="U34" i="11"/>
  <c r="S16" i="11"/>
  <c r="S10" i="11"/>
  <c r="S9" i="11"/>
  <c r="S7" i="11"/>
  <c r="S11" i="11"/>
  <c r="S8" i="11"/>
  <c r="S6" i="11"/>
  <c r="S5" i="11"/>
  <c r="S17" i="11"/>
  <c r="S33" i="11"/>
  <c r="S13" i="11"/>
  <c r="S18" i="11"/>
  <c r="S39" i="11"/>
  <c r="S24" i="11"/>
  <c r="S14" i="11"/>
  <c r="S12" i="11"/>
  <c r="S21" i="11"/>
  <c r="S37" i="11"/>
  <c r="S22" i="11"/>
  <c r="S26" i="11"/>
  <c r="S23" i="11"/>
  <c r="S32" i="11"/>
  <c r="S19" i="11"/>
  <c r="S15" i="11"/>
  <c r="S25" i="11"/>
  <c r="S41" i="11"/>
  <c r="S38" i="11"/>
  <c r="S30" i="11"/>
  <c r="S27" i="11"/>
  <c r="S36" i="11"/>
  <c r="S35" i="11"/>
  <c r="S29" i="11"/>
  <c r="S31" i="11"/>
  <c r="S28" i="11"/>
  <c r="S42" i="11"/>
  <c r="S34" i="11"/>
  <c r="S20" i="11"/>
  <c r="S40" i="11"/>
  <c r="R34" i="9"/>
  <c r="M50" i="7"/>
  <c r="N11" i="11"/>
  <c r="N10" i="11"/>
  <c r="N8" i="11"/>
  <c r="N5" i="11"/>
  <c r="N16" i="11"/>
  <c r="N9" i="11"/>
  <c r="N38" i="11"/>
  <c r="N6" i="11"/>
  <c r="N7" i="11"/>
  <c r="N25" i="11"/>
  <c r="N14" i="11"/>
  <c r="N35" i="11"/>
  <c r="N15" i="11"/>
  <c r="N36" i="11"/>
  <c r="N33" i="11"/>
  <c r="N30" i="11"/>
  <c r="N13" i="11"/>
  <c r="N19" i="11"/>
  <c r="N39" i="11"/>
  <c r="N32" i="11"/>
  <c r="N20" i="11"/>
  <c r="N40" i="11"/>
  <c r="N37" i="11"/>
  <c r="N34" i="11"/>
  <c r="N12" i="11"/>
  <c r="N22" i="11"/>
  <c r="N27" i="11"/>
  <c r="N24" i="11"/>
  <c r="N21" i="11"/>
  <c r="N41" i="11"/>
  <c r="N18" i="11"/>
  <c r="N23" i="11"/>
  <c r="N29" i="11"/>
  <c r="N28" i="11"/>
  <c r="N17" i="11"/>
  <c r="N42" i="11"/>
  <c r="N31" i="11"/>
  <c r="N26" i="11"/>
  <c r="R43" i="9"/>
  <c r="R6" i="9"/>
  <c r="R9" i="9"/>
  <c r="R26" i="9"/>
  <c r="R24" i="9"/>
  <c r="R20" i="9"/>
  <c r="R30" i="9"/>
  <c r="R22" i="9"/>
  <c r="R49" i="9"/>
  <c r="R36" i="9"/>
  <c r="AH50" i="9"/>
  <c r="Q17" i="8"/>
  <c r="Q17" i="29" s="1"/>
  <c r="Q69" i="29" s="1"/>
  <c r="Q17" i="9"/>
  <c r="P36" i="8"/>
  <c r="P36" i="29" s="1"/>
  <c r="P88" i="29" s="1"/>
  <c r="P36" i="9"/>
  <c r="M45" i="7"/>
  <c r="O35" i="9"/>
  <c r="O23" i="9"/>
  <c r="O33" i="9"/>
  <c r="O11" i="9"/>
  <c r="O38" i="9"/>
  <c r="O6" i="9"/>
  <c r="O19" i="9"/>
  <c r="O5" i="9"/>
  <c r="O53" i="7"/>
  <c r="O58" i="7" s="1"/>
  <c r="O50" i="8" s="1"/>
  <c r="O50" i="29" s="1"/>
  <c r="O102" i="29" s="1"/>
  <c r="O36" i="9"/>
  <c r="O12" i="9"/>
  <c r="L31" i="9"/>
  <c r="L12" i="9"/>
  <c r="L7" i="9"/>
  <c r="L46" i="9"/>
  <c r="L53" i="7"/>
  <c r="L58" i="7" s="1"/>
  <c r="L50" i="8" s="1"/>
  <c r="L50" i="29" s="1"/>
  <c r="L102" i="29" s="1"/>
  <c r="L5" i="9"/>
  <c r="L33" i="9"/>
  <c r="L47" i="9"/>
  <c r="L23" i="9"/>
  <c r="L37" i="9"/>
  <c r="L6" i="9"/>
  <c r="L24" i="9"/>
  <c r="M42" i="7"/>
  <c r="Q20" i="8"/>
  <c r="Q20" i="29" s="1"/>
  <c r="Q72" i="29" s="1"/>
  <c r="Q20" i="9"/>
  <c r="Q40" i="8"/>
  <c r="Q40" i="29" s="1"/>
  <c r="Q92" i="29" s="1"/>
  <c r="Q40" i="9"/>
  <c r="Q46" i="8"/>
  <c r="Q46" i="29" s="1"/>
  <c r="Q98" i="29" s="1"/>
  <c r="Q46" i="9"/>
  <c r="Q36" i="8"/>
  <c r="Q36" i="29" s="1"/>
  <c r="Q88" i="29" s="1"/>
  <c r="Q36" i="9"/>
  <c r="Q26" i="8"/>
  <c r="Q26" i="29" s="1"/>
  <c r="Q78" i="29" s="1"/>
  <c r="Q26" i="9"/>
  <c r="Q8" i="8"/>
  <c r="Q8" i="29" s="1"/>
  <c r="Q60" i="29" s="1"/>
  <c r="Q8" i="9"/>
  <c r="Q13" i="8"/>
  <c r="Q13" i="29" s="1"/>
  <c r="Q65" i="29" s="1"/>
  <c r="Q13" i="9"/>
  <c r="Q22" i="8"/>
  <c r="Q22" i="29" s="1"/>
  <c r="Q74" i="29" s="1"/>
  <c r="Q22" i="9"/>
  <c r="Q10" i="8"/>
  <c r="Q10" i="29" s="1"/>
  <c r="Q62" i="29" s="1"/>
  <c r="Q10" i="9"/>
  <c r="Q27" i="8"/>
  <c r="Q27" i="29" s="1"/>
  <c r="Q79" i="29" s="1"/>
  <c r="Q27" i="9"/>
  <c r="M40" i="7"/>
  <c r="AH27" i="9"/>
  <c r="P50" i="8"/>
  <c r="P50" i="29" s="1"/>
  <c r="P102" i="29" s="1"/>
  <c r="P50" i="9"/>
  <c r="M31" i="7"/>
  <c r="P51" i="8"/>
  <c r="P51" i="29" s="1"/>
  <c r="P103" i="29" s="1"/>
  <c r="P51" i="9"/>
  <c r="P33" i="8"/>
  <c r="P33" i="29" s="1"/>
  <c r="P85" i="29" s="1"/>
  <c r="P33" i="9"/>
  <c r="P34" i="8"/>
  <c r="P34" i="29" s="1"/>
  <c r="P86" i="29" s="1"/>
  <c r="P34" i="9"/>
  <c r="P46" i="8"/>
  <c r="P46" i="29" s="1"/>
  <c r="P98" i="29" s="1"/>
  <c r="P46" i="9"/>
  <c r="P12" i="8"/>
  <c r="P12" i="29" s="1"/>
  <c r="P64" i="29" s="1"/>
  <c r="P12" i="9"/>
  <c r="P7" i="8"/>
  <c r="P7" i="29" s="1"/>
  <c r="P59" i="29" s="1"/>
  <c r="P7" i="9"/>
  <c r="P25" i="8"/>
  <c r="P25" i="29" s="1"/>
  <c r="P77" i="29" s="1"/>
  <c r="P25" i="9"/>
  <c r="P14" i="8"/>
  <c r="P14" i="29" s="1"/>
  <c r="P66" i="29" s="1"/>
  <c r="P14" i="9"/>
  <c r="P27" i="8"/>
  <c r="P27" i="9"/>
  <c r="P13" i="8"/>
  <c r="P13" i="29" s="1"/>
  <c r="P65" i="29" s="1"/>
  <c r="P13" i="9"/>
  <c r="P29" i="8"/>
  <c r="P29" i="9"/>
  <c r="AH22" i="9"/>
  <c r="AH23" i="9"/>
  <c r="AH36" i="9"/>
  <c r="AH29" i="9"/>
  <c r="AH30" i="9"/>
  <c r="AH5" i="9"/>
  <c r="AH53" i="7"/>
  <c r="AH58" i="7" s="1"/>
  <c r="AH18" i="9"/>
  <c r="AH17" i="9"/>
  <c r="AH24" i="9"/>
  <c r="AH14" i="9"/>
  <c r="M44" i="7"/>
  <c r="X22" i="8"/>
  <c r="W22" i="29" s="1"/>
  <c r="W74" i="29" s="1"/>
  <c r="X22" i="9"/>
  <c r="X48" i="8"/>
  <c r="W48" i="29" s="1"/>
  <c r="W100" i="29" s="1"/>
  <c r="X48" i="9"/>
  <c r="X14" i="8"/>
  <c r="W14" i="29" s="1"/>
  <c r="W66" i="29" s="1"/>
  <c r="X14" i="9"/>
  <c r="X27" i="8"/>
  <c r="W27" i="29" s="1"/>
  <c r="W79" i="29" s="1"/>
  <c r="X27" i="9"/>
  <c r="X31" i="8"/>
  <c r="W31" i="29" s="1"/>
  <c r="W83" i="29" s="1"/>
  <c r="X31" i="9"/>
  <c r="X9" i="8"/>
  <c r="W9" i="29" s="1"/>
  <c r="W61" i="29" s="1"/>
  <c r="X9" i="9"/>
  <c r="X26" i="8"/>
  <c r="W26" i="29" s="1"/>
  <c r="W78" i="29" s="1"/>
  <c r="X26" i="9"/>
  <c r="X37" i="8"/>
  <c r="W37" i="29" s="1"/>
  <c r="W89" i="29" s="1"/>
  <c r="X37" i="9"/>
  <c r="X45" i="8"/>
  <c r="W45" i="29" s="1"/>
  <c r="W97" i="29" s="1"/>
  <c r="X45" i="9"/>
  <c r="X40" i="8"/>
  <c r="W40" i="29" s="1"/>
  <c r="W92" i="29" s="1"/>
  <c r="X40" i="9"/>
  <c r="X20" i="8"/>
  <c r="W20" i="29" s="1"/>
  <c r="W72" i="29" s="1"/>
  <c r="X20" i="9"/>
  <c r="R46" i="13"/>
  <c r="R46" i="12"/>
  <c r="R46" i="11"/>
  <c r="R46" i="10"/>
  <c r="T27" i="12"/>
  <c r="R27" i="30" s="1"/>
  <c r="R70" i="30" s="1"/>
  <c r="T27" i="13"/>
  <c r="T41" i="12"/>
  <c r="R41" i="30" s="1"/>
  <c r="R84" i="30" s="1"/>
  <c r="T41" i="13"/>
  <c r="T26" i="12"/>
  <c r="R26" i="30" s="1"/>
  <c r="R69" i="30" s="1"/>
  <c r="T26" i="13"/>
  <c r="T37" i="12"/>
  <c r="R37" i="30" s="1"/>
  <c r="R80" i="30" s="1"/>
  <c r="T37" i="13"/>
  <c r="T35" i="12"/>
  <c r="R35" i="30" s="1"/>
  <c r="R78" i="30" s="1"/>
  <c r="T35" i="13"/>
  <c r="T16" i="12"/>
  <c r="R16" i="30" s="1"/>
  <c r="R59" i="30" s="1"/>
  <c r="T16" i="13"/>
  <c r="T9" i="12"/>
  <c r="R9" i="30" s="1"/>
  <c r="R52" i="30" s="1"/>
  <c r="T9" i="13"/>
  <c r="T8" i="12"/>
  <c r="R8" i="30" s="1"/>
  <c r="R51" i="30" s="1"/>
  <c r="T8" i="13"/>
  <c r="W6" i="8"/>
  <c r="V6" i="29" s="1"/>
  <c r="V58" i="29" s="1"/>
  <c r="W6" i="9"/>
  <c r="W24" i="8"/>
  <c r="V24" i="29" s="1"/>
  <c r="V76" i="29" s="1"/>
  <c r="W24" i="9"/>
  <c r="W13" i="8"/>
  <c r="V13" i="29" s="1"/>
  <c r="V65" i="29" s="1"/>
  <c r="W13" i="9"/>
  <c r="W29" i="8"/>
  <c r="V29" i="29" s="1"/>
  <c r="V81" i="29" s="1"/>
  <c r="W29" i="9"/>
  <c r="W39" i="8"/>
  <c r="V39" i="29" s="1"/>
  <c r="V91" i="29" s="1"/>
  <c r="W39" i="9"/>
  <c r="W47" i="8"/>
  <c r="V47" i="29" s="1"/>
  <c r="V99" i="29" s="1"/>
  <c r="W47" i="9"/>
  <c r="W12" i="8"/>
  <c r="V12" i="29" s="1"/>
  <c r="V64" i="29" s="1"/>
  <c r="W12" i="9"/>
  <c r="W28" i="8"/>
  <c r="V28" i="29" s="1"/>
  <c r="V80" i="29" s="1"/>
  <c r="W28" i="9"/>
  <c r="W7" i="8"/>
  <c r="V7" i="29" s="1"/>
  <c r="V59" i="29" s="1"/>
  <c r="W7" i="9"/>
  <c r="W25" i="8"/>
  <c r="V25" i="29" s="1"/>
  <c r="V77" i="29" s="1"/>
  <c r="W25" i="9"/>
  <c r="W38" i="8"/>
  <c r="V38" i="29" s="1"/>
  <c r="V90" i="29" s="1"/>
  <c r="W38" i="9"/>
  <c r="W46" i="8"/>
  <c r="V46" i="29" s="1"/>
  <c r="V98" i="29" s="1"/>
  <c r="W46" i="9"/>
  <c r="M48" i="7"/>
  <c r="Q48" i="8"/>
  <c r="Q48" i="29" s="1"/>
  <c r="Q100" i="29" s="1"/>
  <c r="Q48" i="9"/>
  <c r="M49" i="7"/>
  <c r="U32" i="9"/>
  <c r="U22" i="8"/>
  <c r="T22" i="29" s="1"/>
  <c r="T74" i="29" s="1"/>
  <c r="U22" i="9"/>
  <c r="U36" i="9"/>
  <c r="U44" i="9"/>
  <c r="U6" i="9"/>
  <c r="U19" i="9"/>
  <c r="U15" i="9"/>
  <c r="U13" i="9"/>
  <c r="U29" i="9"/>
  <c r="U39" i="9"/>
  <c r="U47" i="8"/>
  <c r="T47" i="29" s="1"/>
  <c r="T99" i="29" s="1"/>
  <c r="U47" i="9"/>
  <c r="M7" i="7"/>
  <c r="M38" i="7"/>
  <c r="AD27" i="7"/>
  <c r="AC27" i="9"/>
  <c r="AD27" i="9" s="1"/>
  <c r="L49" i="10"/>
  <c r="AA53" i="8"/>
  <c r="M27" i="7"/>
  <c r="AD49" i="7"/>
  <c r="AC49" i="9"/>
  <c r="AD49" i="9" s="1"/>
  <c r="AD30" i="7"/>
  <c r="AC30" i="9"/>
  <c r="AD30" i="9" s="1"/>
  <c r="AD35" i="7"/>
  <c r="AC35" i="9"/>
  <c r="AD35" i="9" s="1"/>
  <c r="AD31" i="7"/>
  <c r="AC31" i="9"/>
  <c r="AD31" i="9" s="1"/>
  <c r="AD44" i="7"/>
  <c r="AC44" i="9"/>
  <c r="AD44" i="9" s="1"/>
  <c r="AD6" i="7"/>
  <c r="AC6" i="9"/>
  <c r="AD6" i="9" s="1"/>
  <c r="AD19" i="7"/>
  <c r="AC19" i="9"/>
  <c r="AD19" i="9" s="1"/>
  <c r="AD5" i="7"/>
  <c r="AC5" i="9"/>
  <c r="AC53" i="7"/>
  <c r="AC58" i="7" s="1"/>
  <c r="AC47" i="8" s="1"/>
  <c r="AA47" i="29" s="1"/>
  <c r="AA99" i="29" s="1"/>
  <c r="AD22" i="7"/>
  <c r="AC22" i="9"/>
  <c r="AD22" i="9" s="1"/>
  <c r="AD15" i="7"/>
  <c r="AC15" i="9"/>
  <c r="AD15" i="9" s="1"/>
  <c r="D10" i="5"/>
  <c r="T56" i="6" s="1"/>
  <c r="G9" i="31" l="1"/>
  <c r="G15" i="31" s="1"/>
  <c r="G11" i="31"/>
  <c r="H9" i="32"/>
  <c r="H15" i="32" s="1"/>
  <c r="H11" i="32"/>
  <c r="H7" i="32"/>
  <c r="H13" i="32" s="1"/>
  <c r="AC15" i="8"/>
  <c r="AA15" i="29" s="1"/>
  <c r="AA67" i="29" s="1"/>
  <c r="AC22" i="8"/>
  <c r="AA22" i="29" s="1"/>
  <c r="AA74" i="29" s="1"/>
  <c r="AC5" i="8"/>
  <c r="AA5" i="29" s="1"/>
  <c r="AA57" i="29" s="1"/>
  <c r="V16" i="11"/>
  <c r="W31" i="8"/>
  <c r="V31" i="29" s="1"/>
  <c r="V83" i="29" s="1"/>
  <c r="W51" i="8"/>
  <c r="V51" i="29" s="1"/>
  <c r="V103" i="29" s="1"/>
  <c r="W35" i="8"/>
  <c r="V35" i="29" s="1"/>
  <c r="V87" i="29" s="1"/>
  <c r="Q35" i="8"/>
  <c r="Q35" i="29" s="1"/>
  <c r="Q87" i="29" s="1"/>
  <c r="AI48" i="9"/>
  <c r="AI51" i="9"/>
  <c r="AI16" i="9"/>
  <c r="AI28" i="9"/>
  <c r="AI47" i="9"/>
  <c r="AI44" i="9"/>
  <c r="AI23" i="9"/>
  <c r="AI24" i="9"/>
  <c r="AI42" i="9"/>
  <c r="AI18" i="9"/>
  <c r="AI21" i="9"/>
  <c r="AI7" i="9"/>
  <c r="W30" i="8"/>
  <c r="V30" i="29" s="1"/>
  <c r="V82" i="29" s="1"/>
  <c r="AI40" i="9"/>
  <c r="AI15" i="9"/>
  <c r="AI14" i="9"/>
  <c r="AI12" i="9"/>
  <c r="AI39" i="9"/>
  <c r="AI36" i="8"/>
  <c r="AE36" i="29" s="1"/>
  <c r="AE88" i="29" s="1"/>
  <c r="AI36" i="9"/>
  <c r="AI9" i="9"/>
  <c r="AI9" i="8"/>
  <c r="AE9" i="29" s="1"/>
  <c r="AE61" i="29" s="1"/>
  <c r="AI6" i="9"/>
  <c r="AI34" i="9"/>
  <c r="AI5" i="9"/>
  <c r="AI53" i="7"/>
  <c r="AI58" i="7" s="1"/>
  <c r="AI48" i="8" s="1"/>
  <c r="AE48" i="29" s="1"/>
  <c r="AE100" i="29" s="1"/>
  <c r="AI31" i="9"/>
  <c r="AI11" i="9"/>
  <c r="AI32" i="9"/>
  <c r="AI41" i="9"/>
  <c r="AI46" i="9"/>
  <c r="AE26" i="29"/>
  <c r="AE78" i="29" s="1"/>
  <c r="AI26" i="9"/>
  <c r="AI26" i="8"/>
  <c r="AI30" i="9"/>
  <c r="AI25" i="9"/>
  <c r="AI25" i="8"/>
  <c r="AE25" i="29" s="1"/>
  <c r="AE77" i="29" s="1"/>
  <c r="AI45" i="9"/>
  <c r="AI45" i="8"/>
  <c r="AE45" i="29" s="1"/>
  <c r="AE97" i="29" s="1"/>
  <c r="AI27" i="9"/>
  <c r="AI20" i="9"/>
  <c r="AI20" i="8"/>
  <c r="AE20" i="29" s="1"/>
  <c r="AE72" i="29" s="1"/>
  <c r="AI43" i="9"/>
  <c r="AI19" i="9"/>
  <c r="AI29" i="9"/>
  <c r="AC49" i="8"/>
  <c r="AA49" i="29" s="1"/>
  <c r="AA101" i="29" s="1"/>
  <c r="Q23" i="8"/>
  <c r="Q23" i="29" s="1"/>
  <c r="Q75" i="29" s="1"/>
  <c r="Q37" i="8"/>
  <c r="Q37" i="29" s="1"/>
  <c r="Q89" i="29" s="1"/>
  <c r="AI17" i="9"/>
  <c r="AI17" i="8"/>
  <c r="AE17" i="29" s="1"/>
  <c r="AE69" i="29" s="1"/>
  <c r="AE33" i="29"/>
  <c r="AE85" i="29" s="1"/>
  <c r="AI33" i="9"/>
  <c r="AI33" i="8"/>
  <c r="AI38" i="9"/>
  <c r="AI13" i="8"/>
  <c r="AE13" i="29" s="1"/>
  <c r="AE65" i="29" s="1"/>
  <c r="AI13" i="9"/>
  <c r="AE10" i="29"/>
  <c r="AE62" i="29" s="1"/>
  <c r="AI10" i="9"/>
  <c r="AI10" i="8"/>
  <c r="AE8" i="29"/>
  <c r="AE60" i="29" s="1"/>
  <c r="AI8" i="8"/>
  <c r="AI8" i="9"/>
  <c r="AI37" i="9"/>
  <c r="AI37" i="8"/>
  <c r="AE37" i="29" s="1"/>
  <c r="AE89" i="29" s="1"/>
  <c r="AI50" i="9"/>
  <c r="AI50" i="8"/>
  <c r="AE50" i="29" s="1"/>
  <c r="AE102" i="29" s="1"/>
  <c r="AE49" i="29"/>
  <c r="AE101" i="29" s="1"/>
  <c r="AI49" i="9"/>
  <c r="AI49" i="8"/>
  <c r="AE35" i="29"/>
  <c r="AE87" i="29" s="1"/>
  <c r="AI35" i="9"/>
  <c r="AI35" i="8"/>
  <c r="AI22" i="9"/>
  <c r="H14" i="32"/>
  <c r="O13" i="31"/>
  <c r="P13" i="31"/>
  <c r="O14" i="31"/>
  <c r="P14" i="31"/>
  <c r="AD15" i="8"/>
  <c r="AC31" i="8"/>
  <c r="AA31" i="29" s="1"/>
  <c r="AA83" i="29" s="1"/>
  <c r="O5" i="8"/>
  <c r="O5" i="29" s="1"/>
  <c r="O57" i="29" s="1"/>
  <c r="V36" i="11"/>
  <c r="V20" i="11"/>
  <c r="P35" i="8"/>
  <c r="P35" i="29" s="1"/>
  <c r="P87" i="29" s="1"/>
  <c r="P21" i="8"/>
  <c r="AD22" i="8"/>
  <c r="AD47" i="8"/>
  <c r="AC44" i="8"/>
  <c r="AA44" i="29" s="1"/>
  <c r="AA96" i="29" s="1"/>
  <c r="W48" i="8"/>
  <c r="V48" i="29" s="1"/>
  <c r="V100" i="29" s="1"/>
  <c r="W15" i="8"/>
  <c r="V15" i="29" s="1"/>
  <c r="V67" i="29" s="1"/>
  <c r="W50" i="8"/>
  <c r="V50" i="29" s="1"/>
  <c r="V102" i="29" s="1"/>
  <c r="P16" i="8"/>
  <c r="P16" i="29" s="1"/>
  <c r="P68" i="29" s="1"/>
  <c r="P44" i="8"/>
  <c r="P44" i="29" s="1"/>
  <c r="P96" i="29" s="1"/>
  <c r="W42" i="8"/>
  <c r="V42" i="29" s="1"/>
  <c r="V94" i="29" s="1"/>
  <c r="W17" i="8"/>
  <c r="V17" i="29" s="1"/>
  <c r="V69" i="29" s="1"/>
  <c r="W20" i="8"/>
  <c r="V20" i="29" s="1"/>
  <c r="V72" i="29" s="1"/>
  <c r="W43" i="8"/>
  <c r="V43" i="29" s="1"/>
  <c r="V95" i="29" s="1"/>
  <c r="W21" i="8"/>
  <c r="V21" i="29" s="1"/>
  <c r="V73" i="29" s="1"/>
  <c r="Q31" i="8"/>
  <c r="Q31" i="29" s="1"/>
  <c r="Q83" i="29" s="1"/>
  <c r="F4" i="5"/>
  <c r="E4" i="5"/>
  <c r="N56" i="6"/>
  <c r="O36" i="8"/>
  <c r="O36" i="29" s="1"/>
  <c r="O88" i="29" s="1"/>
  <c r="O23" i="8"/>
  <c r="O23" i="29" s="1"/>
  <c r="O75" i="29" s="1"/>
  <c r="AC39" i="8"/>
  <c r="AA39" i="29" s="1"/>
  <c r="AA91" i="29" s="1"/>
  <c r="O16" i="8"/>
  <c r="O16" i="29" s="1"/>
  <c r="O68" i="29" s="1"/>
  <c r="O30" i="8"/>
  <c r="O30" i="29" s="1"/>
  <c r="O82" i="29" s="1"/>
  <c r="AC40" i="8"/>
  <c r="AA40" i="29" s="1"/>
  <c r="AA92" i="29" s="1"/>
  <c r="AC29" i="8"/>
  <c r="AA29" i="29" s="1"/>
  <c r="AA81" i="29" s="1"/>
  <c r="AC34" i="8"/>
  <c r="AA34" i="29" s="1"/>
  <c r="AA86" i="29" s="1"/>
  <c r="O11" i="8"/>
  <c r="O11" i="29" s="1"/>
  <c r="O63" i="29" s="1"/>
  <c r="X35" i="8"/>
  <c r="W35" i="29" s="1"/>
  <c r="W87" i="29" s="1"/>
  <c r="O18" i="8"/>
  <c r="O18" i="29" s="1"/>
  <c r="O70" i="29" s="1"/>
  <c r="O28" i="8"/>
  <c r="O28" i="29" s="1"/>
  <c r="O80" i="29" s="1"/>
  <c r="O44" i="8"/>
  <c r="O44" i="29" s="1"/>
  <c r="O96" i="29" s="1"/>
  <c r="W5" i="8"/>
  <c r="V5" i="29" s="1"/>
  <c r="V57" i="29" s="1"/>
  <c r="X6" i="8"/>
  <c r="W6" i="29" s="1"/>
  <c r="W58" i="29" s="1"/>
  <c r="Q16" i="8"/>
  <c r="Q16" i="29" s="1"/>
  <c r="Q68" i="29" s="1"/>
  <c r="Q29" i="8"/>
  <c r="Q29" i="29" s="1"/>
  <c r="Q81" i="29" s="1"/>
  <c r="Q47" i="8"/>
  <c r="Q47" i="29" s="1"/>
  <c r="Q99" i="29" s="1"/>
  <c r="Q45" i="8"/>
  <c r="Q45" i="29" s="1"/>
  <c r="Q97" i="29" s="1"/>
  <c r="Q49" i="8"/>
  <c r="Q49" i="29" s="1"/>
  <c r="Q101" i="29" s="1"/>
  <c r="W41" i="8"/>
  <c r="V41" i="29" s="1"/>
  <c r="V93" i="29" s="1"/>
  <c r="O6" i="8"/>
  <c r="O6" i="29" s="1"/>
  <c r="O58" i="29" s="1"/>
  <c r="AC12" i="8"/>
  <c r="AA12" i="29" s="1"/>
  <c r="AA64" i="29" s="1"/>
  <c r="X34" i="8"/>
  <c r="W34" i="29" s="1"/>
  <c r="W86" i="29" s="1"/>
  <c r="O26" i="8"/>
  <c r="O26" i="29" s="1"/>
  <c r="O78" i="29" s="1"/>
  <c r="O42" i="8"/>
  <c r="O42" i="29" s="1"/>
  <c r="O94" i="29" s="1"/>
  <c r="AC33" i="8"/>
  <c r="AA33" i="29" s="1"/>
  <c r="AA85" i="29" s="1"/>
  <c r="AC50" i="8"/>
  <c r="AA50" i="29" s="1"/>
  <c r="AA102" i="29" s="1"/>
  <c r="X24" i="8"/>
  <c r="W24" i="29" s="1"/>
  <c r="W76" i="29" s="1"/>
  <c r="O34" i="8"/>
  <c r="O34" i="29" s="1"/>
  <c r="O86" i="29" s="1"/>
  <c r="W14" i="8"/>
  <c r="V14" i="29" s="1"/>
  <c r="V66" i="29" s="1"/>
  <c r="X28" i="8"/>
  <c r="W28" i="29" s="1"/>
  <c r="W80" i="29" s="1"/>
  <c r="E34" i="5"/>
  <c r="L46" i="13"/>
  <c r="L46" i="12"/>
  <c r="L46" i="11"/>
  <c r="L46" i="10"/>
  <c r="M38" i="9"/>
  <c r="AH32" i="8"/>
  <c r="AD32" i="29" s="1"/>
  <c r="AD84" i="29" s="1"/>
  <c r="AH34" i="8"/>
  <c r="AD34" i="29" s="1"/>
  <c r="AD86" i="29" s="1"/>
  <c r="AH43" i="8"/>
  <c r="AD43" i="29" s="1"/>
  <c r="AD95" i="29" s="1"/>
  <c r="AH36" i="8"/>
  <c r="AD36" i="29" s="1"/>
  <c r="AD88" i="29" s="1"/>
  <c r="AH27" i="8"/>
  <c r="AD27" i="29" s="1"/>
  <c r="AD79" i="29" s="1"/>
  <c r="L24" i="8"/>
  <c r="L24" i="29" s="1"/>
  <c r="L76" i="29" s="1"/>
  <c r="L37" i="8"/>
  <c r="L37" i="29" s="1"/>
  <c r="L89" i="29" s="1"/>
  <c r="N42" i="12"/>
  <c r="N42" i="30" s="1"/>
  <c r="N85" i="30" s="1"/>
  <c r="N42" i="13"/>
  <c r="N34" i="12"/>
  <c r="N34" i="30" s="1"/>
  <c r="N77" i="30" s="1"/>
  <c r="N34" i="13"/>
  <c r="N6" i="12"/>
  <c r="N6" i="30" s="1"/>
  <c r="N49" i="30" s="1"/>
  <c r="N6" i="13"/>
  <c r="S38" i="12"/>
  <c r="Q38" i="30" s="1"/>
  <c r="Q81" i="30" s="1"/>
  <c r="V38" i="11"/>
  <c r="S38" i="13"/>
  <c r="S14" i="12"/>
  <c r="Q14" i="30" s="1"/>
  <c r="Q57" i="30" s="1"/>
  <c r="V14" i="11"/>
  <c r="S14" i="13"/>
  <c r="U19" i="12"/>
  <c r="S19" i="30" s="1"/>
  <c r="S62" i="30" s="1"/>
  <c r="U19" i="13"/>
  <c r="Y18" i="7"/>
  <c r="Y13" i="7"/>
  <c r="Y9" i="7"/>
  <c r="Y5" i="7"/>
  <c r="Y28" i="7"/>
  <c r="Y20" i="7"/>
  <c r="Y19" i="7"/>
  <c r="Y16" i="7"/>
  <c r="Y14" i="7"/>
  <c r="Y10" i="7"/>
  <c r="Y6" i="7"/>
  <c r="Y32" i="7"/>
  <c r="Y23" i="7"/>
  <c r="Y15" i="7"/>
  <c r="Y12" i="7"/>
  <c r="Y25" i="7"/>
  <c r="Y17" i="7"/>
  <c r="Y11" i="7"/>
  <c r="Y7" i="7"/>
  <c r="Y8" i="7"/>
  <c r="Y41" i="7"/>
  <c r="Y21" i="7"/>
  <c r="Y38" i="7"/>
  <c r="Y27" i="7"/>
  <c r="Y43" i="7"/>
  <c r="Y44" i="7"/>
  <c r="Y50" i="7"/>
  <c r="Y33" i="7"/>
  <c r="Y24" i="7"/>
  <c r="Y45" i="7"/>
  <c r="Y26" i="7"/>
  <c r="Y42" i="7"/>
  <c r="Y31" i="7"/>
  <c r="Y47" i="7"/>
  <c r="Y48" i="7"/>
  <c r="Y29" i="7"/>
  <c r="Y49" i="7"/>
  <c r="Y30" i="7"/>
  <c r="Y46" i="7"/>
  <c r="Y35" i="7"/>
  <c r="Y51" i="7"/>
  <c r="Y36" i="7"/>
  <c r="Y34" i="7"/>
  <c r="Y22" i="7"/>
  <c r="Y40" i="7"/>
  <c r="Y37" i="7"/>
  <c r="Y39" i="7"/>
  <c r="V45" i="9"/>
  <c r="V31" i="9"/>
  <c r="V10" i="9"/>
  <c r="AH37" i="8"/>
  <c r="AD37" i="29" s="1"/>
  <c r="AD89" i="29" s="1"/>
  <c r="M22" i="9"/>
  <c r="M33" i="12"/>
  <c r="M33" i="30" s="1"/>
  <c r="M76" i="30" s="1"/>
  <c r="M33" i="13"/>
  <c r="M31" i="12"/>
  <c r="M31" i="30" s="1"/>
  <c r="M74" i="30" s="1"/>
  <c r="M31" i="13"/>
  <c r="M7" i="12"/>
  <c r="M7" i="30" s="1"/>
  <c r="M50" i="30" s="1"/>
  <c r="M7" i="13"/>
  <c r="Y25" i="12"/>
  <c r="Z25" i="12" s="1"/>
  <c r="Z25" i="11"/>
  <c r="Y25" i="13"/>
  <c r="Z25" i="13" s="1"/>
  <c r="Y41" i="12"/>
  <c r="Z41" i="12" s="1"/>
  <c r="Z41" i="11"/>
  <c r="Y41" i="13"/>
  <c r="Z41" i="13" s="1"/>
  <c r="Y5" i="12"/>
  <c r="U5" i="30" s="1"/>
  <c r="U48" i="30" s="1"/>
  <c r="Z5" i="11"/>
  <c r="Y5" i="13"/>
  <c r="Y44" i="11"/>
  <c r="M43" i="9"/>
  <c r="U12" i="8"/>
  <c r="T12" i="29" s="1"/>
  <c r="T64" i="29" s="1"/>
  <c r="R29" i="11"/>
  <c r="Q29" i="12"/>
  <c r="R29" i="12" s="1"/>
  <c r="Q29" i="13"/>
  <c r="R29" i="13" s="1"/>
  <c r="R28" i="11"/>
  <c r="Q28" i="12"/>
  <c r="R28" i="12" s="1"/>
  <c r="Q28" i="13"/>
  <c r="R28" i="13" s="1"/>
  <c r="R7" i="11"/>
  <c r="Q7" i="12"/>
  <c r="R7" i="12" s="1"/>
  <c r="Q7" i="13"/>
  <c r="R7" i="13" s="1"/>
  <c r="O39" i="12"/>
  <c r="O39" i="30" s="1"/>
  <c r="O82" i="30" s="1"/>
  <c r="O39" i="13"/>
  <c r="O29" i="12"/>
  <c r="O29" i="30" s="1"/>
  <c r="O72" i="30" s="1"/>
  <c r="O29" i="13"/>
  <c r="O25" i="12"/>
  <c r="O25" i="30" s="1"/>
  <c r="O68" i="30" s="1"/>
  <c r="O25" i="13"/>
  <c r="O15" i="12"/>
  <c r="O15" i="30" s="1"/>
  <c r="O58" i="30" s="1"/>
  <c r="O15" i="13"/>
  <c r="O5" i="12"/>
  <c r="O5" i="30" s="1"/>
  <c r="O48" i="30" s="1"/>
  <c r="O5" i="13"/>
  <c r="O44" i="11"/>
  <c r="M24" i="9"/>
  <c r="N55" i="9"/>
  <c r="N55" i="8"/>
  <c r="N55" i="7"/>
  <c r="AB31" i="7"/>
  <c r="AH14" i="8"/>
  <c r="AD14" i="29" s="1"/>
  <c r="AD66" i="29" s="1"/>
  <c r="AH17" i="8"/>
  <c r="AD17" i="29" s="1"/>
  <c r="AD69" i="29" s="1"/>
  <c r="AH53" i="9"/>
  <c r="M40" i="9"/>
  <c r="L5" i="8"/>
  <c r="L5" i="29" s="1"/>
  <c r="L57" i="29" s="1"/>
  <c r="L7" i="8"/>
  <c r="L7" i="29" s="1"/>
  <c r="L59" i="29" s="1"/>
  <c r="L31" i="8"/>
  <c r="L31" i="29" s="1"/>
  <c r="L83" i="29" s="1"/>
  <c r="AH50" i="8"/>
  <c r="AD50" i="29" s="1"/>
  <c r="AD102" i="29" s="1"/>
  <c r="N17" i="12"/>
  <c r="N17" i="30" s="1"/>
  <c r="N60" i="30" s="1"/>
  <c r="N17" i="13"/>
  <c r="N18" i="12"/>
  <c r="N18" i="30" s="1"/>
  <c r="N61" i="30" s="1"/>
  <c r="N18" i="13"/>
  <c r="N27" i="12"/>
  <c r="N27" i="30" s="1"/>
  <c r="N70" i="30" s="1"/>
  <c r="N27" i="13"/>
  <c r="N37" i="12"/>
  <c r="N37" i="30" s="1"/>
  <c r="N80" i="30" s="1"/>
  <c r="N37" i="13"/>
  <c r="N39" i="12"/>
  <c r="N39" i="30" s="1"/>
  <c r="N82" i="30" s="1"/>
  <c r="N39" i="13"/>
  <c r="N33" i="12"/>
  <c r="N33" i="30" s="1"/>
  <c r="N76" i="30" s="1"/>
  <c r="N33" i="13"/>
  <c r="N14" i="12"/>
  <c r="N14" i="30" s="1"/>
  <c r="N57" i="30" s="1"/>
  <c r="N14" i="13"/>
  <c r="N38" i="12"/>
  <c r="N38" i="30" s="1"/>
  <c r="N81" i="30" s="1"/>
  <c r="N38" i="13"/>
  <c r="N8" i="12"/>
  <c r="N8" i="30" s="1"/>
  <c r="N51" i="30" s="1"/>
  <c r="N8" i="13"/>
  <c r="S40" i="12"/>
  <c r="Q40" i="30" s="1"/>
  <c r="Q83" i="30" s="1"/>
  <c r="S40" i="13"/>
  <c r="S28" i="12"/>
  <c r="Q28" i="30" s="1"/>
  <c r="Q71" i="30" s="1"/>
  <c r="S28" i="13"/>
  <c r="S36" i="12"/>
  <c r="Q36" i="30" s="1"/>
  <c r="Q79" i="30" s="1"/>
  <c r="S36" i="13"/>
  <c r="S41" i="12"/>
  <c r="Q41" i="30" s="1"/>
  <c r="Q84" i="30" s="1"/>
  <c r="S41" i="13"/>
  <c r="S32" i="12"/>
  <c r="Q32" i="30" s="1"/>
  <c r="Q75" i="30" s="1"/>
  <c r="S32" i="13"/>
  <c r="S37" i="12"/>
  <c r="Q37" i="30" s="1"/>
  <c r="Q80" i="30" s="1"/>
  <c r="S37" i="13"/>
  <c r="S24" i="12"/>
  <c r="Q24" i="30" s="1"/>
  <c r="Q67" i="30" s="1"/>
  <c r="S24" i="13"/>
  <c r="S33" i="12"/>
  <c r="Q33" i="30" s="1"/>
  <c r="Q76" i="30" s="1"/>
  <c r="S33" i="13"/>
  <c r="S8" i="13"/>
  <c r="S8" i="12"/>
  <c r="Q8" i="30" s="1"/>
  <c r="Q51" i="30" s="1"/>
  <c r="S10" i="12"/>
  <c r="Q10" i="30" s="1"/>
  <c r="Q53" i="30" s="1"/>
  <c r="V10" i="11"/>
  <c r="S10" i="13"/>
  <c r="U23" i="12"/>
  <c r="S23" i="30" s="1"/>
  <c r="S66" i="30" s="1"/>
  <c r="U23" i="13"/>
  <c r="V37" i="11"/>
  <c r="U37" i="12"/>
  <c r="S37" i="30" s="1"/>
  <c r="S80" i="30" s="1"/>
  <c r="U37" i="13"/>
  <c r="U26" i="12"/>
  <c r="S26" i="30" s="1"/>
  <c r="S69" i="30" s="1"/>
  <c r="U26" i="13"/>
  <c r="U15" i="12"/>
  <c r="S15" i="30" s="1"/>
  <c r="S58" i="30" s="1"/>
  <c r="U15" i="13"/>
  <c r="U22" i="12"/>
  <c r="S22" i="30" s="1"/>
  <c r="S65" i="30" s="1"/>
  <c r="U22" i="13"/>
  <c r="U31" i="12"/>
  <c r="S31" i="30" s="1"/>
  <c r="S74" i="30" s="1"/>
  <c r="U31" i="13"/>
  <c r="U36" i="12"/>
  <c r="S36" i="30" s="1"/>
  <c r="S79" i="30" s="1"/>
  <c r="U36" i="13"/>
  <c r="U11" i="12"/>
  <c r="S11" i="30" s="1"/>
  <c r="S54" i="30" s="1"/>
  <c r="U11" i="13"/>
  <c r="U16" i="12"/>
  <c r="S16" i="30" s="1"/>
  <c r="S59" i="30" s="1"/>
  <c r="U16" i="13"/>
  <c r="AA45" i="13"/>
  <c r="AA45" i="12"/>
  <c r="W49" i="12" s="1"/>
  <c r="AA45" i="11"/>
  <c r="AA45" i="10"/>
  <c r="V35" i="9"/>
  <c r="V47" i="9"/>
  <c r="V15" i="9"/>
  <c r="V32" i="9"/>
  <c r="V17" i="9"/>
  <c r="V34" i="9"/>
  <c r="V42" i="9"/>
  <c r="V13" i="9"/>
  <c r="V37" i="9"/>
  <c r="V14" i="9"/>
  <c r="V27" i="9"/>
  <c r="U23" i="8"/>
  <c r="T23" i="29" s="1"/>
  <c r="T75" i="29" s="1"/>
  <c r="U7" i="8"/>
  <c r="T7" i="29" s="1"/>
  <c r="T59" i="29" s="1"/>
  <c r="AC23" i="8"/>
  <c r="AA23" i="29" s="1"/>
  <c r="AA75" i="29" s="1"/>
  <c r="M39" i="9"/>
  <c r="M27" i="12"/>
  <c r="M27" i="30" s="1"/>
  <c r="M70" i="30" s="1"/>
  <c r="M27" i="13"/>
  <c r="M15" i="12"/>
  <c r="M15" i="30" s="1"/>
  <c r="M58" i="30" s="1"/>
  <c r="M15" i="13"/>
  <c r="M23" i="12"/>
  <c r="M23" i="30" s="1"/>
  <c r="M66" i="30" s="1"/>
  <c r="M23" i="13"/>
  <c r="M17" i="12"/>
  <c r="M17" i="30" s="1"/>
  <c r="M60" i="30" s="1"/>
  <c r="M17" i="13"/>
  <c r="M39" i="12"/>
  <c r="M39" i="30" s="1"/>
  <c r="M82" i="30" s="1"/>
  <c r="M39" i="13"/>
  <c r="M12" i="12"/>
  <c r="M12" i="30" s="1"/>
  <c r="M55" i="30" s="1"/>
  <c r="M12" i="13"/>
  <c r="M42" i="12"/>
  <c r="M42" i="30" s="1"/>
  <c r="M85" i="30" s="1"/>
  <c r="M42" i="13"/>
  <c r="M14" i="12"/>
  <c r="M14" i="30" s="1"/>
  <c r="M57" i="30" s="1"/>
  <c r="M14" i="13"/>
  <c r="M10" i="12"/>
  <c r="M10" i="30" s="1"/>
  <c r="M53" i="30" s="1"/>
  <c r="M10" i="13"/>
  <c r="M9" i="12"/>
  <c r="M9" i="30" s="1"/>
  <c r="M52" i="30" s="1"/>
  <c r="M9" i="13"/>
  <c r="AB42" i="7"/>
  <c r="U28" i="8"/>
  <c r="T28" i="29" s="1"/>
  <c r="T80" i="29" s="1"/>
  <c r="L17" i="8"/>
  <c r="L17" i="29" s="1"/>
  <c r="L69" i="29" s="1"/>
  <c r="M51" i="9"/>
  <c r="X25" i="8"/>
  <c r="W25" i="29" s="1"/>
  <c r="W77" i="29" s="1"/>
  <c r="X46" i="8"/>
  <c r="W46" i="29" s="1"/>
  <c r="W98" i="29" s="1"/>
  <c r="M36" i="9"/>
  <c r="AH21" i="8"/>
  <c r="AD21" i="29" s="1"/>
  <c r="AD73" i="29" s="1"/>
  <c r="AH15" i="8"/>
  <c r="AD15" i="29" s="1"/>
  <c r="AD67" i="29" s="1"/>
  <c r="AH16" i="8"/>
  <c r="AD16" i="29" s="1"/>
  <c r="AD68" i="29" s="1"/>
  <c r="AH42" i="8"/>
  <c r="AD42" i="29" s="1"/>
  <c r="AD94" i="29" s="1"/>
  <c r="AH39" i="8"/>
  <c r="AD39" i="29" s="1"/>
  <c r="AD91" i="29" s="1"/>
  <c r="Q53" i="9"/>
  <c r="L16" i="8"/>
  <c r="L16" i="29" s="1"/>
  <c r="L68" i="29" s="1"/>
  <c r="L35" i="8"/>
  <c r="L35" i="29" s="1"/>
  <c r="L87" i="29" s="1"/>
  <c r="L45" i="8"/>
  <c r="L45" i="29" s="1"/>
  <c r="L97" i="29" s="1"/>
  <c r="L32" i="8"/>
  <c r="L32" i="29" s="1"/>
  <c r="L84" i="29" s="1"/>
  <c r="L42" i="8"/>
  <c r="L42" i="29" s="1"/>
  <c r="L94" i="29" s="1"/>
  <c r="M37" i="9"/>
  <c r="O39" i="8"/>
  <c r="O39" i="29" s="1"/>
  <c r="O91" i="29" s="1"/>
  <c r="Z38" i="11"/>
  <c r="Y38" i="12"/>
  <c r="Z38" i="12" s="1"/>
  <c r="Y38" i="13"/>
  <c r="Z38" i="13" s="1"/>
  <c r="Z24" i="11"/>
  <c r="Y24" i="12"/>
  <c r="Z24" i="12" s="1"/>
  <c r="Y24" i="13"/>
  <c r="Z24" i="13" s="1"/>
  <c r="Z39" i="11"/>
  <c r="Y39" i="12"/>
  <c r="Z39" i="12" s="1"/>
  <c r="Y39" i="13"/>
  <c r="Z39" i="13" s="1"/>
  <c r="Z30" i="11"/>
  <c r="Y30" i="12"/>
  <c r="Z30" i="12" s="1"/>
  <c r="Y30" i="13"/>
  <c r="Z30" i="13" s="1"/>
  <c r="Z14" i="11"/>
  <c r="Y14" i="12"/>
  <c r="Z14" i="12" s="1"/>
  <c r="Y14" i="13"/>
  <c r="Z14" i="13" s="1"/>
  <c r="Z22" i="11"/>
  <c r="Y22" i="12"/>
  <c r="Z22" i="12" s="1"/>
  <c r="Y22" i="13"/>
  <c r="Z22" i="13" s="1"/>
  <c r="Y17" i="12"/>
  <c r="Z17" i="12" s="1"/>
  <c r="Z17" i="11"/>
  <c r="Y17" i="13"/>
  <c r="Z17" i="13" s="1"/>
  <c r="Z12" i="11"/>
  <c r="Y12" i="12"/>
  <c r="Z12" i="12" s="1"/>
  <c r="Y12" i="13"/>
  <c r="Z12" i="13" s="1"/>
  <c r="Z8" i="11"/>
  <c r="Y8" i="12"/>
  <c r="Z8" i="12" s="1"/>
  <c r="Y8" i="13"/>
  <c r="Z8" i="13" s="1"/>
  <c r="Z16" i="11"/>
  <c r="Y16" i="12"/>
  <c r="Z16" i="12" s="1"/>
  <c r="Y16" i="13"/>
  <c r="Z16" i="13" s="1"/>
  <c r="U33" i="8"/>
  <c r="T33" i="29" s="1"/>
  <c r="T85" i="29" s="1"/>
  <c r="U8" i="8"/>
  <c r="T8" i="29" s="1"/>
  <c r="T60" i="29" s="1"/>
  <c r="X39" i="8"/>
  <c r="W39" i="29" s="1"/>
  <c r="W91" i="29" s="1"/>
  <c r="X51" i="8"/>
  <c r="W51" i="29" s="1"/>
  <c r="W103" i="29" s="1"/>
  <c r="AH9" i="8"/>
  <c r="AD9" i="29" s="1"/>
  <c r="AD61" i="29" s="1"/>
  <c r="AH44" i="8"/>
  <c r="AD44" i="29" s="1"/>
  <c r="AD96" i="29" s="1"/>
  <c r="M19" i="9"/>
  <c r="M16" i="9"/>
  <c r="AC38" i="8"/>
  <c r="AA38" i="29" s="1"/>
  <c r="AA90" i="29" s="1"/>
  <c r="AC11" i="8"/>
  <c r="AA11" i="29" s="1"/>
  <c r="AA63" i="29" s="1"/>
  <c r="AC37" i="8"/>
  <c r="AA37" i="29" s="1"/>
  <c r="AA89" i="29" s="1"/>
  <c r="U43" i="8"/>
  <c r="T43" i="29" s="1"/>
  <c r="T95" i="29" s="1"/>
  <c r="U5" i="8"/>
  <c r="T5" i="29" s="1"/>
  <c r="T57" i="29" s="1"/>
  <c r="AB14" i="7"/>
  <c r="U48" i="8"/>
  <c r="T48" i="29" s="1"/>
  <c r="T100" i="29" s="1"/>
  <c r="U11" i="8"/>
  <c r="T11" i="29" s="1"/>
  <c r="T63" i="29" s="1"/>
  <c r="M33" i="9"/>
  <c r="X49" i="8"/>
  <c r="W49" i="29" s="1"/>
  <c r="W101" i="29" s="1"/>
  <c r="X33" i="8"/>
  <c r="W33" i="29" s="1"/>
  <c r="W85" i="29" s="1"/>
  <c r="X38" i="8"/>
  <c r="W38" i="29" s="1"/>
  <c r="W90" i="29" s="1"/>
  <c r="X19" i="8"/>
  <c r="W19" i="29" s="1"/>
  <c r="W71" i="29" s="1"/>
  <c r="X11" i="8"/>
  <c r="W11" i="29" s="1"/>
  <c r="W63" i="29" s="1"/>
  <c r="P19" i="8"/>
  <c r="P19" i="29" s="1"/>
  <c r="P71" i="29" s="1"/>
  <c r="P17" i="8"/>
  <c r="P17" i="29" s="1"/>
  <c r="P69" i="29" s="1"/>
  <c r="P41" i="8"/>
  <c r="P41" i="29" s="1"/>
  <c r="P93" i="29" s="1"/>
  <c r="P43" i="8"/>
  <c r="P43" i="29" s="1"/>
  <c r="P95" i="29" s="1"/>
  <c r="M47" i="9"/>
  <c r="M26" i="9"/>
  <c r="L26" i="8"/>
  <c r="L26" i="29" s="1"/>
  <c r="L78" i="29" s="1"/>
  <c r="L8" i="8"/>
  <c r="L8" i="29" s="1"/>
  <c r="L60" i="29" s="1"/>
  <c r="L13" i="8"/>
  <c r="L13" i="29" s="1"/>
  <c r="L65" i="29" s="1"/>
  <c r="L11" i="8"/>
  <c r="L11" i="29" s="1"/>
  <c r="L63" i="29" s="1"/>
  <c r="L30" i="8"/>
  <c r="L30" i="29" s="1"/>
  <c r="L82" i="29" s="1"/>
  <c r="O51" i="8"/>
  <c r="O51" i="29" s="1"/>
  <c r="O103" i="29" s="1"/>
  <c r="O31" i="8"/>
  <c r="O31" i="29" s="1"/>
  <c r="O83" i="29" s="1"/>
  <c r="O46" i="8"/>
  <c r="O46" i="29" s="1"/>
  <c r="O98" i="29" s="1"/>
  <c r="O43" i="8"/>
  <c r="O43" i="29" s="1"/>
  <c r="O95" i="29" s="1"/>
  <c r="O49" i="8"/>
  <c r="O49" i="29" s="1"/>
  <c r="O101" i="29" s="1"/>
  <c r="P42" i="8"/>
  <c r="P42" i="29" s="1"/>
  <c r="P94" i="29" s="1"/>
  <c r="R12" i="11"/>
  <c r="Q12" i="12"/>
  <c r="R12" i="12" s="1"/>
  <c r="Q12" i="13"/>
  <c r="R12" i="13" s="1"/>
  <c r="R13" i="11"/>
  <c r="Q13" i="12"/>
  <c r="R13" i="12" s="1"/>
  <c r="Q13" i="13"/>
  <c r="R13" i="13" s="1"/>
  <c r="R36" i="11"/>
  <c r="Q36" i="12"/>
  <c r="R36" i="12" s="1"/>
  <c r="Q36" i="13"/>
  <c r="R36" i="13" s="1"/>
  <c r="R25" i="11"/>
  <c r="Q25" i="12"/>
  <c r="R25" i="12" s="1"/>
  <c r="Q25" i="13"/>
  <c r="R25" i="13" s="1"/>
  <c r="Q34" i="12"/>
  <c r="R34" i="12" s="1"/>
  <c r="R34" i="11"/>
  <c r="Q34" i="13"/>
  <c r="R34" i="13" s="1"/>
  <c r="R27" i="11"/>
  <c r="Q27" i="12"/>
  <c r="R27" i="12" s="1"/>
  <c r="Q27" i="13"/>
  <c r="R27" i="13" s="1"/>
  <c r="R8" i="11"/>
  <c r="Q8" i="12"/>
  <c r="R8" i="12" s="1"/>
  <c r="Q8" i="13"/>
  <c r="R8" i="13" s="1"/>
  <c r="R10" i="11"/>
  <c r="Q10" i="12"/>
  <c r="R10" i="12" s="1"/>
  <c r="Q10" i="13"/>
  <c r="R10" i="13" s="1"/>
  <c r="R9" i="11"/>
  <c r="Q9" i="12"/>
  <c r="R9" i="12" s="1"/>
  <c r="Q9" i="13"/>
  <c r="R9" i="13" s="1"/>
  <c r="O30" i="12"/>
  <c r="O30" i="30" s="1"/>
  <c r="O73" i="30" s="1"/>
  <c r="O30" i="13"/>
  <c r="O26" i="12"/>
  <c r="O26" i="30" s="1"/>
  <c r="O69" i="30" s="1"/>
  <c r="O26" i="13"/>
  <c r="O42" i="12"/>
  <c r="O42" i="30" s="1"/>
  <c r="O85" i="30" s="1"/>
  <c r="O42" i="13"/>
  <c r="O12" i="12"/>
  <c r="O12" i="30" s="1"/>
  <c r="O55" i="30" s="1"/>
  <c r="O12" i="13"/>
  <c r="O31" i="12"/>
  <c r="O31" i="30" s="1"/>
  <c r="O74" i="30" s="1"/>
  <c r="O31" i="13"/>
  <c r="O20" i="12"/>
  <c r="O20" i="30" s="1"/>
  <c r="O63" i="30" s="1"/>
  <c r="O20" i="13"/>
  <c r="O34" i="12"/>
  <c r="O34" i="30" s="1"/>
  <c r="O77" i="30" s="1"/>
  <c r="O34" i="13"/>
  <c r="O13" i="12"/>
  <c r="O13" i="30" s="1"/>
  <c r="O56" i="30" s="1"/>
  <c r="O13" i="13"/>
  <c r="O7" i="12"/>
  <c r="O7" i="30" s="1"/>
  <c r="O50" i="30" s="1"/>
  <c r="O7" i="13"/>
  <c r="O8" i="12"/>
  <c r="O8" i="30" s="1"/>
  <c r="O51" i="30" s="1"/>
  <c r="O8" i="13"/>
  <c r="AC36" i="8"/>
  <c r="AA36" i="29" s="1"/>
  <c r="AA88" i="29" s="1"/>
  <c r="AC9" i="8"/>
  <c r="AA9" i="29" s="1"/>
  <c r="AA61" i="29" s="1"/>
  <c r="AC46" i="8"/>
  <c r="AA46" i="29" s="1"/>
  <c r="AA98" i="29" s="1"/>
  <c r="AC45" i="8"/>
  <c r="AA45" i="29" s="1"/>
  <c r="AA97" i="29" s="1"/>
  <c r="V32" i="11"/>
  <c r="X30" i="8"/>
  <c r="W30" i="29" s="1"/>
  <c r="W82" i="29" s="1"/>
  <c r="AH20" i="8"/>
  <c r="AD20" i="29" s="1"/>
  <c r="AD72" i="29" s="1"/>
  <c r="AH51" i="8"/>
  <c r="AD51" i="29" s="1"/>
  <c r="AD103" i="29" s="1"/>
  <c r="P32" i="8"/>
  <c r="P32" i="29" s="1"/>
  <c r="P84" i="29" s="1"/>
  <c r="Q38" i="8"/>
  <c r="Q38" i="29" s="1"/>
  <c r="Q90" i="29" s="1"/>
  <c r="L41" i="8"/>
  <c r="L41" i="29" s="1"/>
  <c r="L93" i="29" s="1"/>
  <c r="L51" i="8"/>
  <c r="L51" i="29" s="1"/>
  <c r="L103" i="29" s="1"/>
  <c r="O9" i="8"/>
  <c r="O9" i="29" s="1"/>
  <c r="O61" i="29" s="1"/>
  <c r="O22" i="8"/>
  <c r="O22" i="29" s="1"/>
  <c r="O74" i="29" s="1"/>
  <c r="M48" i="9"/>
  <c r="L47" i="8"/>
  <c r="L47" i="29" s="1"/>
  <c r="L99" i="29" s="1"/>
  <c r="N24" i="12"/>
  <c r="N24" i="30" s="1"/>
  <c r="N67" i="30" s="1"/>
  <c r="N24" i="13"/>
  <c r="N30" i="12"/>
  <c r="N30" i="30" s="1"/>
  <c r="N73" i="30" s="1"/>
  <c r="N30" i="13"/>
  <c r="M50" i="9"/>
  <c r="V35" i="11"/>
  <c r="S35" i="12"/>
  <c r="Q35" i="30" s="1"/>
  <c r="Q78" i="30" s="1"/>
  <c r="S35" i="13"/>
  <c r="V22" i="11"/>
  <c r="S22" i="12"/>
  <c r="V22" i="12" s="1"/>
  <c r="S22" i="13"/>
  <c r="V22" i="13" s="1"/>
  <c r="S6" i="12"/>
  <c r="Q6" i="30" s="1"/>
  <c r="Q49" i="30" s="1"/>
  <c r="S6" i="13"/>
  <c r="V6" i="11"/>
  <c r="V21" i="11"/>
  <c r="U21" i="12"/>
  <c r="S21" i="30" s="1"/>
  <c r="S64" i="30" s="1"/>
  <c r="U21" i="13"/>
  <c r="V17" i="11"/>
  <c r="U17" i="12"/>
  <c r="S17" i="30" s="1"/>
  <c r="S60" i="30" s="1"/>
  <c r="U17" i="13"/>
  <c r="U12" i="12"/>
  <c r="S12" i="30" s="1"/>
  <c r="S55" i="30" s="1"/>
  <c r="U12" i="13"/>
  <c r="U14" i="12"/>
  <c r="S14" i="30" s="1"/>
  <c r="S57" i="30" s="1"/>
  <c r="U14" i="13"/>
  <c r="U8" i="12"/>
  <c r="S8" i="30" s="1"/>
  <c r="S51" i="30" s="1"/>
  <c r="U8" i="13"/>
  <c r="V8" i="13" s="1"/>
  <c r="V21" i="9"/>
  <c r="V28" i="9"/>
  <c r="V40" i="9"/>
  <c r="V29" i="9"/>
  <c r="V51" i="9"/>
  <c r="AH46" i="8"/>
  <c r="AD46" i="29" s="1"/>
  <c r="AD98" i="29" s="1"/>
  <c r="M24" i="12"/>
  <c r="M24" i="30" s="1"/>
  <c r="M67" i="30" s="1"/>
  <c r="M24" i="13"/>
  <c r="M29" i="12"/>
  <c r="M29" i="30" s="1"/>
  <c r="M72" i="30" s="1"/>
  <c r="M29" i="13"/>
  <c r="M8" i="12"/>
  <c r="M8" i="30" s="1"/>
  <c r="M51" i="30" s="1"/>
  <c r="M8" i="13"/>
  <c r="V12" i="11"/>
  <c r="M17" i="9"/>
  <c r="Z20" i="11"/>
  <c r="Y20" i="12"/>
  <c r="Z20" i="12" s="1"/>
  <c r="Y20" i="13"/>
  <c r="Z20" i="13" s="1"/>
  <c r="Z42" i="11"/>
  <c r="Y42" i="12"/>
  <c r="Z42" i="12" s="1"/>
  <c r="Y42" i="13"/>
  <c r="Z42" i="13" s="1"/>
  <c r="Z6" i="11"/>
  <c r="Y6" i="12"/>
  <c r="Z6" i="12" s="1"/>
  <c r="Y6" i="13"/>
  <c r="Z6" i="13" s="1"/>
  <c r="L49" i="8"/>
  <c r="L49" i="29" s="1"/>
  <c r="L101" i="29" s="1"/>
  <c r="M15" i="9"/>
  <c r="AH8" i="8"/>
  <c r="AD8" i="29" s="1"/>
  <c r="AD60" i="29" s="1"/>
  <c r="AH31" i="8"/>
  <c r="AD31" i="29" s="1"/>
  <c r="AD83" i="29" s="1"/>
  <c r="AH26" i="8"/>
  <c r="AD26" i="29" s="1"/>
  <c r="AD78" i="29" s="1"/>
  <c r="M21" i="9"/>
  <c r="AH48" i="8"/>
  <c r="AD48" i="29" s="1"/>
  <c r="AD100" i="29" s="1"/>
  <c r="R40" i="11"/>
  <c r="Q40" i="12"/>
  <c r="R40" i="12" s="1"/>
  <c r="Q40" i="13"/>
  <c r="R40" i="13" s="1"/>
  <c r="Q30" i="12"/>
  <c r="R30" i="12" s="1"/>
  <c r="R30" i="11"/>
  <c r="Q30" i="13"/>
  <c r="R30" i="13" s="1"/>
  <c r="R17" i="11"/>
  <c r="Q17" i="12"/>
  <c r="R17" i="12" s="1"/>
  <c r="Q17" i="13"/>
  <c r="R17" i="13" s="1"/>
  <c r="O28" i="12"/>
  <c r="O28" i="30" s="1"/>
  <c r="O71" i="30" s="1"/>
  <c r="O28" i="13"/>
  <c r="O40" i="12"/>
  <c r="O40" i="30" s="1"/>
  <c r="O83" i="30" s="1"/>
  <c r="O40" i="13"/>
  <c r="O6" i="12"/>
  <c r="O6" i="30" s="1"/>
  <c r="O49" i="30" s="1"/>
  <c r="O6" i="13"/>
  <c r="L20" i="8"/>
  <c r="L20" i="29" s="1"/>
  <c r="L72" i="29" s="1"/>
  <c r="U29" i="8"/>
  <c r="T29" i="29" s="1"/>
  <c r="T81" i="29" s="1"/>
  <c r="U19" i="8"/>
  <c r="T19" i="29" s="1"/>
  <c r="T71" i="29" s="1"/>
  <c r="U44" i="8"/>
  <c r="T44" i="29" s="1"/>
  <c r="T96" i="29" s="1"/>
  <c r="T54" i="8"/>
  <c r="T54" i="9"/>
  <c r="T54" i="7"/>
  <c r="AD5" i="9"/>
  <c r="AD53" i="9" s="1"/>
  <c r="AC53" i="9"/>
  <c r="AC19" i="8"/>
  <c r="AA19" i="29" s="1"/>
  <c r="AA71" i="29" s="1"/>
  <c r="AC6" i="8"/>
  <c r="AA6" i="29" s="1"/>
  <c r="AA58" i="29" s="1"/>
  <c r="AC35" i="8"/>
  <c r="AA35" i="29" s="1"/>
  <c r="AA87" i="29" s="1"/>
  <c r="AC30" i="8"/>
  <c r="AA30" i="29" s="1"/>
  <c r="AA82" i="29" s="1"/>
  <c r="M27" i="9"/>
  <c r="AC27" i="8"/>
  <c r="AA27" i="29" s="1"/>
  <c r="AA79" i="29" s="1"/>
  <c r="U15" i="8"/>
  <c r="T15" i="29" s="1"/>
  <c r="T67" i="29" s="1"/>
  <c r="AH5" i="8"/>
  <c r="AD5" i="29" s="1"/>
  <c r="AD57" i="29" s="1"/>
  <c r="AH29" i="8"/>
  <c r="AD29" i="29" s="1"/>
  <c r="AD81" i="29" s="1"/>
  <c r="AH23" i="8"/>
  <c r="AD23" i="29" s="1"/>
  <c r="AD75" i="29" s="1"/>
  <c r="M42" i="9"/>
  <c r="L6" i="8"/>
  <c r="L6" i="29" s="1"/>
  <c r="L58" i="29" s="1"/>
  <c r="L23" i="8"/>
  <c r="L23" i="29" s="1"/>
  <c r="L75" i="29" s="1"/>
  <c r="L33" i="8"/>
  <c r="L33" i="29" s="1"/>
  <c r="L85" i="29" s="1"/>
  <c r="O21" i="8"/>
  <c r="O21" i="29" s="1"/>
  <c r="O73" i="29" s="1"/>
  <c r="O41" i="8"/>
  <c r="O41" i="29" s="1"/>
  <c r="O93" i="29" s="1"/>
  <c r="O32" i="8"/>
  <c r="O32" i="29" s="1"/>
  <c r="O84" i="29" s="1"/>
  <c r="O19" i="8"/>
  <c r="O19" i="29" s="1"/>
  <c r="O71" i="29" s="1"/>
  <c r="O38" i="8"/>
  <c r="O38" i="29" s="1"/>
  <c r="O90" i="29" s="1"/>
  <c r="O33" i="8"/>
  <c r="O33" i="29" s="1"/>
  <c r="O85" i="29" s="1"/>
  <c r="O35" i="8"/>
  <c r="O35" i="29" s="1"/>
  <c r="O87" i="29" s="1"/>
  <c r="N26" i="12"/>
  <c r="N26" i="30" s="1"/>
  <c r="N69" i="30" s="1"/>
  <c r="N26" i="13"/>
  <c r="N28" i="12"/>
  <c r="N28" i="30" s="1"/>
  <c r="N71" i="30" s="1"/>
  <c r="N28" i="13"/>
  <c r="N41" i="12"/>
  <c r="N41" i="30" s="1"/>
  <c r="N84" i="30" s="1"/>
  <c r="N41" i="13"/>
  <c r="N22" i="12"/>
  <c r="N22" i="30" s="1"/>
  <c r="N65" i="30" s="1"/>
  <c r="N22" i="13"/>
  <c r="N40" i="12"/>
  <c r="N40" i="30" s="1"/>
  <c r="N83" i="30" s="1"/>
  <c r="N40" i="13"/>
  <c r="N19" i="12"/>
  <c r="N19" i="30" s="1"/>
  <c r="N62" i="30" s="1"/>
  <c r="N19" i="13"/>
  <c r="N36" i="12"/>
  <c r="N36" i="30" s="1"/>
  <c r="N79" i="30" s="1"/>
  <c r="N36" i="13"/>
  <c r="N25" i="12"/>
  <c r="N25" i="30" s="1"/>
  <c r="N68" i="30" s="1"/>
  <c r="N25" i="13"/>
  <c r="N9" i="12"/>
  <c r="N9" i="30" s="1"/>
  <c r="N52" i="30" s="1"/>
  <c r="N9" i="13"/>
  <c r="N10" i="12"/>
  <c r="N10" i="30" s="1"/>
  <c r="N53" i="30" s="1"/>
  <c r="N10" i="13"/>
  <c r="S20" i="12"/>
  <c r="Q20" i="30" s="1"/>
  <c r="Q63" i="30" s="1"/>
  <c r="S20" i="13"/>
  <c r="V31" i="11"/>
  <c r="S31" i="13"/>
  <c r="V31" i="13" s="1"/>
  <c r="S31" i="12"/>
  <c r="V31" i="12" s="1"/>
  <c r="V27" i="11"/>
  <c r="S27" i="12"/>
  <c r="Q27" i="30" s="1"/>
  <c r="Q70" i="30" s="1"/>
  <c r="S27" i="13"/>
  <c r="S25" i="13"/>
  <c r="S25" i="12"/>
  <c r="Q25" i="30" s="1"/>
  <c r="Q68" i="30" s="1"/>
  <c r="V23" i="11"/>
  <c r="S23" i="13"/>
  <c r="V23" i="13" s="1"/>
  <c r="S23" i="12"/>
  <c r="V23" i="12" s="1"/>
  <c r="S21" i="12"/>
  <c r="V21" i="12" s="1"/>
  <c r="S21" i="13"/>
  <c r="V39" i="11"/>
  <c r="S39" i="12"/>
  <c r="Q39" i="30" s="1"/>
  <c r="Q82" i="30" s="1"/>
  <c r="S39" i="13"/>
  <c r="S17" i="12"/>
  <c r="Q17" i="30" s="1"/>
  <c r="Q60" i="30" s="1"/>
  <c r="S17" i="13"/>
  <c r="V17" i="13" s="1"/>
  <c r="V11" i="11"/>
  <c r="S11" i="12"/>
  <c r="V11" i="12" s="1"/>
  <c r="S11" i="13"/>
  <c r="V11" i="13" s="1"/>
  <c r="S16" i="12"/>
  <c r="V16" i="12" s="1"/>
  <c r="S16" i="13"/>
  <c r="U20" i="12"/>
  <c r="S20" i="30" s="1"/>
  <c r="S63" i="30" s="1"/>
  <c r="U20" i="13"/>
  <c r="U28" i="12"/>
  <c r="S28" i="30" s="1"/>
  <c r="S71" i="30" s="1"/>
  <c r="U28" i="13"/>
  <c r="U30" i="12"/>
  <c r="S30" i="30" s="1"/>
  <c r="S73" i="30" s="1"/>
  <c r="U30" i="13"/>
  <c r="U24" i="12"/>
  <c r="S24" i="30" s="1"/>
  <c r="S67" i="30" s="1"/>
  <c r="U24" i="13"/>
  <c r="U18" i="12"/>
  <c r="S18" i="30" s="1"/>
  <c r="S61" i="30" s="1"/>
  <c r="U18" i="13"/>
  <c r="U38" i="12"/>
  <c r="S38" i="30" s="1"/>
  <c r="S81" i="30" s="1"/>
  <c r="U38" i="13"/>
  <c r="U40" i="12"/>
  <c r="S40" i="30" s="1"/>
  <c r="S83" i="30" s="1"/>
  <c r="U40" i="13"/>
  <c r="U7" i="12"/>
  <c r="S7" i="30" s="1"/>
  <c r="S50" i="30" s="1"/>
  <c r="U7" i="13"/>
  <c r="V5" i="11"/>
  <c r="U5" i="12"/>
  <c r="S5" i="30" s="1"/>
  <c r="S48" i="30" s="1"/>
  <c r="U5" i="13"/>
  <c r="U44" i="11"/>
  <c r="V5" i="9"/>
  <c r="V53" i="7"/>
  <c r="V58" i="7" s="1"/>
  <c r="V45" i="8" s="1"/>
  <c r="U45" i="29" s="1"/>
  <c r="U97" i="29" s="1"/>
  <c r="V39" i="9"/>
  <c r="V49" i="9"/>
  <c r="V20" i="9"/>
  <c r="V33" i="9"/>
  <c r="V22" i="9"/>
  <c r="V36" i="9"/>
  <c r="V44" i="9"/>
  <c r="V18" i="9"/>
  <c r="V41" i="9"/>
  <c r="V16" i="9"/>
  <c r="V30" i="9"/>
  <c r="U41" i="8"/>
  <c r="T41" i="29" s="1"/>
  <c r="T93" i="29" s="1"/>
  <c r="AH33" i="8"/>
  <c r="AD33" i="29" s="1"/>
  <c r="AD85" i="29" s="1"/>
  <c r="AH6" i="8"/>
  <c r="AD6" i="29" s="1"/>
  <c r="AD58" i="29" s="1"/>
  <c r="M34" i="12"/>
  <c r="M34" i="30" s="1"/>
  <c r="M77" i="30" s="1"/>
  <c r="M34" i="13"/>
  <c r="M21" i="12"/>
  <c r="M21" i="30" s="1"/>
  <c r="M64" i="30" s="1"/>
  <c r="M21" i="13"/>
  <c r="M30" i="12"/>
  <c r="M30" i="30" s="1"/>
  <c r="M73" i="30" s="1"/>
  <c r="M30" i="13"/>
  <c r="M37" i="12"/>
  <c r="M37" i="30" s="1"/>
  <c r="M80" i="30" s="1"/>
  <c r="M37" i="13"/>
  <c r="M19" i="12"/>
  <c r="M19" i="30" s="1"/>
  <c r="M62" i="30" s="1"/>
  <c r="M19" i="13"/>
  <c r="M35" i="12"/>
  <c r="M35" i="30" s="1"/>
  <c r="M78" i="30" s="1"/>
  <c r="M35" i="13"/>
  <c r="M22" i="12"/>
  <c r="M22" i="30" s="1"/>
  <c r="M65" i="30" s="1"/>
  <c r="M22" i="13"/>
  <c r="M5" i="12"/>
  <c r="M5" i="30" s="1"/>
  <c r="M48" i="30" s="1"/>
  <c r="M44" i="11"/>
  <c r="M5" i="13"/>
  <c r="M11" i="12"/>
  <c r="M11" i="30" s="1"/>
  <c r="M54" i="30" s="1"/>
  <c r="M11" i="13"/>
  <c r="M16" i="12"/>
  <c r="M16" i="30" s="1"/>
  <c r="M59" i="30" s="1"/>
  <c r="M16" i="13"/>
  <c r="AC51" i="8"/>
  <c r="AA51" i="29" s="1"/>
  <c r="AA103" i="29" s="1"/>
  <c r="AC16" i="8"/>
  <c r="AA16" i="29" s="1"/>
  <c r="AA68" i="29" s="1"/>
  <c r="AC25" i="8"/>
  <c r="AA25" i="29" s="1"/>
  <c r="AA77" i="29" s="1"/>
  <c r="AC28" i="8"/>
  <c r="AA28" i="29" s="1"/>
  <c r="AA80" i="29" s="1"/>
  <c r="M30" i="9"/>
  <c r="U26" i="8"/>
  <c r="T26" i="29" s="1"/>
  <c r="T78" i="29" s="1"/>
  <c r="U20" i="8"/>
  <c r="T20" i="29" s="1"/>
  <c r="T72" i="29" s="1"/>
  <c r="AB34" i="7"/>
  <c r="U17" i="8"/>
  <c r="T17" i="29" s="1"/>
  <c r="T69" i="29" s="1"/>
  <c r="M41" i="9"/>
  <c r="M18" i="9"/>
  <c r="X10" i="8"/>
  <c r="W10" i="29" s="1"/>
  <c r="W62" i="29" s="1"/>
  <c r="M25" i="9"/>
  <c r="O8" i="8"/>
  <c r="O8" i="29" s="1"/>
  <c r="O60" i="29" s="1"/>
  <c r="O40" i="8"/>
  <c r="O40" i="29" s="1"/>
  <c r="O92" i="29" s="1"/>
  <c r="O48" i="8"/>
  <c r="O48" i="29" s="1"/>
  <c r="O100" i="29" s="1"/>
  <c r="O7" i="8"/>
  <c r="O7" i="29" s="1"/>
  <c r="O59" i="29" s="1"/>
  <c r="O29" i="8"/>
  <c r="O29" i="29" s="1"/>
  <c r="O81" i="29" s="1"/>
  <c r="S58" i="7"/>
  <c r="R58" i="7"/>
  <c r="Z15" i="11"/>
  <c r="Y15" i="12"/>
  <c r="Z15" i="12" s="1"/>
  <c r="Y15" i="13"/>
  <c r="Z15" i="13" s="1"/>
  <c r="Z34" i="11"/>
  <c r="Y34" i="12"/>
  <c r="Z34" i="12" s="1"/>
  <c r="Y34" i="13"/>
  <c r="Z34" i="13" s="1"/>
  <c r="Z19" i="11"/>
  <c r="Y19" i="12"/>
  <c r="Z19" i="12" s="1"/>
  <c r="Y19" i="13"/>
  <c r="Z19" i="13" s="1"/>
  <c r="Y33" i="12"/>
  <c r="Z33" i="12" s="1"/>
  <c r="Z33" i="11"/>
  <c r="Y33" i="13"/>
  <c r="Z33" i="13" s="1"/>
  <c r="Y13" i="12"/>
  <c r="Z13" i="12" s="1"/>
  <c r="Z13" i="11"/>
  <c r="Y13" i="13"/>
  <c r="Z13" i="13" s="1"/>
  <c r="Y29" i="12"/>
  <c r="Z29" i="12" s="1"/>
  <c r="Z29" i="11"/>
  <c r="Y29" i="13"/>
  <c r="Z29" i="13" s="1"/>
  <c r="Y18" i="12"/>
  <c r="Z18" i="12" s="1"/>
  <c r="Z18" i="11"/>
  <c r="Y18" i="13"/>
  <c r="Z18" i="13" s="1"/>
  <c r="Z10" i="11"/>
  <c r="Y10" i="12"/>
  <c r="Z10" i="12" s="1"/>
  <c r="Y10" i="13"/>
  <c r="Z10" i="13" s="1"/>
  <c r="Z11" i="11"/>
  <c r="Y11" i="12"/>
  <c r="Z11" i="12" s="1"/>
  <c r="Y11" i="13"/>
  <c r="Z11" i="13" s="1"/>
  <c r="M23" i="9"/>
  <c r="V40" i="11"/>
  <c r="X23" i="8"/>
  <c r="W23" i="29" s="1"/>
  <c r="W75" i="29" s="1"/>
  <c r="L27" i="8"/>
  <c r="L27" i="29" s="1"/>
  <c r="L79" i="29" s="1"/>
  <c r="L28" i="8"/>
  <c r="L28" i="29" s="1"/>
  <c r="L80" i="29" s="1"/>
  <c r="L9" i="8"/>
  <c r="L9" i="29" s="1"/>
  <c r="L61" i="29" s="1"/>
  <c r="O17" i="8"/>
  <c r="O17" i="29" s="1"/>
  <c r="O69" i="29" s="1"/>
  <c r="O45" i="8"/>
  <c r="O45" i="29" s="1"/>
  <c r="O97" i="29" s="1"/>
  <c r="M11" i="9"/>
  <c r="M53" i="7"/>
  <c r="M58" i="7" s="1"/>
  <c r="M32" i="8" s="1"/>
  <c r="M32" i="29" s="1"/>
  <c r="M84" i="29" s="1"/>
  <c r="M5" i="9"/>
  <c r="AC13" i="8"/>
  <c r="AA13" i="29" s="1"/>
  <c r="AA65" i="29" s="1"/>
  <c r="AC48" i="8"/>
  <c r="AA48" i="29" s="1"/>
  <c r="AA100" i="29" s="1"/>
  <c r="U51" i="8"/>
  <c r="T51" i="29" s="1"/>
  <c r="T103" i="29" s="1"/>
  <c r="AB35" i="7"/>
  <c r="U21" i="8"/>
  <c r="T21" i="29" s="1"/>
  <c r="T73" i="29" s="1"/>
  <c r="AB5" i="7"/>
  <c r="T44" i="12"/>
  <c r="V24" i="11"/>
  <c r="X12" i="8"/>
  <c r="W12" i="29" s="1"/>
  <c r="W64" i="29" s="1"/>
  <c r="M28" i="9"/>
  <c r="AH25" i="8"/>
  <c r="AD25" i="29" s="1"/>
  <c r="AD77" i="29" s="1"/>
  <c r="AH13" i="8"/>
  <c r="AD13" i="29" s="1"/>
  <c r="AD65" i="29" s="1"/>
  <c r="AH10" i="8"/>
  <c r="AD10" i="29" s="1"/>
  <c r="AD62" i="29" s="1"/>
  <c r="AH35" i="8"/>
  <c r="AD35" i="29" s="1"/>
  <c r="AD87" i="29" s="1"/>
  <c r="AH28" i="8"/>
  <c r="AD28" i="29" s="1"/>
  <c r="AD80" i="29" s="1"/>
  <c r="P53" i="9"/>
  <c r="AC41" i="8"/>
  <c r="AA41" i="29" s="1"/>
  <c r="AA93" i="29" s="1"/>
  <c r="R37" i="11"/>
  <c r="Q37" i="12"/>
  <c r="R37" i="12" s="1"/>
  <c r="Q37" i="13"/>
  <c r="R37" i="13" s="1"/>
  <c r="R23" i="11"/>
  <c r="Q23" i="12"/>
  <c r="R23" i="12" s="1"/>
  <c r="Q23" i="13"/>
  <c r="R23" i="13" s="1"/>
  <c r="Q42" i="12"/>
  <c r="R42" i="12" s="1"/>
  <c r="R42" i="11"/>
  <c r="Q42" i="13"/>
  <c r="R42" i="13" s="1"/>
  <c r="R35" i="11"/>
  <c r="Q35" i="12"/>
  <c r="R35" i="12" s="1"/>
  <c r="Q35" i="13"/>
  <c r="R35" i="13" s="1"/>
  <c r="R32" i="11"/>
  <c r="Q32" i="12"/>
  <c r="R32" i="12" s="1"/>
  <c r="Q32" i="13"/>
  <c r="R32" i="13" s="1"/>
  <c r="R41" i="11"/>
  <c r="Q41" i="12"/>
  <c r="R41" i="12" s="1"/>
  <c r="Q41" i="13"/>
  <c r="R41" i="13" s="1"/>
  <c r="Q18" i="12"/>
  <c r="R18" i="12" s="1"/>
  <c r="R18" i="11"/>
  <c r="Q18" i="13"/>
  <c r="R18" i="13" s="1"/>
  <c r="R24" i="11"/>
  <c r="Q24" i="12"/>
  <c r="R24" i="12" s="1"/>
  <c r="Q24" i="13"/>
  <c r="R24" i="13" s="1"/>
  <c r="R11" i="11"/>
  <c r="Q11" i="12"/>
  <c r="R11" i="12" s="1"/>
  <c r="Q11" i="13"/>
  <c r="R11" i="13" s="1"/>
  <c r="R16" i="11"/>
  <c r="Q16" i="12"/>
  <c r="R16" i="12" s="1"/>
  <c r="Q16" i="13"/>
  <c r="R16" i="13" s="1"/>
  <c r="O19" i="12"/>
  <c r="O19" i="30" s="1"/>
  <c r="O62" i="30" s="1"/>
  <c r="O19" i="13"/>
  <c r="O17" i="12"/>
  <c r="O17" i="30" s="1"/>
  <c r="O60" i="30" s="1"/>
  <c r="O17" i="13"/>
  <c r="O22" i="12"/>
  <c r="O22" i="30" s="1"/>
  <c r="O65" i="30" s="1"/>
  <c r="O22" i="13"/>
  <c r="O36" i="12"/>
  <c r="O36" i="30" s="1"/>
  <c r="O79" i="30" s="1"/>
  <c r="O36" i="13"/>
  <c r="O38" i="12"/>
  <c r="O38" i="30" s="1"/>
  <c r="O81" i="30" s="1"/>
  <c r="O38" i="13"/>
  <c r="O14" i="12"/>
  <c r="O14" i="30" s="1"/>
  <c r="O57" i="30" s="1"/>
  <c r="O14" i="13"/>
  <c r="O37" i="12"/>
  <c r="O37" i="30" s="1"/>
  <c r="O80" i="30" s="1"/>
  <c r="O37" i="13"/>
  <c r="O10" i="12"/>
  <c r="O10" i="30" s="1"/>
  <c r="O53" i="30" s="1"/>
  <c r="O10" i="13"/>
  <c r="O9" i="12"/>
  <c r="O9" i="30" s="1"/>
  <c r="O52" i="30" s="1"/>
  <c r="O9" i="13"/>
  <c r="U49" i="8"/>
  <c r="T49" i="29" s="1"/>
  <c r="T101" i="29" s="1"/>
  <c r="U18" i="8"/>
  <c r="T18" i="29" s="1"/>
  <c r="T70" i="29" s="1"/>
  <c r="U25" i="8"/>
  <c r="T25" i="29" s="1"/>
  <c r="T77" i="29" s="1"/>
  <c r="W32" i="8"/>
  <c r="V32" i="29" s="1"/>
  <c r="V84" i="29" s="1"/>
  <c r="X29" i="8"/>
  <c r="W29" i="29" s="1"/>
  <c r="W81" i="29" s="1"/>
  <c r="X53" i="9"/>
  <c r="AD5" i="8"/>
  <c r="L5" i="11"/>
  <c r="L16" i="11"/>
  <c r="L9" i="11"/>
  <c r="L7" i="11"/>
  <c r="L6" i="11"/>
  <c r="L11" i="11"/>
  <c r="L10" i="11"/>
  <c r="L8" i="11"/>
  <c r="L17" i="11"/>
  <c r="L30" i="11"/>
  <c r="L15" i="11"/>
  <c r="L14" i="11"/>
  <c r="L31" i="11"/>
  <c r="L35" i="11"/>
  <c r="L24" i="11"/>
  <c r="L20" i="11"/>
  <c r="L21" i="11"/>
  <c r="L41" i="11"/>
  <c r="L22" i="11"/>
  <c r="L42" i="11"/>
  <c r="L13" i="11"/>
  <c r="L19" i="11"/>
  <c r="L39" i="11"/>
  <c r="L40" i="11"/>
  <c r="L28" i="11"/>
  <c r="L25" i="11"/>
  <c r="L26" i="11"/>
  <c r="L12" i="11"/>
  <c r="L18" i="11"/>
  <c r="L23" i="11"/>
  <c r="L32" i="11"/>
  <c r="L29" i="11"/>
  <c r="L34" i="11"/>
  <c r="L27" i="11"/>
  <c r="L33" i="11"/>
  <c r="L38" i="11"/>
  <c r="L37" i="11"/>
  <c r="L36" i="11"/>
  <c r="M49" i="8"/>
  <c r="M49" i="29" s="1"/>
  <c r="M101" i="29" s="1"/>
  <c r="M49" i="9"/>
  <c r="AH30" i="8"/>
  <c r="AD30" i="29" s="1"/>
  <c r="AD82" i="29" s="1"/>
  <c r="AH22" i="8"/>
  <c r="AD22" i="29" s="1"/>
  <c r="AD74" i="29" s="1"/>
  <c r="L38" i="8"/>
  <c r="L38" i="29" s="1"/>
  <c r="L90" i="29" s="1"/>
  <c r="L44" i="8"/>
  <c r="L44" i="29" s="1"/>
  <c r="L96" i="29" s="1"/>
  <c r="L18" i="8"/>
  <c r="L18" i="29" s="1"/>
  <c r="L70" i="29" s="1"/>
  <c r="N23" i="12"/>
  <c r="N23" i="30" s="1"/>
  <c r="N66" i="30" s="1"/>
  <c r="N23" i="13"/>
  <c r="N32" i="12"/>
  <c r="N32" i="30" s="1"/>
  <c r="N75" i="30" s="1"/>
  <c r="N32" i="13"/>
  <c r="N35" i="12"/>
  <c r="N35" i="30" s="1"/>
  <c r="N78" i="30" s="1"/>
  <c r="N35" i="13"/>
  <c r="N5" i="12"/>
  <c r="N5" i="30" s="1"/>
  <c r="N48" i="30" s="1"/>
  <c r="N44" i="11"/>
  <c r="N5" i="13"/>
  <c r="S42" i="12"/>
  <c r="Q42" i="30" s="1"/>
  <c r="Q85" i="30" s="1"/>
  <c r="V42" i="11"/>
  <c r="S42" i="13"/>
  <c r="V42" i="13" s="1"/>
  <c r="V19" i="11"/>
  <c r="S19" i="12"/>
  <c r="Q19" i="30" s="1"/>
  <c r="Q62" i="30" s="1"/>
  <c r="S19" i="13"/>
  <c r="V19" i="13" s="1"/>
  <c r="S13" i="12"/>
  <c r="Q13" i="30" s="1"/>
  <c r="Q56" i="30" s="1"/>
  <c r="S13" i="13"/>
  <c r="S9" i="12"/>
  <c r="Q9" i="30" s="1"/>
  <c r="Q52" i="30" s="1"/>
  <c r="S9" i="13"/>
  <c r="U27" i="12"/>
  <c r="S27" i="30" s="1"/>
  <c r="S70" i="30" s="1"/>
  <c r="U27" i="13"/>
  <c r="U42" i="12"/>
  <c r="S42" i="30" s="1"/>
  <c r="S85" i="30" s="1"/>
  <c r="U42" i="13"/>
  <c r="V25" i="11"/>
  <c r="U25" i="12"/>
  <c r="S25" i="30" s="1"/>
  <c r="S68" i="30" s="1"/>
  <c r="U25" i="13"/>
  <c r="V25" i="13" s="1"/>
  <c r="U10" i="12"/>
  <c r="S10" i="30" s="1"/>
  <c r="S53" i="30" s="1"/>
  <c r="U10" i="13"/>
  <c r="V12" i="8"/>
  <c r="U12" i="29" s="1"/>
  <c r="U64" i="29" s="1"/>
  <c r="V12" i="9"/>
  <c r="V11" i="9"/>
  <c r="V48" i="8"/>
  <c r="U48" i="29" s="1"/>
  <c r="U100" i="29" s="1"/>
  <c r="V48" i="9"/>
  <c r="V24" i="9"/>
  <c r="M46" i="8"/>
  <c r="M46" i="29" s="1"/>
  <c r="M98" i="29" s="1"/>
  <c r="M46" i="9"/>
  <c r="M41" i="12"/>
  <c r="M41" i="30" s="1"/>
  <c r="M84" i="30" s="1"/>
  <c r="M41" i="13"/>
  <c r="M20" i="12"/>
  <c r="M20" i="30" s="1"/>
  <c r="M63" i="30" s="1"/>
  <c r="M20" i="13"/>
  <c r="M28" i="12"/>
  <c r="M28" i="30" s="1"/>
  <c r="M71" i="30" s="1"/>
  <c r="M28" i="13"/>
  <c r="AB28" i="7"/>
  <c r="AB21" i="7"/>
  <c r="M12" i="8"/>
  <c r="M12" i="29" s="1"/>
  <c r="M64" i="29" s="1"/>
  <c r="M12" i="9"/>
  <c r="Z35" i="11"/>
  <c r="Y35" i="12"/>
  <c r="Z35" i="12" s="1"/>
  <c r="Y35" i="13"/>
  <c r="Z35" i="13" s="1"/>
  <c r="Z31" i="11"/>
  <c r="Y31" i="12"/>
  <c r="Z31" i="12" s="1"/>
  <c r="Y31" i="13"/>
  <c r="Z31" i="13" s="1"/>
  <c r="Z27" i="11"/>
  <c r="Y27" i="12"/>
  <c r="Z27" i="12" s="1"/>
  <c r="Y27" i="13"/>
  <c r="Z27" i="13" s="1"/>
  <c r="Y9" i="12"/>
  <c r="Z9" i="12" s="1"/>
  <c r="Z9" i="11"/>
  <c r="Y9" i="13"/>
  <c r="Z9" i="13" s="1"/>
  <c r="L10" i="8"/>
  <c r="L10" i="29" s="1"/>
  <c r="L62" i="29" s="1"/>
  <c r="L36" i="8"/>
  <c r="L36" i="29" s="1"/>
  <c r="L88" i="29" s="1"/>
  <c r="M10" i="8"/>
  <c r="M10" i="29" s="1"/>
  <c r="M62" i="29" s="1"/>
  <c r="M10" i="9"/>
  <c r="U35" i="8"/>
  <c r="T35" i="29" s="1"/>
  <c r="T87" i="29" s="1"/>
  <c r="U27" i="8"/>
  <c r="T27" i="29" s="1"/>
  <c r="T79" i="29" s="1"/>
  <c r="U40" i="8"/>
  <c r="T40" i="29" s="1"/>
  <c r="T92" i="29" s="1"/>
  <c r="T44" i="13"/>
  <c r="AH7" i="8"/>
  <c r="AD7" i="29" s="1"/>
  <c r="AD59" i="29" s="1"/>
  <c r="AH45" i="8"/>
  <c r="AD45" i="29" s="1"/>
  <c r="AD97" i="29" s="1"/>
  <c r="M29" i="8"/>
  <c r="M29" i="29" s="1"/>
  <c r="M81" i="29" s="1"/>
  <c r="M29" i="9"/>
  <c r="R39" i="11"/>
  <c r="Q39" i="12"/>
  <c r="R39" i="12" s="1"/>
  <c r="Q39" i="13"/>
  <c r="R39" i="13" s="1"/>
  <c r="Q38" i="12"/>
  <c r="R38" i="12" s="1"/>
  <c r="R38" i="11"/>
  <c r="Q38" i="13"/>
  <c r="R38" i="13" s="1"/>
  <c r="R33" i="11"/>
  <c r="Q33" i="12"/>
  <c r="R33" i="12" s="1"/>
  <c r="Q33" i="13"/>
  <c r="R33" i="13" s="1"/>
  <c r="O35" i="12"/>
  <c r="O35" i="30" s="1"/>
  <c r="O78" i="30" s="1"/>
  <c r="O35" i="13"/>
  <c r="O23" i="12"/>
  <c r="O23" i="30" s="1"/>
  <c r="O66" i="30" s="1"/>
  <c r="O23" i="13"/>
  <c r="U10" i="8"/>
  <c r="T10" i="29" s="1"/>
  <c r="T62" i="29" s="1"/>
  <c r="M7" i="8"/>
  <c r="M7" i="29" s="1"/>
  <c r="M59" i="29" s="1"/>
  <c r="M7" i="9"/>
  <c r="U36" i="8"/>
  <c r="T36" i="29" s="1"/>
  <c r="T88" i="29" s="1"/>
  <c r="F34" i="5"/>
  <c r="L47" i="13"/>
  <c r="L47" i="12"/>
  <c r="L47" i="11"/>
  <c r="L47" i="10"/>
  <c r="N56" i="9"/>
  <c r="N56" i="8"/>
  <c r="N56" i="7"/>
  <c r="AD53" i="7"/>
  <c r="U39" i="8"/>
  <c r="T39" i="29" s="1"/>
  <c r="T91" i="29" s="1"/>
  <c r="U13" i="8"/>
  <c r="T13" i="29" s="1"/>
  <c r="T65" i="29" s="1"/>
  <c r="U6" i="8"/>
  <c r="T6" i="29" s="1"/>
  <c r="T58" i="29" s="1"/>
  <c r="U32" i="8"/>
  <c r="T32" i="29" s="1"/>
  <c r="T84" i="29" s="1"/>
  <c r="W53" i="9"/>
  <c r="V8" i="11"/>
  <c r="M44" i="8"/>
  <c r="M44" i="29" s="1"/>
  <c r="M96" i="29" s="1"/>
  <c r="M44" i="9"/>
  <c r="AH24" i="8"/>
  <c r="AD24" i="29" s="1"/>
  <c r="AD76" i="29" s="1"/>
  <c r="AH18" i="8"/>
  <c r="AD18" i="29" s="1"/>
  <c r="AD70" i="29" s="1"/>
  <c r="M31" i="8"/>
  <c r="M31" i="29" s="1"/>
  <c r="M83" i="29" s="1"/>
  <c r="M31" i="9"/>
  <c r="L53" i="9"/>
  <c r="L46" i="8"/>
  <c r="L46" i="29" s="1"/>
  <c r="L98" i="29" s="1"/>
  <c r="L12" i="8"/>
  <c r="L12" i="29" s="1"/>
  <c r="L64" i="29" s="1"/>
  <c r="O12" i="8"/>
  <c r="O12" i="29" s="1"/>
  <c r="O64" i="29" s="1"/>
  <c r="O53" i="9"/>
  <c r="M45" i="8"/>
  <c r="M45" i="29" s="1"/>
  <c r="M97" i="29" s="1"/>
  <c r="M45" i="9"/>
  <c r="N31" i="12"/>
  <c r="N31" i="30" s="1"/>
  <c r="N74" i="30" s="1"/>
  <c r="N31" i="13"/>
  <c r="N29" i="12"/>
  <c r="N29" i="30" s="1"/>
  <c r="N72" i="30" s="1"/>
  <c r="N29" i="13"/>
  <c r="N21" i="12"/>
  <c r="N21" i="30" s="1"/>
  <c r="N64" i="30" s="1"/>
  <c r="N21" i="13"/>
  <c r="N12" i="12"/>
  <c r="N12" i="30" s="1"/>
  <c r="N55" i="30" s="1"/>
  <c r="N12" i="13"/>
  <c r="N20" i="12"/>
  <c r="N20" i="30" s="1"/>
  <c r="N63" i="30" s="1"/>
  <c r="N20" i="13"/>
  <c r="N13" i="12"/>
  <c r="N13" i="30" s="1"/>
  <c r="N56" i="30" s="1"/>
  <c r="N13" i="13"/>
  <c r="N15" i="12"/>
  <c r="N15" i="30" s="1"/>
  <c r="N58" i="30" s="1"/>
  <c r="N15" i="13"/>
  <c r="N7" i="12"/>
  <c r="N7" i="30" s="1"/>
  <c r="N50" i="30" s="1"/>
  <c r="N7" i="13"/>
  <c r="N16" i="12"/>
  <c r="N16" i="30" s="1"/>
  <c r="N59" i="30" s="1"/>
  <c r="N16" i="13"/>
  <c r="N11" i="12"/>
  <c r="N11" i="30" s="1"/>
  <c r="N54" i="30" s="1"/>
  <c r="N11" i="13"/>
  <c r="S34" i="12"/>
  <c r="Q34" i="30" s="1"/>
  <c r="Q77" i="30" s="1"/>
  <c r="V34" i="11"/>
  <c r="S34" i="13"/>
  <c r="S29" i="13"/>
  <c r="S29" i="12"/>
  <c r="Q29" i="30" s="1"/>
  <c r="Q72" i="30" s="1"/>
  <c r="S30" i="12"/>
  <c r="V30" i="12" s="1"/>
  <c r="V30" i="11"/>
  <c r="S30" i="13"/>
  <c r="V30" i="13" s="1"/>
  <c r="V15" i="11"/>
  <c r="S15" i="12"/>
  <c r="V15" i="12" s="1"/>
  <c r="S15" i="13"/>
  <c r="V15" i="13" s="1"/>
  <c r="S26" i="12"/>
  <c r="V26" i="12" s="1"/>
  <c r="V26" i="11"/>
  <c r="S26" i="13"/>
  <c r="S12" i="12"/>
  <c r="V12" i="12" s="1"/>
  <c r="S12" i="13"/>
  <c r="V12" i="13" s="1"/>
  <c r="S18" i="12"/>
  <c r="V18" i="12" s="1"/>
  <c r="V18" i="11"/>
  <c r="S18" i="13"/>
  <c r="S5" i="13"/>
  <c r="S5" i="12"/>
  <c r="Q5" i="30" s="1"/>
  <c r="Q48" i="30" s="1"/>
  <c r="S44" i="11"/>
  <c r="V7" i="11"/>
  <c r="S7" i="13"/>
  <c r="V7" i="13" s="1"/>
  <c r="S7" i="12"/>
  <c r="V7" i="12" s="1"/>
  <c r="U34" i="12"/>
  <c r="S34" i="30" s="1"/>
  <c r="S77" i="30" s="1"/>
  <c r="U34" i="13"/>
  <c r="U32" i="12"/>
  <c r="S32" i="30" s="1"/>
  <c r="S75" i="30" s="1"/>
  <c r="U32" i="13"/>
  <c r="U39" i="12"/>
  <c r="S39" i="30" s="1"/>
  <c r="S82" i="30" s="1"/>
  <c r="U39" i="13"/>
  <c r="V33" i="11"/>
  <c r="U33" i="12"/>
  <c r="S33" i="30" s="1"/>
  <c r="S76" i="30" s="1"/>
  <c r="U33" i="13"/>
  <c r="U35" i="12"/>
  <c r="S35" i="30" s="1"/>
  <c r="S78" i="30" s="1"/>
  <c r="U35" i="13"/>
  <c r="V29" i="11"/>
  <c r="U29" i="12"/>
  <c r="S29" i="30" s="1"/>
  <c r="S72" i="30" s="1"/>
  <c r="U29" i="13"/>
  <c r="V41" i="11"/>
  <c r="U41" i="12"/>
  <c r="S41" i="30" s="1"/>
  <c r="S84" i="30" s="1"/>
  <c r="U41" i="13"/>
  <c r="V13" i="11"/>
  <c r="U13" i="12"/>
  <c r="S13" i="30" s="1"/>
  <c r="S56" i="30" s="1"/>
  <c r="U13" i="13"/>
  <c r="V9" i="11"/>
  <c r="U9" i="12"/>
  <c r="S9" i="30" s="1"/>
  <c r="S52" i="30" s="1"/>
  <c r="U9" i="13"/>
  <c r="U6" i="12"/>
  <c r="S6" i="30" s="1"/>
  <c r="S49" i="30" s="1"/>
  <c r="U6" i="13"/>
  <c r="V6" i="13" s="1"/>
  <c r="Y5" i="9"/>
  <c r="V9" i="9"/>
  <c r="V43" i="9"/>
  <c r="V8" i="9"/>
  <c r="V23" i="9"/>
  <c r="V7" i="9"/>
  <c r="V25" i="9"/>
  <c r="V38" i="9"/>
  <c r="V46" i="9"/>
  <c r="V26" i="9"/>
  <c r="V6" i="9"/>
  <c r="V19" i="9"/>
  <c r="V50" i="9"/>
  <c r="AC24" i="8"/>
  <c r="AA24" i="29" s="1"/>
  <c r="AA76" i="29" s="1"/>
  <c r="AB41" i="7"/>
  <c r="U46" i="8"/>
  <c r="T46" i="29" s="1"/>
  <c r="T98" i="29" s="1"/>
  <c r="M20" i="8"/>
  <c r="M20" i="29" s="1"/>
  <c r="M72" i="29" s="1"/>
  <c r="M20" i="9"/>
  <c r="M32" i="12"/>
  <c r="M32" i="30" s="1"/>
  <c r="M75" i="30" s="1"/>
  <c r="M32" i="13"/>
  <c r="M38" i="12"/>
  <c r="M38" i="30" s="1"/>
  <c r="M81" i="30" s="1"/>
  <c r="M38" i="13"/>
  <c r="M13" i="12"/>
  <c r="M13" i="30" s="1"/>
  <c r="M56" i="30" s="1"/>
  <c r="M13" i="13"/>
  <c r="M40" i="12"/>
  <c r="M40" i="30" s="1"/>
  <c r="M83" i="30" s="1"/>
  <c r="M40" i="13"/>
  <c r="M26" i="12"/>
  <c r="M26" i="30" s="1"/>
  <c r="M69" i="30" s="1"/>
  <c r="M26" i="13"/>
  <c r="M36" i="12"/>
  <c r="M36" i="30" s="1"/>
  <c r="M79" i="30" s="1"/>
  <c r="M36" i="13"/>
  <c r="M25" i="12"/>
  <c r="M25" i="30" s="1"/>
  <c r="M68" i="30" s="1"/>
  <c r="M25" i="13"/>
  <c r="M18" i="12"/>
  <c r="M18" i="30" s="1"/>
  <c r="M61" i="30" s="1"/>
  <c r="M18" i="13"/>
  <c r="M6" i="12"/>
  <c r="M6" i="30" s="1"/>
  <c r="M49" i="30" s="1"/>
  <c r="M6" i="13"/>
  <c r="AC18" i="8"/>
  <c r="AA18" i="29" s="1"/>
  <c r="AA70" i="29" s="1"/>
  <c r="AC42" i="8"/>
  <c r="AA42" i="29" s="1"/>
  <c r="AA94" i="29" s="1"/>
  <c r="AC43" i="8"/>
  <c r="AA43" i="29" s="1"/>
  <c r="AA95" i="29" s="1"/>
  <c r="U45" i="8"/>
  <c r="T45" i="29" s="1"/>
  <c r="T97" i="29" s="1"/>
  <c r="U37" i="8"/>
  <c r="T37" i="29" s="1"/>
  <c r="T89" i="29" s="1"/>
  <c r="U16" i="8"/>
  <c r="T16" i="29" s="1"/>
  <c r="T68" i="29" s="1"/>
  <c r="M14" i="8"/>
  <c r="M14" i="29" s="1"/>
  <c r="M66" i="29" s="1"/>
  <c r="M14" i="9"/>
  <c r="V28" i="11"/>
  <c r="X15" i="8"/>
  <c r="W15" i="29" s="1"/>
  <c r="W67" i="29" s="1"/>
  <c r="X43" i="8"/>
  <c r="W43" i="29" s="1"/>
  <c r="W95" i="29" s="1"/>
  <c r="X21" i="8"/>
  <c r="W21" i="29" s="1"/>
  <c r="W73" i="29" s="1"/>
  <c r="X5" i="8"/>
  <c r="W5" i="29" s="1"/>
  <c r="W57" i="29" s="1"/>
  <c r="X17" i="8"/>
  <c r="W17" i="29" s="1"/>
  <c r="W69" i="29" s="1"/>
  <c r="AH11" i="8"/>
  <c r="AD11" i="29" s="1"/>
  <c r="AD63" i="29" s="1"/>
  <c r="AH12" i="8"/>
  <c r="AD12" i="29" s="1"/>
  <c r="AD64" i="29" s="1"/>
  <c r="AH49" i="8"/>
  <c r="AD49" i="29" s="1"/>
  <c r="AD101" i="29" s="1"/>
  <c r="AH38" i="8"/>
  <c r="AD38" i="29" s="1"/>
  <c r="AD90" i="29" s="1"/>
  <c r="AH40" i="8"/>
  <c r="AD40" i="29" s="1"/>
  <c r="AD92" i="29" s="1"/>
  <c r="M34" i="8"/>
  <c r="M34" i="29" s="1"/>
  <c r="M86" i="29" s="1"/>
  <c r="M34" i="9"/>
  <c r="L39" i="8"/>
  <c r="L39" i="29" s="1"/>
  <c r="L91" i="29" s="1"/>
  <c r="L15" i="8"/>
  <c r="L15" i="29" s="1"/>
  <c r="L67" i="29" s="1"/>
  <c r="L29" i="8"/>
  <c r="L29" i="29" s="1"/>
  <c r="L81" i="29" s="1"/>
  <c r="L34" i="8"/>
  <c r="L34" i="29" s="1"/>
  <c r="L86" i="29" s="1"/>
  <c r="L40" i="8"/>
  <c r="L40" i="29" s="1"/>
  <c r="L92" i="29" s="1"/>
  <c r="O24" i="8"/>
  <c r="O24" i="29" s="1"/>
  <c r="O76" i="29" s="1"/>
  <c r="R53" i="9"/>
  <c r="Z23" i="11"/>
  <c r="Y23" i="12"/>
  <c r="Z23" i="12" s="1"/>
  <c r="Y23" i="13"/>
  <c r="Z23" i="13" s="1"/>
  <c r="Z40" i="11"/>
  <c r="Y40" i="12"/>
  <c r="Z40" i="12" s="1"/>
  <c r="Y40" i="13"/>
  <c r="Z40" i="13" s="1"/>
  <c r="Z26" i="11"/>
  <c r="Y26" i="12"/>
  <c r="Z26" i="12" s="1"/>
  <c r="Y26" i="13"/>
  <c r="Z26" i="13" s="1"/>
  <c r="Z36" i="11"/>
  <c r="Y36" i="12"/>
  <c r="Z36" i="12" s="1"/>
  <c r="Y36" i="13"/>
  <c r="Z36" i="13" s="1"/>
  <c r="Y37" i="12"/>
  <c r="Z37" i="12" s="1"/>
  <c r="Z37" i="11"/>
  <c r="Y37" i="13"/>
  <c r="Z37" i="13" s="1"/>
  <c r="Z32" i="11"/>
  <c r="Y32" i="12"/>
  <c r="Z32" i="12" s="1"/>
  <c r="Y32" i="13"/>
  <c r="Z32" i="13" s="1"/>
  <c r="Y21" i="12"/>
  <c r="Z21" i="12" s="1"/>
  <c r="Z21" i="11"/>
  <c r="Y21" i="13"/>
  <c r="Z21" i="13" s="1"/>
  <c r="Z28" i="11"/>
  <c r="Y28" i="12"/>
  <c r="Z28" i="12" s="1"/>
  <c r="Y28" i="13"/>
  <c r="Z28" i="13" s="1"/>
  <c r="Z7" i="11"/>
  <c r="Y7" i="12"/>
  <c r="Z7" i="12" s="1"/>
  <c r="Y7" i="13"/>
  <c r="Z7" i="13" s="1"/>
  <c r="AB33" i="7"/>
  <c r="U38" i="8"/>
  <c r="T38" i="29" s="1"/>
  <c r="T90" i="29" s="1"/>
  <c r="AB23" i="7"/>
  <c r="X36" i="8"/>
  <c r="W36" i="29" s="1"/>
  <c r="W88" i="29" s="1"/>
  <c r="AH19" i="8"/>
  <c r="AD19" i="29" s="1"/>
  <c r="AD71" i="29" s="1"/>
  <c r="AH47" i="8"/>
  <c r="AD47" i="29" s="1"/>
  <c r="AD99" i="29" s="1"/>
  <c r="M6" i="8"/>
  <c r="M6" i="29" s="1"/>
  <c r="M58" i="29" s="1"/>
  <c r="M6" i="9"/>
  <c r="M9" i="8"/>
  <c r="M9" i="29" s="1"/>
  <c r="M61" i="29" s="1"/>
  <c r="M9" i="9"/>
  <c r="AC8" i="8"/>
  <c r="AA8" i="29" s="1"/>
  <c r="AA60" i="29" s="1"/>
  <c r="AC14" i="8"/>
  <c r="AA14" i="29" s="1"/>
  <c r="AA66" i="29" s="1"/>
  <c r="AC32" i="8"/>
  <c r="AA32" i="29" s="1"/>
  <c r="AA84" i="29" s="1"/>
  <c r="M8" i="8"/>
  <c r="M8" i="29" s="1"/>
  <c r="M60" i="29" s="1"/>
  <c r="M8" i="9"/>
  <c r="AB43" i="7"/>
  <c r="U53" i="9"/>
  <c r="AB5" i="9"/>
  <c r="U14" i="8"/>
  <c r="T14" i="29" s="1"/>
  <c r="T66" i="29" s="1"/>
  <c r="AC26" i="8"/>
  <c r="AA26" i="29" s="1"/>
  <c r="AA78" i="29" s="1"/>
  <c r="M35" i="8"/>
  <c r="M35" i="29" s="1"/>
  <c r="M87" i="29" s="1"/>
  <c r="M35" i="9"/>
  <c r="AB12" i="7"/>
  <c r="X41" i="8"/>
  <c r="W41" i="29" s="1"/>
  <c r="W93" i="29" s="1"/>
  <c r="X18" i="8"/>
  <c r="W18" i="29" s="1"/>
  <c r="W70" i="29" s="1"/>
  <c r="X50" i="8"/>
  <c r="W50" i="29" s="1"/>
  <c r="W102" i="29" s="1"/>
  <c r="X44" i="8"/>
  <c r="W44" i="29" s="1"/>
  <c r="W96" i="29" s="1"/>
  <c r="P5" i="8"/>
  <c r="P5" i="29" s="1"/>
  <c r="P57" i="29" s="1"/>
  <c r="P6" i="8"/>
  <c r="P6" i="29" s="1"/>
  <c r="P58" i="29" s="1"/>
  <c r="P20" i="8"/>
  <c r="P20" i="29" s="1"/>
  <c r="P72" i="29" s="1"/>
  <c r="P40" i="8"/>
  <c r="P40" i="29" s="1"/>
  <c r="P92" i="29" s="1"/>
  <c r="P38" i="8"/>
  <c r="P38" i="29" s="1"/>
  <c r="P90" i="29" s="1"/>
  <c r="M13" i="8"/>
  <c r="M13" i="29" s="1"/>
  <c r="M65" i="29" s="1"/>
  <c r="M13" i="9"/>
  <c r="L14" i="8"/>
  <c r="L14" i="29" s="1"/>
  <c r="L66" i="29" s="1"/>
  <c r="L21" i="8"/>
  <c r="L21" i="29" s="1"/>
  <c r="L73" i="29" s="1"/>
  <c r="L43" i="8"/>
  <c r="L43" i="29" s="1"/>
  <c r="L95" i="29" s="1"/>
  <c r="L48" i="8"/>
  <c r="L48" i="29" s="1"/>
  <c r="L100" i="29" s="1"/>
  <c r="L19" i="8"/>
  <c r="L19" i="29" s="1"/>
  <c r="L71" i="29" s="1"/>
  <c r="O20" i="8"/>
  <c r="O20" i="29" s="1"/>
  <c r="O72" i="29" s="1"/>
  <c r="O13" i="8"/>
  <c r="O13" i="29" s="1"/>
  <c r="O65" i="29" s="1"/>
  <c r="O14" i="8"/>
  <c r="O14" i="29" s="1"/>
  <c r="O66" i="29" s="1"/>
  <c r="O25" i="8"/>
  <c r="O25" i="29" s="1"/>
  <c r="O77" i="29" s="1"/>
  <c r="O27" i="8"/>
  <c r="O27" i="29" s="1"/>
  <c r="O79" i="29" s="1"/>
  <c r="O37" i="8"/>
  <c r="O37" i="29" s="1"/>
  <c r="O89" i="29" s="1"/>
  <c r="R20" i="11"/>
  <c r="Q20" i="12"/>
  <c r="R20" i="12" s="1"/>
  <c r="Q20" i="13"/>
  <c r="R20" i="13" s="1"/>
  <c r="Q26" i="12"/>
  <c r="R26" i="12" s="1"/>
  <c r="R26" i="11"/>
  <c r="Q26" i="13"/>
  <c r="R26" i="13" s="1"/>
  <c r="Q22" i="12"/>
  <c r="R22" i="12" s="1"/>
  <c r="R22" i="11"/>
  <c r="Q22" i="13"/>
  <c r="R22" i="13" s="1"/>
  <c r="R19" i="11"/>
  <c r="Q19" i="12"/>
  <c r="R19" i="12" s="1"/>
  <c r="Q19" i="13"/>
  <c r="R19" i="13" s="1"/>
  <c r="R31" i="11"/>
  <c r="Q31" i="12"/>
  <c r="R31" i="12" s="1"/>
  <c r="Q31" i="13"/>
  <c r="R31" i="13" s="1"/>
  <c r="R21" i="11"/>
  <c r="Q21" i="12"/>
  <c r="R21" i="12" s="1"/>
  <c r="Q21" i="13"/>
  <c r="R21" i="13" s="1"/>
  <c r="Q14" i="12"/>
  <c r="R14" i="12" s="1"/>
  <c r="R14" i="11"/>
  <c r="Q14" i="13"/>
  <c r="R14" i="13" s="1"/>
  <c r="R15" i="11"/>
  <c r="Q15" i="12"/>
  <c r="R15" i="12" s="1"/>
  <c r="Q15" i="13"/>
  <c r="R15" i="13" s="1"/>
  <c r="Q6" i="12"/>
  <c r="R6" i="12" s="1"/>
  <c r="R6" i="11"/>
  <c r="Q6" i="13"/>
  <c r="R6" i="13" s="1"/>
  <c r="R5" i="11"/>
  <c r="Q5" i="12"/>
  <c r="P5" i="30" s="1"/>
  <c r="P48" i="30" s="1"/>
  <c r="Q44" i="11"/>
  <c r="Q5" i="13"/>
  <c r="O33" i="12"/>
  <c r="O33" i="30" s="1"/>
  <c r="O76" i="30" s="1"/>
  <c r="O33" i="13"/>
  <c r="O24" i="12"/>
  <c r="O24" i="30" s="1"/>
  <c r="O67" i="30" s="1"/>
  <c r="O24" i="13"/>
  <c r="O18" i="12"/>
  <c r="O18" i="30" s="1"/>
  <c r="O61" i="30" s="1"/>
  <c r="O18" i="13"/>
  <c r="O27" i="12"/>
  <c r="O27" i="30" s="1"/>
  <c r="O70" i="30" s="1"/>
  <c r="O27" i="13"/>
  <c r="O41" i="12"/>
  <c r="O41" i="30" s="1"/>
  <c r="O84" i="30" s="1"/>
  <c r="O41" i="13"/>
  <c r="O32" i="12"/>
  <c r="O32" i="30" s="1"/>
  <c r="O75" i="30" s="1"/>
  <c r="O32" i="13"/>
  <c r="O21" i="12"/>
  <c r="O21" i="30" s="1"/>
  <c r="O64" i="30" s="1"/>
  <c r="O21" i="13"/>
  <c r="O11" i="12"/>
  <c r="O11" i="30" s="1"/>
  <c r="O54" i="30" s="1"/>
  <c r="O11" i="13"/>
  <c r="O16" i="12"/>
  <c r="O16" i="30" s="1"/>
  <c r="O59" i="30" s="1"/>
  <c r="O16" i="13"/>
  <c r="AC20" i="8"/>
  <c r="AA20" i="29" s="1"/>
  <c r="AA72" i="29" s="1"/>
  <c r="AC17" i="8"/>
  <c r="AA17" i="29" s="1"/>
  <c r="AA69" i="29" s="1"/>
  <c r="AC10" i="8"/>
  <c r="AA10" i="29" s="1"/>
  <c r="AA62" i="29" s="1"/>
  <c r="AC7" i="8"/>
  <c r="AA7" i="29" s="1"/>
  <c r="AA59" i="29" s="1"/>
  <c r="AC21" i="8"/>
  <c r="AA21" i="29" s="1"/>
  <c r="AA73" i="29" s="1"/>
  <c r="AB49" i="7"/>
  <c r="X8" i="8"/>
  <c r="W8" i="29" s="1"/>
  <c r="W60" i="29" s="1"/>
  <c r="AB29" i="7"/>
  <c r="AH41" i="8"/>
  <c r="AD41" i="29" s="1"/>
  <c r="AD93" i="29" s="1"/>
  <c r="P18" i="8"/>
  <c r="P18" i="29" s="1"/>
  <c r="P70" i="29" s="1"/>
  <c r="P45" i="8"/>
  <c r="P45" i="29" s="1"/>
  <c r="P97" i="29" s="1"/>
  <c r="Q15" i="8"/>
  <c r="Q15" i="29" s="1"/>
  <c r="Q67" i="29" s="1"/>
  <c r="G7" i="31" s="1"/>
  <c r="G13" i="31" s="1"/>
  <c r="L22" i="8"/>
  <c r="L22" i="29" s="1"/>
  <c r="L74" i="29" s="1"/>
  <c r="L25" i="8"/>
  <c r="L25" i="29" s="1"/>
  <c r="L77" i="29" s="1"/>
  <c r="O15" i="8"/>
  <c r="O15" i="29" s="1"/>
  <c r="O67" i="29" s="1"/>
  <c r="O10" i="8"/>
  <c r="O10" i="29" s="1"/>
  <c r="O62" i="29" s="1"/>
  <c r="O47" i="8"/>
  <c r="O47" i="29" s="1"/>
  <c r="O99" i="29" s="1"/>
  <c r="E10" i="5"/>
  <c r="N57" i="6"/>
  <c r="F10" i="5"/>
  <c r="N58" i="6"/>
  <c r="D46" i="5"/>
  <c r="D29" i="5"/>
  <c r="G14" i="31" l="1"/>
  <c r="I9" i="32"/>
  <c r="I7" i="32"/>
  <c r="I13" i="32" s="1"/>
  <c r="I11" i="32"/>
  <c r="E9" i="32"/>
  <c r="E11" i="32"/>
  <c r="E7" i="32"/>
  <c r="E13" i="32" s="1"/>
  <c r="D9" i="32"/>
  <c r="D11" i="32"/>
  <c r="D7" i="32"/>
  <c r="D13" i="32" s="1"/>
  <c r="C9" i="32"/>
  <c r="C7" i="32"/>
  <c r="C13" i="32" s="1"/>
  <c r="C11" i="32"/>
  <c r="L9" i="31"/>
  <c r="L7" i="31"/>
  <c r="L13" i="31" s="1"/>
  <c r="L11" i="31"/>
  <c r="P7" i="30"/>
  <c r="P50" i="30" s="1"/>
  <c r="P30" i="30"/>
  <c r="P73" i="30" s="1"/>
  <c r="P39" i="30"/>
  <c r="P82" i="30" s="1"/>
  <c r="U28" i="30"/>
  <c r="U71" i="30" s="1"/>
  <c r="U36" i="30"/>
  <c r="U79" i="30" s="1"/>
  <c r="AI32" i="8"/>
  <c r="AE32" i="29" s="1"/>
  <c r="AE84" i="29" s="1"/>
  <c r="P14" i="30"/>
  <c r="P57" i="30" s="1"/>
  <c r="P22" i="30"/>
  <c r="P65" i="30" s="1"/>
  <c r="U29" i="30"/>
  <c r="U72" i="30" s="1"/>
  <c r="U34" i="30"/>
  <c r="U77" i="30" s="1"/>
  <c r="AI12" i="8"/>
  <c r="AE12" i="29" s="1"/>
  <c r="AE64" i="29" s="1"/>
  <c r="P16" i="30"/>
  <c r="P59" i="30" s="1"/>
  <c r="P41" i="30"/>
  <c r="P84" i="30" s="1"/>
  <c r="P23" i="30"/>
  <c r="P66" i="30" s="1"/>
  <c r="U8" i="30"/>
  <c r="U51" i="30" s="1"/>
  <c r="U14" i="30"/>
  <c r="U57" i="30" s="1"/>
  <c r="U38" i="30"/>
  <c r="U81" i="30" s="1"/>
  <c r="Q18" i="30"/>
  <c r="Q61" i="30" s="1"/>
  <c r="Q30" i="30"/>
  <c r="Q73" i="30" s="1"/>
  <c r="AI24" i="8"/>
  <c r="AE24" i="29" s="1"/>
  <c r="AE76" i="29" s="1"/>
  <c r="AI28" i="8"/>
  <c r="AE28" i="29" s="1"/>
  <c r="AE80" i="29" s="1"/>
  <c r="P8" i="30"/>
  <c r="P51" i="30" s="1"/>
  <c r="P36" i="30"/>
  <c r="P79" i="30" s="1"/>
  <c r="U9" i="30"/>
  <c r="U52" i="30" s="1"/>
  <c r="U42" i="30"/>
  <c r="U85" i="30" s="1"/>
  <c r="U35" i="30"/>
  <c r="U78" i="30" s="1"/>
  <c r="Q21" i="30"/>
  <c r="Q64" i="30" s="1"/>
  <c r="Q31" i="30"/>
  <c r="Q74" i="30" s="1"/>
  <c r="F9" i="31"/>
  <c r="F11" i="31"/>
  <c r="F7" i="31"/>
  <c r="F13" i="31" s="1"/>
  <c r="AD49" i="8"/>
  <c r="P17" i="30"/>
  <c r="P60" i="30" s="1"/>
  <c r="P38" i="30"/>
  <c r="P81" i="30" s="1"/>
  <c r="U21" i="30"/>
  <c r="U64" i="30" s="1"/>
  <c r="U26" i="30"/>
  <c r="U69" i="30" s="1"/>
  <c r="AI30" i="8"/>
  <c r="AE30" i="29" s="1"/>
  <c r="AE82" i="29" s="1"/>
  <c r="AI41" i="8"/>
  <c r="AE41" i="29" s="1"/>
  <c r="AE93" i="29" s="1"/>
  <c r="P21" i="30"/>
  <c r="P64" i="30" s="1"/>
  <c r="P26" i="30"/>
  <c r="P69" i="30" s="1"/>
  <c r="U11" i="30"/>
  <c r="U54" i="30" s="1"/>
  <c r="U13" i="30"/>
  <c r="U56" i="30" s="1"/>
  <c r="U15" i="30"/>
  <c r="U58" i="30" s="1"/>
  <c r="AI34" i="8"/>
  <c r="AE34" i="29" s="1"/>
  <c r="AE86" i="29" s="1"/>
  <c r="AI6" i="8"/>
  <c r="AE6" i="29" s="1"/>
  <c r="AE58" i="29" s="1"/>
  <c r="AI15" i="8"/>
  <c r="AE15" i="29" s="1"/>
  <c r="AE67" i="29" s="1"/>
  <c r="AI40" i="8"/>
  <c r="AE40" i="29" s="1"/>
  <c r="AE92" i="29" s="1"/>
  <c r="P11" i="30"/>
  <c r="P54" i="30" s="1"/>
  <c r="P32" i="30"/>
  <c r="P75" i="30" s="1"/>
  <c r="P37" i="30"/>
  <c r="P80" i="30" s="1"/>
  <c r="U12" i="30"/>
  <c r="U55" i="30" s="1"/>
  <c r="U30" i="30"/>
  <c r="U73" i="30" s="1"/>
  <c r="Q12" i="30"/>
  <c r="Q55" i="30" s="1"/>
  <c r="AI42" i="8"/>
  <c r="AE42" i="29" s="1"/>
  <c r="AE94" i="29" s="1"/>
  <c r="AI47" i="8"/>
  <c r="AE47" i="29" s="1"/>
  <c r="AE99" i="29" s="1"/>
  <c r="P27" i="30"/>
  <c r="P70" i="30" s="1"/>
  <c r="P13" i="30"/>
  <c r="P56" i="30" s="1"/>
  <c r="U6" i="30"/>
  <c r="U49" i="30" s="1"/>
  <c r="K7" i="32" s="1"/>
  <c r="K13" i="32" s="1"/>
  <c r="U31" i="30"/>
  <c r="U74" i="30" s="1"/>
  <c r="U25" i="30"/>
  <c r="U68" i="30" s="1"/>
  <c r="Q11" i="30"/>
  <c r="Q54" i="30" s="1"/>
  <c r="Q23" i="30"/>
  <c r="Q66" i="30" s="1"/>
  <c r="M9" i="31"/>
  <c r="M11" i="31"/>
  <c r="M7" i="31"/>
  <c r="M13" i="31" s="1"/>
  <c r="T9" i="31"/>
  <c r="T11" i="31"/>
  <c r="T7" i="31"/>
  <c r="T13" i="31" s="1"/>
  <c r="B7" i="31"/>
  <c r="B13" i="31" s="1"/>
  <c r="B11" i="31"/>
  <c r="B9" i="31"/>
  <c r="P33" i="30"/>
  <c r="P76" i="30" s="1"/>
  <c r="P29" i="30"/>
  <c r="P72" i="30" s="1"/>
  <c r="U32" i="30"/>
  <c r="U75" i="30" s="1"/>
  <c r="U40" i="30"/>
  <c r="U83" i="30" s="1"/>
  <c r="P6" i="30"/>
  <c r="P49" i="30" s="1"/>
  <c r="F9" i="32" s="1"/>
  <c r="P31" i="30"/>
  <c r="P74" i="30" s="1"/>
  <c r="P20" i="30"/>
  <c r="P63" i="30" s="1"/>
  <c r="U10" i="30"/>
  <c r="U53" i="30" s="1"/>
  <c r="U33" i="30"/>
  <c r="U76" i="30" s="1"/>
  <c r="Q22" i="30"/>
  <c r="Q65" i="30" s="1"/>
  <c r="AI38" i="8"/>
  <c r="AE38" i="29" s="1"/>
  <c r="AE90" i="29" s="1"/>
  <c r="AI21" i="8"/>
  <c r="AE21" i="29" s="1"/>
  <c r="AE73" i="29" s="1"/>
  <c r="AI14" i="8"/>
  <c r="AE14" i="29" s="1"/>
  <c r="AE66" i="29" s="1"/>
  <c r="AI27" i="8"/>
  <c r="AE27" i="29" s="1"/>
  <c r="AE79" i="29" s="1"/>
  <c r="AI46" i="8"/>
  <c r="AE46" i="29" s="1"/>
  <c r="AE98" i="29" s="1"/>
  <c r="AI29" i="8"/>
  <c r="AE29" i="29" s="1"/>
  <c r="AE81" i="29" s="1"/>
  <c r="AI19" i="8"/>
  <c r="AE19" i="29" s="1"/>
  <c r="AE71" i="29" s="1"/>
  <c r="AI18" i="8"/>
  <c r="AE18" i="29" s="1"/>
  <c r="AE70" i="29" s="1"/>
  <c r="AI11" i="8"/>
  <c r="AE11" i="29" s="1"/>
  <c r="AE63" i="29" s="1"/>
  <c r="AI22" i="8"/>
  <c r="AE22" i="29" s="1"/>
  <c r="AE74" i="29" s="1"/>
  <c r="AI5" i="8"/>
  <c r="AI31" i="8"/>
  <c r="AE31" i="29" s="1"/>
  <c r="AE83" i="29" s="1"/>
  <c r="AI7" i="8"/>
  <c r="AE7" i="29" s="1"/>
  <c r="AE59" i="29" s="1"/>
  <c r="AI43" i="8"/>
  <c r="AE43" i="29" s="1"/>
  <c r="AE95" i="29" s="1"/>
  <c r="AI39" i="8"/>
  <c r="AE39" i="29" s="1"/>
  <c r="AE91" i="29" s="1"/>
  <c r="P24" i="30"/>
  <c r="P67" i="30" s="1"/>
  <c r="P35" i="30"/>
  <c r="P78" i="30" s="1"/>
  <c r="U17" i="30"/>
  <c r="U60" i="30" s="1"/>
  <c r="U39" i="30"/>
  <c r="U82" i="30" s="1"/>
  <c r="Q7" i="30"/>
  <c r="Q50" i="30" s="1"/>
  <c r="G9" i="32" s="1"/>
  <c r="Q26" i="30"/>
  <c r="Q69" i="30" s="1"/>
  <c r="AI44" i="8"/>
  <c r="AE44" i="29" s="1"/>
  <c r="AE96" i="29" s="1"/>
  <c r="AI51" i="8"/>
  <c r="AE51" i="29" s="1"/>
  <c r="AE103" i="29" s="1"/>
  <c r="P9" i="30"/>
  <c r="P52" i="30" s="1"/>
  <c r="P34" i="30"/>
  <c r="P77" i="30" s="1"/>
  <c r="P12" i="30"/>
  <c r="P55" i="30" s="1"/>
  <c r="U41" i="30"/>
  <c r="U84" i="30" s="1"/>
  <c r="J9" i="31"/>
  <c r="J11" i="31"/>
  <c r="J7" i="31"/>
  <c r="J13" i="31" s="1"/>
  <c r="E9" i="31"/>
  <c r="E11" i="31"/>
  <c r="E7" i="31"/>
  <c r="E13" i="31" s="1"/>
  <c r="P28" i="30"/>
  <c r="P71" i="30" s="1"/>
  <c r="P40" i="30"/>
  <c r="P83" i="30" s="1"/>
  <c r="U7" i="30"/>
  <c r="U50" i="30" s="1"/>
  <c r="U37" i="30"/>
  <c r="U80" i="30" s="1"/>
  <c r="U23" i="30"/>
  <c r="U66" i="30" s="1"/>
  <c r="AI53" i="9"/>
  <c r="P15" i="30"/>
  <c r="P58" i="30" s="1"/>
  <c r="P19" i="30"/>
  <c r="P62" i="30" s="1"/>
  <c r="U18" i="30"/>
  <c r="U61" i="30" s="1"/>
  <c r="U19" i="30"/>
  <c r="U62" i="30" s="1"/>
  <c r="P18" i="30"/>
  <c r="P61" i="30" s="1"/>
  <c r="P42" i="30"/>
  <c r="P85" i="30" s="1"/>
  <c r="U16" i="30"/>
  <c r="U59" i="30" s="1"/>
  <c r="U22" i="30"/>
  <c r="U65" i="30" s="1"/>
  <c r="U24" i="30"/>
  <c r="U67" i="30" s="1"/>
  <c r="Q15" i="30"/>
  <c r="Q58" i="30" s="1"/>
  <c r="AI23" i="8"/>
  <c r="AE23" i="29" s="1"/>
  <c r="AE75" i="29" s="1"/>
  <c r="AI16" i="8"/>
  <c r="AE16" i="29" s="1"/>
  <c r="AE68" i="29" s="1"/>
  <c r="P10" i="30"/>
  <c r="P53" i="30" s="1"/>
  <c r="P25" i="30"/>
  <c r="P68" i="30" s="1"/>
  <c r="U27" i="30"/>
  <c r="U70" i="30" s="1"/>
  <c r="U20" i="30"/>
  <c r="U63" i="30" s="1"/>
  <c r="Q16" i="30"/>
  <c r="Q59" i="30" s="1"/>
  <c r="Q9" i="31"/>
  <c r="Q11" i="31"/>
  <c r="Q7" i="31"/>
  <c r="Q13" i="31" s="1"/>
  <c r="E41" i="5"/>
  <c r="E21" i="5"/>
  <c r="AD21" i="8"/>
  <c r="AD20" i="8"/>
  <c r="Q53" i="8"/>
  <c r="AD7" i="8"/>
  <c r="AD18" i="8"/>
  <c r="AD51" i="8"/>
  <c r="V21" i="13"/>
  <c r="AD30" i="8"/>
  <c r="AD45" i="8"/>
  <c r="AD11" i="8"/>
  <c r="AB24" i="7"/>
  <c r="AD50" i="8"/>
  <c r="AD34" i="8"/>
  <c r="AD44" i="8"/>
  <c r="AD32" i="8"/>
  <c r="AD48" i="8"/>
  <c r="AD28" i="8"/>
  <c r="AD35" i="8"/>
  <c r="AD46" i="8"/>
  <c r="AD38" i="8"/>
  <c r="AD23" i="8"/>
  <c r="AB16" i="7"/>
  <c r="AD33" i="8"/>
  <c r="AD12" i="8"/>
  <c r="AD29" i="8"/>
  <c r="AD39" i="8"/>
  <c r="AD10" i="8"/>
  <c r="AD43" i="8"/>
  <c r="AD41" i="8"/>
  <c r="AD13" i="8"/>
  <c r="AD25" i="8"/>
  <c r="AD27" i="8"/>
  <c r="AD6" i="8"/>
  <c r="AD9" i="8"/>
  <c r="AB48" i="7"/>
  <c r="AB19" i="7"/>
  <c r="AD40" i="8"/>
  <c r="N54" i="8"/>
  <c r="N58" i="8" s="1"/>
  <c r="N54" i="9"/>
  <c r="N54" i="7"/>
  <c r="AD17" i="8"/>
  <c r="AD26" i="8"/>
  <c r="AD14" i="8"/>
  <c r="AD8" i="8"/>
  <c r="AD42" i="8"/>
  <c r="AD24" i="8"/>
  <c r="AD16" i="8"/>
  <c r="AD19" i="8"/>
  <c r="AD36" i="8"/>
  <c r="AD37" i="8"/>
  <c r="AD31" i="8"/>
  <c r="N44" i="13"/>
  <c r="O53" i="8"/>
  <c r="M18" i="8"/>
  <c r="M18" i="29" s="1"/>
  <c r="M70" i="29" s="1"/>
  <c r="V29" i="12"/>
  <c r="V34" i="12"/>
  <c r="M28" i="8"/>
  <c r="M28" i="29" s="1"/>
  <c r="M80" i="29" s="1"/>
  <c r="M21" i="8"/>
  <c r="M21" i="29" s="1"/>
  <c r="M73" i="29" s="1"/>
  <c r="M26" i="8"/>
  <c r="M26" i="29" s="1"/>
  <c r="M78" i="29" s="1"/>
  <c r="M51" i="8"/>
  <c r="M51" i="29" s="1"/>
  <c r="M103" i="29" s="1"/>
  <c r="V37" i="13"/>
  <c r="V41" i="13"/>
  <c r="V28" i="13"/>
  <c r="M24" i="8"/>
  <c r="M24" i="29" s="1"/>
  <c r="M76" i="29" s="1"/>
  <c r="V38" i="13"/>
  <c r="V29" i="13"/>
  <c r="M11" i="8"/>
  <c r="M11" i="29" s="1"/>
  <c r="M63" i="29" s="1"/>
  <c r="M15" i="8"/>
  <c r="M15" i="29" s="1"/>
  <c r="M67" i="29" s="1"/>
  <c r="M17" i="8"/>
  <c r="M17" i="29" s="1"/>
  <c r="M69" i="29" s="1"/>
  <c r="M16" i="8"/>
  <c r="M16" i="29" s="1"/>
  <c r="M68" i="29" s="1"/>
  <c r="M39" i="8"/>
  <c r="M39" i="29" s="1"/>
  <c r="M91" i="29" s="1"/>
  <c r="V10" i="12"/>
  <c r="V37" i="12"/>
  <c r="V14" i="13"/>
  <c r="M30" i="8"/>
  <c r="M30" i="29" s="1"/>
  <c r="M82" i="29" s="1"/>
  <c r="V35" i="12"/>
  <c r="T58" i="6"/>
  <c r="T56" i="9"/>
  <c r="T56" i="8"/>
  <c r="T56" i="7"/>
  <c r="X53" i="8"/>
  <c r="V13" i="13"/>
  <c r="P18" i="11"/>
  <c r="AA18" i="11" s="1"/>
  <c r="L18" i="12"/>
  <c r="P18" i="12" s="1"/>
  <c r="L18" i="13"/>
  <c r="P18" i="13" s="1"/>
  <c r="P31" i="11"/>
  <c r="AA31" i="11" s="1"/>
  <c r="L31" i="12"/>
  <c r="P31" i="12" s="1"/>
  <c r="L31" i="13"/>
  <c r="P31" i="13" s="1"/>
  <c r="V51" i="8"/>
  <c r="U51" i="29" s="1"/>
  <c r="U103" i="29" s="1"/>
  <c r="O44" i="12"/>
  <c r="Y46" i="9"/>
  <c r="AB46" i="9" s="1"/>
  <c r="AB46" i="7"/>
  <c r="Y26" i="9"/>
  <c r="AB26" i="9" s="1"/>
  <c r="AB26" i="7"/>
  <c r="Y7" i="9"/>
  <c r="AB7" i="7"/>
  <c r="Y6" i="9"/>
  <c r="AB6" i="9" s="1"/>
  <c r="Y9" i="9"/>
  <c r="AB9" i="9" s="1"/>
  <c r="AB9" i="7"/>
  <c r="R5" i="12"/>
  <c r="R44" i="12" s="1"/>
  <c r="Q44" i="12"/>
  <c r="V38" i="8"/>
  <c r="U38" i="29" s="1"/>
  <c r="U90" i="29" s="1"/>
  <c r="V13" i="12"/>
  <c r="P38" i="11"/>
  <c r="AA38" i="11" s="1"/>
  <c r="L38" i="12"/>
  <c r="P38" i="12" s="1"/>
  <c r="L38" i="13"/>
  <c r="P38" i="13" s="1"/>
  <c r="P29" i="11"/>
  <c r="AA29" i="11" s="1"/>
  <c r="L29" i="12"/>
  <c r="P29" i="12" s="1"/>
  <c r="L29" i="13"/>
  <c r="P29" i="13" s="1"/>
  <c r="P12" i="11"/>
  <c r="AA12" i="11" s="1"/>
  <c r="L12" i="12"/>
  <c r="P12" i="12" s="1"/>
  <c r="L12" i="13"/>
  <c r="P12" i="13" s="1"/>
  <c r="L40" i="12"/>
  <c r="P40" i="12" s="1"/>
  <c r="P40" i="11"/>
  <c r="AA40" i="11" s="1"/>
  <c r="L40" i="13"/>
  <c r="P40" i="13" s="1"/>
  <c r="P20" i="11"/>
  <c r="AA20" i="11" s="1"/>
  <c r="L20" i="12"/>
  <c r="P20" i="12" s="1"/>
  <c r="L20" i="13"/>
  <c r="P20" i="13" s="1"/>
  <c r="P14" i="11"/>
  <c r="AA14" i="11" s="1"/>
  <c r="L14" i="12"/>
  <c r="P14" i="12" s="1"/>
  <c r="L14" i="13"/>
  <c r="P14" i="13" s="1"/>
  <c r="P8" i="11"/>
  <c r="AA8" i="11" s="1"/>
  <c r="L8" i="12"/>
  <c r="P8" i="12" s="1"/>
  <c r="L8" i="13"/>
  <c r="P8" i="13" s="1"/>
  <c r="P7" i="11"/>
  <c r="AA7" i="11" s="1"/>
  <c r="L7" i="12"/>
  <c r="P7" i="12" s="1"/>
  <c r="L7" i="13"/>
  <c r="P7" i="13" s="1"/>
  <c r="V53" i="9"/>
  <c r="W53" i="8"/>
  <c r="V34" i="8"/>
  <c r="U34" i="29" s="1"/>
  <c r="U86" i="29" s="1"/>
  <c r="V47" i="8"/>
  <c r="U47" i="29" s="1"/>
  <c r="U99" i="29" s="1"/>
  <c r="V41" i="12"/>
  <c r="V28" i="12"/>
  <c r="L53" i="8"/>
  <c r="V31" i="8"/>
  <c r="U31" i="29" s="1"/>
  <c r="U83" i="29" s="1"/>
  <c r="Y37" i="9"/>
  <c r="AB37" i="9" s="1"/>
  <c r="Y36" i="9"/>
  <c r="AB36" i="9" s="1"/>
  <c r="AB36" i="7"/>
  <c r="Y30" i="9"/>
  <c r="AB30" i="9" s="1"/>
  <c r="Y47" i="9"/>
  <c r="AB47" i="9" s="1"/>
  <c r="AB47" i="7"/>
  <c r="Y45" i="9"/>
  <c r="AB45" i="9" s="1"/>
  <c r="Y44" i="9"/>
  <c r="AB44" i="9" s="1"/>
  <c r="AB44" i="7"/>
  <c r="Y21" i="9"/>
  <c r="AB21" i="9" s="1"/>
  <c r="Y11" i="9"/>
  <c r="AB11" i="9" s="1"/>
  <c r="Y15" i="9"/>
  <c r="AB15" i="9" s="1"/>
  <c r="AB15" i="7"/>
  <c r="Y10" i="9"/>
  <c r="AB10" i="9" s="1"/>
  <c r="Y20" i="9"/>
  <c r="AB20" i="9" s="1"/>
  <c r="AB20" i="7"/>
  <c r="Y13" i="9"/>
  <c r="AB13" i="9" s="1"/>
  <c r="AB13" i="7"/>
  <c r="AB6" i="7"/>
  <c r="P34" i="11"/>
  <c r="AA34" i="11" s="1"/>
  <c r="L34" i="12"/>
  <c r="P34" i="12" s="1"/>
  <c r="L34" i="13"/>
  <c r="P34" i="13" s="1"/>
  <c r="P13" i="11"/>
  <c r="AA13" i="11" s="1"/>
  <c r="L13" i="12"/>
  <c r="P13" i="12" s="1"/>
  <c r="L13" i="13"/>
  <c r="P13" i="13" s="1"/>
  <c r="P17" i="11"/>
  <c r="AA17" i="11" s="1"/>
  <c r="L17" i="12"/>
  <c r="P17" i="12" s="1"/>
  <c r="L17" i="13"/>
  <c r="P17" i="13" s="1"/>
  <c r="P5" i="11"/>
  <c r="L5" i="12"/>
  <c r="L5" i="30" s="1"/>
  <c r="L48" i="30" s="1"/>
  <c r="L44" i="11"/>
  <c r="L5" i="13"/>
  <c r="S51" i="8"/>
  <c r="S46" i="8"/>
  <c r="S37" i="8"/>
  <c r="S35" i="8"/>
  <c r="S33" i="8"/>
  <c r="S40" i="8"/>
  <c r="S41" i="8"/>
  <c r="S45" i="8"/>
  <c r="S27" i="8"/>
  <c r="S18" i="8"/>
  <c r="S28" i="8"/>
  <c r="S11" i="8"/>
  <c r="S8" i="8"/>
  <c r="S13" i="8"/>
  <c r="S7" i="8"/>
  <c r="S25" i="8"/>
  <c r="S24" i="8"/>
  <c r="S39" i="8"/>
  <c r="S32" i="8"/>
  <c r="S16" i="8"/>
  <c r="S12" i="8"/>
  <c r="S31" i="8"/>
  <c r="S38" i="8"/>
  <c r="S5" i="8"/>
  <c r="S23" i="8"/>
  <c r="S29" i="8"/>
  <c r="S43" i="8"/>
  <c r="S50" i="8"/>
  <c r="S44" i="8"/>
  <c r="S48" i="8"/>
  <c r="S21" i="8"/>
  <c r="S19" i="8"/>
  <c r="S15" i="8"/>
  <c r="S14" i="8"/>
  <c r="S17" i="8"/>
  <c r="S6" i="8"/>
  <c r="S9" i="8"/>
  <c r="S30" i="8"/>
  <c r="S22" i="8"/>
  <c r="S49" i="8"/>
  <c r="S42" i="8"/>
  <c r="S47" i="8"/>
  <c r="S10" i="8"/>
  <c r="S34" i="8"/>
  <c r="S26" i="8"/>
  <c r="S20" i="8"/>
  <c r="S36" i="8"/>
  <c r="U44" i="13"/>
  <c r="Y34" i="9"/>
  <c r="AB34" i="9" s="1"/>
  <c r="Y38" i="9"/>
  <c r="AB38" i="9" s="1"/>
  <c r="P46" i="13"/>
  <c r="P46" i="12"/>
  <c r="P46" i="11"/>
  <c r="P46" i="10"/>
  <c r="AM56" i="6"/>
  <c r="AM54" i="9"/>
  <c r="AM54" i="7"/>
  <c r="AM54" i="8" s="1"/>
  <c r="V8" i="8"/>
  <c r="U8" i="29" s="1"/>
  <c r="U60" i="29" s="1"/>
  <c r="AC53" i="8"/>
  <c r="M44" i="13"/>
  <c r="V16" i="8"/>
  <c r="U16" i="29" s="1"/>
  <c r="U68" i="29" s="1"/>
  <c r="V18" i="8"/>
  <c r="U18" i="29" s="1"/>
  <c r="U70" i="29" s="1"/>
  <c r="V36" i="8"/>
  <c r="U36" i="29" s="1"/>
  <c r="U88" i="29" s="1"/>
  <c r="V33" i="8"/>
  <c r="U33" i="29" s="1"/>
  <c r="U85" i="29" s="1"/>
  <c r="V49" i="8"/>
  <c r="U49" i="29" s="1"/>
  <c r="U101" i="29" s="1"/>
  <c r="V17" i="12"/>
  <c r="V27" i="12"/>
  <c r="V14" i="8"/>
  <c r="U14" i="29" s="1"/>
  <c r="U66" i="29" s="1"/>
  <c r="V13" i="8"/>
  <c r="U13" i="29" s="1"/>
  <c r="U65" i="29" s="1"/>
  <c r="V32" i="8"/>
  <c r="U32" i="29" s="1"/>
  <c r="U84" i="29" s="1"/>
  <c r="V33" i="12"/>
  <c r="T57" i="6"/>
  <c r="T55" i="9"/>
  <c r="T55" i="8"/>
  <c r="T55" i="7"/>
  <c r="V18" i="13"/>
  <c r="V34" i="13"/>
  <c r="F45" i="5"/>
  <c r="P47" i="13"/>
  <c r="P47" i="12"/>
  <c r="P47" i="11"/>
  <c r="P47" i="10"/>
  <c r="V24" i="8"/>
  <c r="U24" i="29" s="1"/>
  <c r="U76" i="29" s="1"/>
  <c r="V11" i="8"/>
  <c r="U11" i="29" s="1"/>
  <c r="U63" i="29" s="1"/>
  <c r="V9" i="13"/>
  <c r="N44" i="12"/>
  <c r="P33" i="11"/>
  <c r="AA33" i="11" s="1"/>
  <c r="L33" i="12"/>
  <c r="P33" i="12" s="1"/>
  <c r="L33" i="13"/>
  <c r="P33" i="13" s="1"/>
  <c r="P32" i="11"/>
  <c r="AA32" i="11" s="1"/>
  <c r="L32" i="12"/>
  <c r="P32" i="12" s="1"/>
  <c r="L32" i="13"/>
  <c r="P32" i="13" s="1"/>
  <c r="P26" i="11"/>
  <c r="AA26" i="11" s="1"/>
  <c r="L26" i="12"/>
  <c r="P26" i="12" s="1"/>
  <c r="L26" i="13"/>
  <c r="P26" i="13" s="1"/>
  <c r="P39" i="11"/>
  <c r="AA39" i="11" s="1"/>
  <c r="L39" i="12"/>
  <c r="P39" i="12" s="1"/>
  <c r="L39" i="13"/>
  <c r="P39" i="13" s="1"/>
  <c r="P22" i="11"/>
  <c r="AA22" i="11" s="1"/>
  <c r="L22" i="12"/>
  <c r="P22" i="12" s="1"/>
  <c r="L22" i="13"/>
  <c r="P22" i="13" s="1"/>
  <c r="P24" i="11"/>
  <c r="AA24" i="11" s="1"/>
  <c r="L24" i="12"/>
  <c r="P24" i="12" s="1"/>
  <c r="L24" i="13"/>
  <c r="P24" i="13" s="1"/>
  <c r="P15" i="11"/>
  <c r="AA15" i="11" s="1"/>
  <c r="L15" i="12"/>
  <c r="P15" i="12" s="1"/>
  <c r="L15" i="13"/>
  <c r="P15" i="13" s="1"/>
  <c r="P10" i="11"/>
  <c r="AA10" i="11" s="1"/>
  <c r="L10" i="12"/>
  <c r="P10" i="12" s="1"/>
  <c r="L10" i="13"/>
  <c r="P10" i="13" s="1"/>
  <c r="P9" i="11"/>
  <c r="AA9" i="11" s="1"/>
  <c r="L9" i="12"/>
  <c r="P9" i="12" s="1"/>
  <c r="L9" i="13"/>
  <c r="P9" i="13" s="1"/>
  <c r="AD53" i="8"/>
  <c r="M41" i="8"/>
  <c r="M41" i="29" s="1"/>
  <c r="M93" i="29" s="1"/>
  <c r="V5" i="8"/>
  <c r="U5" i="29" s="1"/>
  <c r="U57" i="29" s="1"/>
  <c r="V44" i="11"/>
  <c r="V39" i="13"/>
  <c r="V25" i="12"/>
  <c r="V20" i="13"/>
  <c r="AH53" i="8"/>
  <c r="M27" i="8"/>
  <c r="M27" i="29" s="1"/>
  <c r="M79" i="29" s="1"/>
  <c r="V29" i="8"/>
  <c r="U29" i="29" s="1"/>
  <c r="U81" i="29" s="1"/>
  <c r="V28" i="8"/>
  <c r="U28" i="29" s="1"/>
  <c r="U80" i="29" s="1"/>
  <c r="M48" i="8"/>
  <c r="M48" i="29" s="1"/>
  <c r="M100" i="29" s="1"/>
  <c r="M33" i="8"/>
  <c r="M33" i="29" s="1"/>
  <c r="M85" i="29" s="1"/>
  <c r="U53" i="8"/>
  <c r="M37" i="8"/>
  <c r="M37" i="29" s="1"/>
  <c r="M89" i="29" s="1"/>
  <c r="V8" i="12"/>
  <c r="V24" i="13"/>
  <c r="V32" i="13"/>
  <c r="V36" i="13"/>
  <c r="V40" i="13"/>
  <c r="Z5" i="13"/>
  <c r="Z44" i="13" s="1"/>
  <c r="Y44" i="13"/>
  <c r="Y40" i="9"/>
  <c r="AB40" i="9" s="1"/>
  <c r="Y51" i="9"/>
  <c r="AB51" i="9" s="1"/>
  <c r="Y49" i="9"/>
  <c r="AB49" i="9" s="1"/>
  <c r="Y31" i="9"/>
  <c r="AB31" i="9" s="1"/>
  <c r="Y24" i="9"/>
  <c r="AB24" i="9" s="1"/>
  <c r="Y43" i="9"/>
  <c r="AB43" i="9" s="1"/>
  <c r="Y41" i="9"/>
  <c r="AB41" i="9" s="1"/>
  <c r="Y17" i="9"/>
  <c r="AB17" i="9" s="1"/>
  <c r="AB17" i="7"/>
  <c r="Y23" i="9"/>
  <c r="AB23" i="9" s="1"/>
  <c r="Y14" i="9"/>
  <c r="AB14" i="9" s="1"/>
  <c r="Y28" i="9"/>
  <c r="AB28" i="9" s="1"/>
  <c r="Y18" i="9"/>
  <c r="AB18" i="9" s="1"/>
  <c r="AB18" i="7"/>
  <c r="V38" i="12"/>
  <c r="AB40" i="7"/>
  <c r="AB38" i="7"/>
  <c r="AB7" i="9"/>
  <c r="S44" i="12"/>
  <c r="V5" i="12"/>
  <c r="P37" i="11"/>
  <c r="AA37" i="11" s="1"/>
  <c r="L37" i="12"/>
  <c r="P37" i="12" s="1"/>
  <c r="L37" i="13"/>
  <c r="P37" i="13" s="1"/>
  <c r="P28" i="11"/>
  <c r="AA28" i="11" s="1"/>
  <c r="L28" i="12"/>
  <c r="P28" i="12" s="1"/>
  <c r="L28" i="13"/>
  <c r="P28" i="13" s="1"/>
  <c r="P21" i="11"/>
  <c r="AA21" i="11" s="1"/>
  <c r="L21" i="12"/>
  <c r="P21" i="12" s="1"/>
  <c r="L21" i="13"/>
  <c r="P21" i="13" s="1"/>
  <c r="P6" i="11"/>
  <c r="AA6" i="11" s="1"/>
  <c r="L6" i="12"/>
  <c r="P6" i="12" s="1"/>
  <c r="L6" i="13"/>
  <c r="P6" i="13" s="1"/>
  <c r="V27" i="13"/>
  <c r="V40" i="8"/>
  <c r="U40" i="29" s="1"/>
  <c r="U92" i="29" s="1"/>
  <c r="V21" i="8"/>
  <c r="U21" i="29" s="1"/>
  <c r="U73" i="29" s="1"/>
  <c r="Z5" i="12"/>
  <c r="Z44" i="12" s="1"/>
  <c r="Y44" i="12"/>
  <c r="Y39" i="9"/>
  <c r="AB39" i="9" s="1"/>
  <c r="AB39" i="7"/>
  <c r="Y48" i="9"/>
  <c r="AB48" i="9" s="1"/>
  <c r="Y50" i="9"/>
  <c r="AB50" i="9" s="1"/>
  <c r="AB50" i="7"/>
  <c r="Y12" i="9"/>
  <c r="AB12" i="9" s="1"/>
  <c r="Y19" i="9"/>
  <c r="AB19" i="9" s="1"/>
  <c r="V19" i="8"/>
  <c r="U19" i="29" s="1"/>
  <c r="U71" i="29" s="1"/>
  <c r="V26" i="8"/>
  <c r="U26" i="29" s="1"/>
  <c r="U78" i="29" s="1"/>
  <c r="V7" i="8"/>
  <c r="U7" i="29" s="1"/>
  <c r="U59" i="29" s="1"/>
  <c r="V9" i="8"/>
  <c r="U9" i="29" s="1"/>
  <c r="U61" i="29" s="1"/>
  <c r="V5" i="13"/>
  <c r="S44" i="13"/>
  <c r="P42" i="11"/>
  <c r="AA42" i="11" s="1"/>
  <c r="L42" i="12"/>
  <c r="P42" i="12" s="1"/>
  <c r="L42" i="13"/>
  <c r="P42" i="13" s="1"/>
  <c r="M53" i="9"/>
  <c r="U44" i="12"/>
  <c r="R44" i="11"/>
  <c r="R5" i="13"/>
  <c r="R44" i="13" s="1"/>
  <c r="Q44" i="13"/>
  <c r="P53" i="8"/>
  <c r="AB10" i="7"/>
  <c r="AB30" i="7"/>
  <c r="V50" i="8"/>
  <c r="U50" i="29" s="1"/>
  <c r="U102" i="29" s="1"/>
  <c r="V6" i="8"/>
  <c r="U6" i="29" s="1"/>
  <c r="U58" i="29" s="1"/>
  <c r="V46" i="8"/>
  <c r="U46" i="29" s="1"/>
  <c r="U98" i="29" s="1"/>
  <c r="V25" i="8"/>
  <c r="U25" i="29" s="1"/>
  <c r="U77" i="29" s="1"/>
  <c r="V23" i="8"/>
  <c r="U23" i="29" s="1"/>
  <c r="U75" i="29" s="1"/>
  <c r="V43" i="8"/>
  <c r="U43" i="29" s="1"/>
  <c r="U95" i="29" s="1"/>
  <c r="V33" i="13"/>
  <c r="V26" i="13"/>
  <c r="V9" i="12"/>
  <c r="V19" i="12"/>
  <c r="V42" i="12"/>
  <c r="P36" i="11"/>
  <c r="AA36" i="11" s="1"/>
  <c r="L36" i="12"/>
  <c r="P36" i="12" s="1"/>
  <c r="L36" i="13"/>
  <c r="P36" i="13" s="1"/>
  <c r="P27" i="11"/>
  <c r="AA27" i="11" s="1"/>
  <c r="L27" i="12"/>
  <c r="P27" i="12" s="1"/>
  <c r="L27" i="13"/>
  <c r="P27" i="13" s="1"/>
  <c r="P23" i="11"/>
  <c r="AA23" i="11" s="1"/>
  <c r="L23" i="12"/>
  <c r="P23" i="12" s="1"/>
  <c r="L23" i="13"/>
  <c r="P23" i="13" s="1"/>
  <c r="P25" i="11"/>
  <c r="AA25" i="11" s="1"/>
  <c r="L25" i="12"/>
  <c r="P25" i="12" s="1"/>
  <c r="L25" i="13"/>
  <c r="P25" i="13" s="1"/>
  <c r="P19" i="11"/>
  <c r="AA19" i="11" s="1"/>
  <c r="L19" i="12"/>
  <c r="P19" i="12" s="1"/>
  <c r="L19" i="13"/>
  <c r="P19" i="13" s="1"/>
  <c r="P41" i="11"/>
  <c r="AA41" i="11" s="1"/>
  <c r="L41" i="12"/>
  <c r="P41" i="12" s="1"/>
  <c r="L41" i="13"/>
  <c r="P41" i="13" s="1"/>
  <c r="P35" i="11"/>
  <c r="AA35" i="11" s="1"/>
  <c r="L35" i="12"/>
  <c r="P35" i="12" s="1"/>
  <c r="L35" i="13"/>
  <c r="P35" i="13" s="1"/>
  <c r="P30" i="11"/>
  <c r="AA30" i="11" s="1"/>
  <c r="L30" i="12"/>
  <c r="P30" i="12" s="1"/>
  <c r="L30" i="13"/>
  <c r="P30" i="13" s="1"/>
  <c r="P11" i="11"/>
  <c r="AA11" i="11" s="1"/>
  <c r="L11" i="12"/>
  <c r="P11" i="12" s="1"/>
  <c r="L11" i="13"/>
  <c r="P11" i="13" s="1"/>
  <c r="P16" i="11"/>
  <c r="AA16" i="11" s="1"/>
  <c r="L16" i="12"/>
  <c r="P16" i="12" s="1"/>
  <c r="L16" i="13"/>
  <c r="P16" i="13" s="1"/>
  <c r="M5" i="8"/>
  <c r="M5" i="29" s="1"/>
  <c r="M57" i="29" s="1"/>
  <c r="M23" i="8"/>
  <c r="M23" i="29" s="1"/>
  <c r="M75" i="29" s="1"/>
  <c r="R51" i="8"/>
  <c r="R51" i="29" s="1"/>
  <c r="R103" i="29" s="1"/>
  <c r="R46" i="8"/>
  <c r="R46" i="29" s="1"/>
  <c r="R98" i="29" s="1"/>
  <c r="R35" i="8"/>
  <c r="R35" i="29" s="1"/>
  <c r="R87" i="29" s="1"/>
  <c r="R40" i="8"/>
  <c r="R40" i="29" s="1"/>
  <c r="R92" i="29" s="1"/>
  <c r="R37" i="8"/>
  <c r="R37" i="29" s="1"/>
  <c r="R89" i="29" s="1"/>
  <c r="R33" i="8"/>
  <c r="R33" i="29" s="1"/>
  <c r="R85" i="29" s="1"/>
  <c r="R13" i="8"/>
  <c r="R13" i="29" s="1"/>
  <c r="R65" i="29" s="1"/>
  <c r="R23" i="8"/>
  <c r="R42" i="8"/>
  <c r="R42" i="29" s="1"/>
  <c r="R94" i="29" s="1"/>
  <c r="R39" i="8"/>
  <c r="R39" i="29" s="1"/>
  <c r="R91" i="29" s="1"/>
  <c r="R32" i="8"/>
  <c r="R32" i="29" s="1"/>
  <c r="R84" i="29" s="1"/>
  <c r="R16" i="8"/>
  <c r="R16" i="29" s="1"/>
  <c r="R68" i="29" s="1"/>
  <c r="R12" i="8"/>
  <c r="R12" i="29" s="1"/>
  <c r="R64" i="29" s="1"/>
  <c r="R31" i="8"/>
  <c r="R31" i="29" s="1"/>
  <c r="R83" i="29" s="1"/>
  <c r="R29" i="8"/>
  <c r="R7" i="8"/>
  <c r="R7" i="29" s="1"/>
  <c r="R59" i="29" s="1"/>
  <c r="R10" i="8"/>
  <c r="R10" i="29" s="1"/>
  <c r="R62" i="29" s="1"/>
  <c r="R25" i="8"/>
  <c r="R25" i="29" s="1"/>
  <c r="R77" i="29" s="1"/>
  <c r="R34" i="8"/>
  <c r="R34" i="29" s="1"/>
  <c r="R86" i="29" s="1"/>
  <c r="R19" i="8"/>
  <c r="R19" i="29" s="1"/>
  <c r="R71" i="29" s="1"/>
  <c r="R17" i="8"/>
  <c r="R17" i="29" s="1"/>
  <c r="R69" i="29" s="1"/>
  <c r="R6" i="8"/>
  <c r="R6" i="29" s="1"/>
  <c r="R58" i="29" s="1"/>
  <c r="R30" i="8"/>
  <c r="R30" i="29" s="1"/>
  <c r="R82" i="29" s="1"/>
  <c r="R49" i="8"/>
  <c r="R49" i="29" s="1"/>
  <c r="R101" i="29" s="1"/>
  <c r="R41" i="8"/>
  <c r="R41" i="29" s="1"/>
  <c r="R93" i="29" s="1"/>
  <c r="R45" i="8"/>
  <c r="R45" i="29" s="1"/>
  <c r="R97" i="29" s="1"/>
  <c r="R27" i="8"/>
  <c r="R18" i="8"/>
  <c r="R18" i="29" s="1"/>
  <c r="R70" i="29" s="1"/>
  <c r="R28" i="8"/>
  <c r="R11" i="8"/>
  <c r="R11" i="29" s="1"/>
  <c r="R63" i="29" s="1"/>
  <c r="R44" i="8"/>
  <c r="R44" i="29" s="1"/>
  <c r="R96" i="29" s="1"/>
  <c r="R48" i="8"/>
  <c r="R48" i="29" s="1"/>
  <c r="R100" i="29" s="1"/>
  <c r="R21" i="8"/>
  <c r="R14" i="8"/>
  <c r="R14" i="29" s="1"/>
  <c r="R66" i="29" s="1"/>
  <c r="R8" i="8"/>
  <c r="R8" i="29" s="1"/>
  <c r="R60" i="29" s="1"/>
  <c r="R9" i="8"/>
  <c r="R9" i="29" s="1"/>
  <c r="R61" i="29" s="1"/>
  <c r="R38" i="8"/>
  <c r="R38" i="29" s="1"/>
  <c r="R90" i="29" s="1"/>
  <c r="R5" i="8"/>
  <c r="R5" i="29" s="1"/>
  <c r="R57" i="29" s="1"/>
  <c r="R47" i="8"/>
  <c r="R47" i="29" s="1"/>
  <c r="R99" i="29" s="1"/>
  <c r="R43" i="8"/>
  <c r="R43" i="29" s="1"/>
  <c r="R95" i="29" s="1"/>
  <c r="R26" i="8"/>
  <c r="R24" i="8"/>
  <c r="R20" i="8"/>
  <c r="R20" i="29" s="1"/>
  <c r="R72" i="29" s="1"/>
  <c r="R36" i="8"/>
  <c r="R36" i="29" s="1"/>
  <c r="R88" i="29" s="1"/>
  <c r="R50" i="8"/>
  <c r="R50" i="29" s="1"/>
  <c r="R102" i="29" s="1"/>
  <c r="R15" i="8"/>
  <c r="R15" i="29" s="1"/>
  <c r="R67" i="29" s="1"/>
  <c r="R22" i="8"/>
  <c r="M25" i="8"/>
  <c r="M25" i="29" s="1"/>
  <c r="M77" i="29" s="1"/>
  <c r="M44" i="12"/>
  <c r="V30" i="8"/>
  <c r="U30" i="29" s="1"/>
  <c r="U82" i="29" s="1"/>
  <c r="V41" i="8"/>
  <c r="U41" i="29" s="1"/>
  <c r="U93" i="29" s="1"/>
  <c r="V44" i="8"/>
  <c r="U44" i="29" s="1"/>
  <c r="U96" i="29" s="1"/>
  <c r="V22" i="8"/>
  <c r="U22" i="29" s="1"/>
  <c r="U74" i="29" s="1"/>
  <c r="V20" i="8"/>
  <c r="U20" i="29" s="1"/>
  <c r="U72" i="29" s="1"/>
  <c r="V39" i="8"/>
  <c r="U39" i="29" s="1"/>
  <c r="U91" i="29" s="1"/>
  <c r="V16" i="13"/>
  <c r="V39" i="12"/>
  <c r="V20" i="12"/>
  <c r="M42" i="8"/>
  <c r="M42" i="29" s="1"/>
  <c r="M94" i="29" s="1"/>
  <c r="AB45" i="7"/>
  <c r="V6" i="12"/>
  <c r="V35" i="13"/>
  <c r="M50" i="8"/>
  <c r="M50" i="29" s="1"/>
  <c r="M102" i="29" s="1"/>
  <c r="M47" i="8"/>
  <c r="M47" i="29" s="1"/>
  <c r="M99" i="29" s="1"/>
  <c r="M19" i="8"/>
  <c r="M19" i="29" s="1"/>
  <c r="M71" i="29" s="1"/>
  <c r="M36" i="8"/>
  <c r="M36" i="29" s="1"/>
  <c r="M88" i="29" s="1"/>
  <c r="AB37" i="7"/>
  <c r="V27" i="8"/>
  <c r="U27" i="29" s="1"/>
  <c r="U79" i="29" s="1"/>
  <c r="V37" i="8"/>
  <c r="U37" i="29" s="1"/>
  <c r="U89" i="29" s="1"/>
  <c r="V42" i="8"/>
  <c r="U42" i="29" s="1"/>
  <c r="U94" i="29" s="1"/>
  <c r="V17" i="8"/>
  <c r="U17" i="29" s="1"/>
  <c r="U69" i="29" s="1"/>
  <c r="V15" i="8"/>
  <c r="U15" i="29" s="1"/>
  <c r="U67" i="29" s="1"/>
  <c r="V35" i="8"/>
  <c r="U35" i="29" s="1"/>
  <c r="U87" i="29" s="1"/>
  <c r="V10" i="13"/>
  <c r="V24" i="12"/>
  <c r="V32" i="12"/>
  <c r="V36" i="12"/>
  <c r="V40" i="12"/>
  <c r="M40" i="8"/>
  <c r="M40" i="29" s="1"/>
  <c r="M92" i="29" s="1"/>
  <c r="O44" i="13"/>
  <c r="M43" i="8"/>
  <c r="M43" i="29" s="1"/>
  <c r="M95" i="29" s="1"/>
  <c r="Z44" i="11"/>
  <c r="M22" i="8"/>
  <c r="M22" i="29" s="1"/>
  <c r="M74" i="29" s="1"/>
  <c r="V10" i="8"/>
  <c r="U10" i="29" s="1"/>
  <c r="U62" i="29" s="1"/>
  <c r="Y22" i="9"/>
  <c r="AB22" i="9" s="1"/>
  <c r="AB22" i="7"/>
  <c r="Y35" i="9"/>
  <c r="AB35" i="9" s="1"/>
  <c r="Y29" i="9"/>
  <c r="AB29" i="9" s="1"/>
  <c r="Y42" i="9"/>
  <c r="AB42" i="9" s="1"/>
  <c r="Y33" i="9"/>
  <c r="AB33" i="9" s="1"/>
  <c r="Y27" i="9"/>
  <c r="AB27" i="9" s="1"/>
  <c r="AB27" i="7"/>
  <c r="Y8" i="9"/>
  <c r="AB8" i="9" s="1"/>
  <c r="AB8" i="7"/>
  <c r="Y25" i="9"/>
  <c r="AB25" i="9" s="1"/>
  <c r="Y32" i="9"/>
  <c r="AB32" i="9" s="1"/>
  <c r="AB32" i="7"/>
  <c r="Y16" i="9"/>
  <c r="AB16" i="9" s="1"/>
  <c r="Y53" i="7"/>
  <c r="Y58" i="7" s="1"/>
  <c r="Y26" i="8" s="1"/>
  <c r="X26" i="29" s="1"/>
  <c r="X78" i="29" s="1"/>
  <c r="V14" i="12"/>
  <c r="M38" i="8"/>
  <c r="M38" i="29" s="1"/>
  <c r="M90" i="29" s="1"/>
  <c r="AB51" i="7"/>
  <c r="AB11" i="7"/>
  <c r="AB25" i="7"/>
  <c r="F46" i="5"/>
  <c r="F29" i="5"/>
  <c r="G15" i="32" l="1"/>
  <c r="G14" i="32"/>
  <c r="F15" i="32"/>
  <c r="F14" i="32"/>
  <c r="C11" i="31"/>
  <c r="C9" i="31"/>
  <c r="C7" i="31"/>
  <c r="C13" i="31" s="1"/>
  <c r="L30" i="30"/>
  <c r="L73" i="30" s="1"/>
  <c r="L25" i="30"/>
  <c r="L68" i="30" s="1"/>
  <c r="AE5" i="29"/>
  <c r="AE57" i="29" s="1"/>
  <c r="AI53" i="8"/>
  <c r="L10" i="30"/>
  <c r="L53" i="30" s="1"/>
  <c r="L39" i="30"/>
  <c r="L82" i="30" s="1"/>
  <c r="L14" i="30"/>
  <c r="L57" i="30" s="1"/>
  <c r="L12" i="30"/>
  <c r="L55" i="30" s="1"/>
  <c r="L15" i="31"/>
  <c r="L14" i="31"/>
  <c r="L31" i="30"/>
  <c r="L74" i="30" s="1"/>
  <c r="L18" i="30"/>
  <c r="L61" i="30" s="1"/>
  <c r="K11" i="32"/>
  <c r="C15" i="32"/>
  <c r="C14" i="32"/>
  <c r="G7" i="32"/>
  <c r="G13" i="32" s="1"/>
  <c r="I15" i="32"/>
  <c r="I14" i="32"/>
  <c r="H9" i="31"/>
  <c r="H11" i="31"/>
  <c r="H7" i="31"/>
  <c r="H13" i="31" s="1"/>
  <c r="Q15" i="31"/>
  <c r="Q14" i="31"/>
  <c r="J15" i="31"/>
  <c r="J14" i="31"/>
  <c r="L35" i="30"/>
  <c r="L78" i="30" s="1"/>
  <c r="L23" i="30"/>
  <c r="L66" i="30" s="1"/>
  <c r="B15" i="31"/>
  <c r="B14" i="31"/>
  <c r="L15" i="30"/>
  <c r="L58" i="30" s="1"/>
  <c r="L26" i="30"/>
  <c r="L69" i="30" s="1"/>
  <c r="L20" i="30"/>
  <c r="L63" i="30" s="1"/>
  <c r="L29" i="30"/>
  <c r="L72" i="30" s="1"/>
  <c r="F15" i="31"/>
  <c r="F14" i="31"/>
  <c r="L21" i="30"/>
  <c r="L64" i="30" s="1"/>
  <c r="L34" i="30"/>
  <c r="L77" i="30" s="1"/>
  <c r="K9" i="32"/>
  <c r="G11" i="32"/>
  <c r="E15" i="32"/>
  <c r="E14" i="32"/>
  <c r="F11" i="32"/>
  <c r="K9" i="31"/>
  <c r="K7" i="31"/>
  <c r="K13" i="31" s="1"/>
  <c r="K11" i="31"/>
  <c r="L16" i="30"/>
  <c r="L59" i="30" s="1"/>
  <c r="L41" i="30"/>
  <c r="L84" i="30" s="1"/>
  <c r="L27" i="30"/>
  <c r="L70" i="30" s="1"/>
  <c r="T15" i="31"/>
  <c r="T14" i="31"/>
  <c r="L24" i="30"/>
  <c r="L67" i="30" s="1"/>
  <c r="L32" i="30"/>
  <c r="L75" i="30" s="1"/>
  <c r="M15" i="31"/>
  <c r="M14" i="31"/>
  <c r="L7" i="30"/>
  <c r="L50" i="30" s="1"/>
  <c r="L42" i="30"/>
  <c r="L85" i="30" s="1"/>
  <c r="L38" i="30"/>
  <c r="L81" i="30" s="1"/>
  <c r="L6" i="30"/>
  <c r="L49" i="30" s="1"/>
  <c r="B9" i="32" s="1"/>
  <c r="L13" i="30"/>
  <c r="L56" i="30" s="1"/>
  <c r="L37" i="30"/>
  <c r="L80" i="30" s="1"/>
  <c r="F7" i="32"/>
  <c r="F13" i="32" s="1"/>
  <c r="E15" i="31"/>
  <c r="E14" i="31"/>
  <c r="L11" i="30"/>
  <c r="L54" i="30" s="1"/>
  <c r="L19" i="30"/>
  <c r="L62" i="30" s="1"/>
  <c r="L36" i="30"/>
  <c r="L79" i="30" s="1"/>
  <c r="L9" i="30"/>
  <c r="L52" i="30" s="1"/>
  <c r="L22" i="30"/>
  <c r="L65" i="30" s="1"/>
  <c r="L33" i="30"/>
  <c r="L76" i="30" s="1"/>
  <c r="L8" i="30"/>
  <c r="L51" i="30" s="1"/>
  <c r="L40" i="30"/>
  <c r="L83" i="30" s="1"/>
  <c r="L17" i="30"/>
  <c r="L60" i="30" s="1"/>
  <c r="L28" i="30"/>
  <c r="L71" i="30" s="1"/>
  <c r="D15" i="32"/>
  <c r="D14" i="32"/>
  <c r="AB53" i="7"/>
  <c r="AB53" i="9"/>
  <c r="AB26" i="8"/>
  <c r="E42" i="5"/>
  <c r="W46" i="13"/>
  <c r="W46" i="12"/>
  <c r="W46" i="10"/>
  <c r="W46" i="11"/>
  <c r="W49" i="11" s="1"/>
  <c r="W21" i="12" s="1"/>
  <c r="X21" i="12" s="1"/>
  <c r="AA21" i="12" s="1"/>
  <c r="W11" i="13"/>
  <c r="W36" i="13"/>
  <c r="Y19" i="8"/>
  <c r="X19" i="29" s="1"/>
  <c r="X71" i="29" s="1"/>
  <c r="Y18" i="8"/>
  <c r="X18" i="29" s="1"/>
  <c r="X70" i="29" s="1"/>
  <c r="W10" i="13"/>
  <c r="Y38" i="8"/>
  <c r="X38" i="29" s="1"/>
  <c r="X90" i="29" s="1"/>
  <c r="Y22" i="8"/>
  <c r="X22" i="29" s="1"/>
  <c r="X74" i="29" s="1"/>
  <c r="M53" i="8"/>
  <c r="W27" i="13"/>
  <c r="V44" i="13"/>
  <c r="W21" i="13"/>
  <c r="T21" i="30" s="1"/>
  <c r="T64" i="30" s="1"/>
  <c r="P5" i="13"/>
  <c r="L44" i="13"/>
  <c r="W34" i="13"/>
  <c r="Y44" i="8"/>
  <c r="X44" i="29" s="1"/>
  <c r="X96" i="29" s="1"/>
  <c r="W14" i="13"/>
  <c r="W29" i="13"/>
  <c r="Y7" i="8"/>
  <c r="X7" i="29" s="1"/>
  <c r="X59" i="29" s="1"/>
  <c r="W18" i="13"/>
  <c r="Y32" i="8"/>
  <c r="X32" i="29" s="1"/>
  <c r="X84" i="29" s="1"/>
  <c r="Y27" i="8"/>
  <c r="X27" i="29" s="1"/>
  <c r="X79" i="29" s="1"/>
  <c r="Y42" i="8"/>
  <c r="X42" i="29" s="1"/>
  <c r="X94" i="29" s="1"/>
  <c r="Y35" i="8"/>
  <c r="X35" i="29" s="1"/>
  <c r="X87" i="29" s="1"/>
  <c r="W35" i="13"/>
  <c r="W23" i="13"/>
  <c r="Y12" i="8"/>
  <c r="X12" i="29" s="1"/>
  <c r="X64" i="29" s="1"/>
  <c r="Y39" i="8"/>
  <c r="X39" i="29" s="1"/>
  <c r="X91" i="29" s="1"/>
  <c r="W6" i="13"/>
  <c r="Y28" i="8"/>
  <c r="X28" i="29" s="1"/>
  <c r="X80" i="29" s="1"/>
  <c r="Y23" i="8"/>
  <c r="X23" i="29" s="1"/>
  <c r="X75" i="29" s="1"/>
  <c r="W24" i="13"/>
  <c r="W32" i="13"/>
  <c r="AA47" i="13"/>
  <c r="AA47" i="12"/>
  <c r="AA47" i="11"/>
  <c r="AA47" i="10"/>
  <c r="Y34" i="8"/>
  <c r="X34" i="29" s="1"/>
  <c r="X86" i="29" s="1"/>
  <c r="W13" i="13"/>
  <c r="Y13" i="8"/>
  <c r="X13" i="29" s="1"/>
  <c r="X65" i="29" s="1"/>
  <c r="Y15" i="8"/>
  <c r="X15" i="29" s="1"/>
  <c r="X67" i="29" s="1"/>
  <c r="Y21" i="8"/>
  <c r="X21" i="29" s="1"/>
  <c r="X73" i="29" s="1"/>
  <c r="Y47" i="8"/>
  <c r="X47" i="29" s="1"/>
  <c r="X99" i="29" s="1"/>
  <c r="W8" i="13"/>
  <c r="W40" i="13"/>
  <c r="W12" i="13"/>
  <c r="Y6" i="8"/>
  <c r="X6" i="29" s="1"/>
  <c r="X58" i="29" s="1"/>
  <c r="W31" i="13"/>
  <c r="Y25" i="8"/>
  <c r="X25" i="29" s="1"/>
  <c r="X77" i="29" s="1"/>
  <c r="Y33" i="8"/>
  <c r="X33" i="29" s="1"/>
  <c r="X85" i="29" s="1"/>
  <c r="Y29" i="8"/>
  <c r="X29" i="29" s="1"/>
  <c r="X81" i="29" s="1"/>
  <c r="W28" i="13"/>
  <c r="Y14" i="8"/>
  <c r="X14" i="29" s="1"/>
  <c r="X66" i="29" s="1"/>
  <c r="AM58" i="6"/>
  <c r="AM56" i="9"/>
  <c r="AM56" i="8"/>
  <c r="AM56" i="7"/>
  <c r="Y5" i="8"/>
  <c r="X5" i="29" s="1"/>
  <c r="X57" i="29" s="1"/>
  <c r="R53" i="8"/>
  <c r="S58" i="8" s="1"/>
  <c r="W16" i="13"/>
  <c r="W41" i="13"/>
  <c r="Y50" i="8"/>
  <c r="X50" i="29" s="1"/>
  <c r="X102" i="29" s="1"/>
  <c r="Y17" i="8"/>
  <c r="X17" i="29" s="1"/>
  <c r="X69" i="29" s="1"/>
  <c r="Y43" i="8"/>
  <c r="X43" i="29" s="1"/>
  <c r="X95" i="29" s="1"/>
  <c r="Y31" i="8"/>
  <c r="X31" i="29" s="1"/>
  <c r="X83" i="29" s="1"/>
  <c r="Y51" i="8"/>
  <c r="X51" i="29" s="1"/>
  <c r="X103" i="29" s="1"/>
  <c r="W9" i="13"/>
  <c r="W22" i="13"/>
  <c r="W33" i="13"/>
  <c r="Y20" i="8"/>
  <c r="X20" i="29" s="1"/>
  <c r="X72" i="29" s="1"/>
  <c r="Y37" i="8"/>
  <c r="X37" i="29" s="1"/>
  <c r="X89" i="29" s="1"/>
  <c r="AE55" i="9"/>
  <c r="AE55" i="8"/>
  <c r="AO54" i="8" s="1"/>
  <c r="AE55" i="7"/>
  <c r="Y16" i="8"/>
  <c r="X16" i="29" s="1"/>
  <c r="X68" i="29" s="1"/>
  <c r="Y8" i="8"/>
  <c r="X8" i="29" s="1"/>
  <c r="X60" i="29" s="1"/>
  <c r="W30" i="13"/>
  <c r="W25" i="13"/>
  <c r="W42" i="13"/>
  <c r="Y48" i="8"/>
  <c r="X48" i="29" s="1"/>
  <c r="X100" i="29" s="1"/>
  <c r="W37" i="13"/>
  <c r="V44" i="12"/>
  <c r="Y41" i="8"/>
  <c r="X41" i="29" s="1"/>
  <c r="X93" i="29" s="1"/>
  <c r="Y24" i="8"/>
  <c r="X24" i="29" s="1"/>
  <c r="X76" i="29" s="1"/>
  <c r="Y49" i="8"/>
  <c r="X49" i="29" s="1"/>
  <c r="X101" i="29" s="1"/>
  <c r="Y40" i="8"/>
  <c r="X40" i="29" s="1"/>
  <c r="X92" i="29" s="1"/>
  <c r="AB29" i="8"/>
  <c r="V53" i="8"/>
  <c r="W15" i="13"/>
  <c r="W26" i="13"/>
  <c r="Y53" i="9"/>
  <c r="P5" i="12"/>
  <c r="P44" i="12" s="1"/>
  <c r="L44" i="12"/>
  <c r="W17" i="13"/>
  <c r="Y10" i="8"/>
  <c r="X10" i="29" s="1"/>
  <c r="X62" i="29" s="1"/>
  <c r="Y45" i="8"/>
  <c r="X45" i="29" s="1"/>
  <c r="X97" i="29" s="1"/>
  <c r="Y36" i="8"/>
  <c r="X36" i="29" s="1"/>
  <c r="X88" i="29" s="1"/>
  <c r="W7" i="12"/>
  <c r="X7" i="12" s="1"/>
  <c r="AA7" i="12" s="1"/>
  <c r="W7" i="13"/>
  <c r="T7" i="30" s="1"/>
  <c r="T50" i="30" s="1"/>
  <c r="Y46" i="8"/>
  <c r="X46" i="29" s="1"/>
  <c r="X98" i="29" s="1"/>
  <c r="W19" i="13"/>
  <c r="W39" i="13"/>
  <c r="S53" i="8"/>
  <c r="AA5" i="11"/>
  <c r="P44" i="11"/>
  <c r="Y11" i="8"/>
  <c r="X11" i="29" s="1"/>
  <c r="X63" i="29" s="1"/>
  <c r="Y30" i="8"/>
  <c r="X30" i="29" s="1"/>
  <c r="X82" i="29" s="1"/>
  <c r="AB34" i="8"/>
  <c r="W20" i="13"/>
  <c r="W38" i="13"/>
  <c r="Y9" i="8"/>
  <c r="X9" i="29" s="1"/>
  <c r="X61" i="29" s="1"/>
  <c r="E23" i="5"/>
  <c r="E29" i="5" s="1"/>
  <c r="AE57" i="6"/>
  <c r="B15" i="32" l="1"/>
  <c r="B14" i="32"/>
  <c r="N9" i="31"/>
  <c r="N11" i="31"/>
  <c r="N7" i="31"/>
  <c r="N13" i="31" s="1"/>
  <c r="H15" i="31"/>
  <c r="H14" i="31"/>
  <c r="U9" i="31"/>
  <c r="U11" i="31"/>
  <c r="U7" i="31"/>
  <c r="U13" i="31" s="1"/>
  <c r="B11" i="32"/>
  <c r="K15" i="31"/>
  <c r="K14" i="31"/>
  <c r="B7" i="32"/>
  <c r="B13" i="32" s="1"/>
  <c r="K15" i="32"/>
  <c r="K14" i="32"/>
  <c r="C15" i="31"/>
  <c r="C14" i="31"/>
  <c r="AB43" i="8"/>
  <c r="AB14" i="8"/>
  <c r="AB39" i="8"/>
  <c r="AB32" i="8"/>
  <c r="AB11" i="8"/>
  <c r="AB45" i="8"/>
  <c r="AB24" i="8"/>
  <c r="AB48" i="8"/>
  <c r="AB33" i="8"/>
  <c r="AB31" i="8"/>
  <c r="AB13" i="8"/>
  <c r="W23" i="12"/>
  <c r="X23" i="12" s="1"/>
  <c r="AA23" i="12" s="1"/>
  <c r="AB27" i="8"/>
  <c r="AB10" i="8"/>
  <c r="AB41" i="8"/>
  <c r="W19" i="12"/>
  <c r="X19" i="12" s="1"/>
  <c r="AA19" i="12" s="1"/>
  <c r="AB47" i="8"/>
  <c r="AB40" i="8"/>
  <c r="AB25" i="8"/>
  <c r="AB16" i="8"/>
  <c r="AB37" i="8"/>
  <c r="AB17" i="8"/>
  <c r="W13" i="12"/>
  <c r="X13" i="12" s="1"/>
  <c r="AA13" i="12" s="1"/>
  <c r="AB12" i="8"/>
  <c r="AB44" i="8"/>
  <c r="AB19" i="8"/>
  <c r="AB8" i="8"/>
  <c r="AB18" i="8"/>
  <c r="AB21" i="8"/>
  <c r="AB23" i="8"/>
  <c r="AB35" i="8"/>
  <c r="AB9" i="8"/>
  <c r="AB30" i="8"/>
  <c r="AB46" i="8"/>
  <c r="AB36" i="8"/>
  <c r="AB49" i="8"/>
  <c r="AB51" i="8"/>
  <c r="AB50" i="8"/>
  <c r="AB22" i="8"/>
  <c r="AB6" i="8"/>
  <c r="W8" i="12"/>
  <c r="X8" i="12" s="1"/>
  <c r="AA8" i="12" s="1"/>
  <c r="AB15" i="8"/>
  <c r="AB28" i="8"/>
  <c r="AB42" i="8"/>
  <c r="AB7" i="8"/>
  <c r="AB38" i="8"/>
  <c r="AB20" i="8"/>
  <c r="X33" i="13"/>
  <c r="AA33" i="13" s="1"/>
  <c r="X41" i="13"/>
  <c r="AA41" i="13" s="1"/>
  <c r="S32" i="34" s="1"/>
  <c r="X18" i="13"/>
  <c r="AA18" i="13" s="1"/>
  <c r="X21" i="13"/>
  <c r="AA21" i="13" s="1"/>
  <c r="S12" i="34" s="1"/>
  <c r="X20" i="13"/>
  <c r="AA20" i="13" s="1"/>
  <c r="X19" i="13"/>
  <c r="AA19" i="13" s="1"/>
  <c r="X7" i="13"/>
  <c r="AA7" i="13" s="1"/>
  <c r="X15" i="13"/>
  <c r="AA15" i="13" s="1"/>
  <c r="X37" i="13"/>
  <c r="AA37" i="13" s="1"/>
  <c r="S28" i="34" s="1"/>
  <c r="X22" i="13"/>
  <c r="AA22" i="13" s="1"/>
  <c r="S13" i="34" s="1"/>
  <c r="X16" i="13"/>
  <c r="AA16" i="13" s="1"/>
  <c r="S8" i="34" s="1"/>
  <c r="X12" i="13"/>
  <c r="AA12" i="13" s="1"/>
  <c r="S11" i="34" s="1"/>
  <c r="X32" i="13"/>
  <c r="AA32" i="13" s="1"/>
  <c r="X6" i="13"/>
  <c r="AA6" i="13" s="1"/>
  <c r="X23" i="13"/>
  <c r="AA23" i="13" s="1"/>
  <c r="S14" i="34" s="1"/>
  <c r="X34" i="13"/>
  <c r="AA34" i="13" s="1"/>
  <c r="X36" i="13"/>
  <c r="AA36" i="13" s="1"/>
  <c r="S27" i="34" s="1"/>
  <c r="X39" i="13"/>
  <c r="AA39" i="13" s="1"/>
  <c r="S31" i="34" s="1"/>
  <c r="X25" i="13"/>
  <c r="AA25" i="13" s="1"/>
  <c r="S17" i="34" s="1"/>
  <c r="X9" i="13"/>
  <c r="AA9" i="13" s="1"/>
  <c r="S6" i="34" s="1"/>
  <c r="X28" i="13"/>
  <c r="AA28" i="13" s="1"/>
  <c r="X40" i="13"/>
  <c r="AA40" i="13" s="1"/>
  <c r="S30" i="34" s="1"/>
  <c r="X13" i="13"/>
  <c r="AA13" i="13" s="1"/>
  <c r="AA42" i="17" s="1"/>
  <c r="X24" i="13"/>
  <c r="AA24" i="13" s="1"/>
  <c r="X29" i="13"/>
  <c r="AA29" i="13" s="1"/>
  <c r="S22" i="34" s="1"/>
  <c r="X27" i="13"/>
  <c r="AA27" i="13" s="1"/>
  <c r="S19" i="34" s="1"/>
  <c r="X10" i="13"/>
  <c r="AA10" i="13" s="1"/>
  <c r="S7" i="34" s="1"/>
  <c r="X11" i="13"/>
  <c r="AA11" i="13" s="1"/>
  <c r="S9" i="34" s="1"/>
  <c r="X38" i="13"/>
  <c r="AA38" i="13" s="1"/>
  <c r="S29" i="34" s="1"/>
  <c r="X17" i="13"/>
  <c r="AA17" i="13" s="1"/>
  <c r="S10" i="34" s="1"/>
  <c r="X26" i="13"/>
  <c r="AA26" i="13" s="1"/>
  <c r="S18" i="34" s="1"/>
  <c r="X42" i="13"/>
  <c r="AA42" i="13" s="1"/>
  <c r="S33" i="34" s="1"/>
  <c r="X30" i="13"/>
  <c r="AA30" i="13" s="1"/>
  <c r="S23" i="34" s="1"/>
  <c r="X31" i="13"/>
  <c r="AA31" i="13" s="1"/>
  <c r="S24" i="34" s="1"/>
  <c r="X8" i="13"/>
  <c r="AA8" i="13" s="1"/>
  <c r="S5" i="34" s="1"/>
  <c r="X35" i="13"/>
  <c r="AA35" i="13" s="1"/>
  <c r="X14" i="13"/>
  <c r="AA14" i="13" s="1"/>
  <c r="AA35" i="17"/>
  <c r="Y53" i="8"/>
  <c r="AB5" i="8"/>
  <c r="AB53" i="8" s="1"/>
  <c r="W10" i="12"/>
  <c r="X10" i="12" s="1"/>
  <c r="AA10" i="12" s="1"/>
  <c r="W36" i="12"/>
  <c r="X36" i="12" s="1"/>
  <c r="AA36" i="12" s="1"/>
  <c r="W39" i="12"/>
  <c r="X39" i="12" s="1"/>
  <c r="AA39" i="12" s="1"/>
  <c r="W15" i="12"/>
  <c r="X15" i="12" s="1"/>
  <c r="AA15" i="12" s="1"/>
  <c r="AA64" i="17" s="1"/>
  <c r="W37" i="12"/>
  <c r="X37" i="12" s="1"/>
  <c r="AA37" i="12" s="1"/>
  <c r="W42" i="12"/>
  <c r="X42" i="12" s="1"/>
  <c r="AA42" i="12" s="1"/>
  <c r="W33" i="12"/>
  <c r="X33" i="12" s="1"/>
  <c r="AA33" i="12" s="1"/>
  <c r="W9" i="12"/>
  <c r="X9" i="12" s="1"/>
  <c r="AA9" i="12" s="1"/>
  <c r="W41" i="12"/>
  <c r="X41" i="12" s="1"/>
  <c r="AA41" i="12" s="1"/>
  <c r="W28" i="12"/>
  <c r="X28" i="12" s="1"/>
  <c r="AA28" i="12" s="1"/>
  <c r="W40" i="12"/>
  <c r="X40" i="12" s="1"/>
  <c r="AA40" i="12" s="1"/>
  <c r="W14" i="12"/>
  <c r="X14" i="12" s="1"/>
  <c r="AA14" i="12" s="1"/>
  <c r="W34" i="12"/>
  <c r="X34" i="12" s="1"/>
  <c r="AA34" i="12" s="1"/>
  <c r="S51" i="9"/>
  <c r="S51" i="29" s="1"/>
  <c r="S103" i="29" s="1"/>
  <c r="S35" i="9"/>
  <c r="S35" i="29" s="1"/>
  <c r="S87" i="29" s="1"/>
  <c r="S37" i="9"/>
  <c r="S37" i="29" s="1"/>
  <c r="S89" i="29" s="1"/>
  <c r="S33" i="9"/>
  <c r="S33" i="29" s="1"/>
  <c r="S85" i="29" s="1"/>
  <c r="S46" i="9"/>
  <c r="S46" i="29" s="1"/>
  <c r="S98" i="29" s="1"/>
  <c r="S40" i="9"/>
  <c r="S40" i="29" s="1"/>
  <c r="S92" i="29" s="1"/>
  <c r="S50" i="9"/>
  <c r="S50" i="29" s="1"/>
  <c r="S102" i="29" s="1"/>
  <c r="S38" i="9"/>
  <c r="S38" i="29" s="1"/>
  <c r="S90" i="29" s="1"/>
  <c r="S21" i="9"/>
  <c r="S21" i="29" s="1"/>
  <c r="S73" i="29" s="1"/>
  <c r="S15" i="9"/>
  <c r="S15" i="29" s="1"/>
  <c r="S67" i="29" s="1"/>
  <c r="S17" i="9"/>
  <c r="S17" i="29" s="1"/>
  <c r="S69" i="29" s="1"/>
  <c r="S43" i="9"/>
  <c r="S43" i="29" s="1"/>
  <c r="S95" i="29" s="1"/>
  <c r="S26" i="9"/>
  <c r="S26" i="29" s="1"/>
  <c r="S78" i="29" s="1"/>
  <c r="S24" i="9"/>
  <c r="S24" i="29" s="1"/>
  <c r="S76" i="29" s="1"/>
  <c r="S20" i="9"/>
  <c r="S20" i="29" s="1"/>
  <c r="S72" i="29" s="1"/>
  <c r="S30" i="9"/>
  <c r="S30" i="29" s="1"/>
  <c r="S82" i="29" s="1"/>
  <c r="S22" i="9"/>
  <c r="S22" i="29" s="1"/>
  <c r="S74" i="29" s="1"/>
  <c r="S49" i="9"/>
  <c r="S49" i="29" s="1"/>
  <c r="S101" i="29" s="1"/>
  <c r="S36" i="9"/>
  <c r="S36" i="29" s="1"/>
  <c r="S88" i="29" s="1"/>
  <c r="S12" i="9"/>
  <c r="S12" i="29" s="1"/>
  <c r="S64" i="29" s="1"/>
  <c r="S13" i="9"/>
  <c r="S13" i="29" s="1"/>
  <c r="S65" i="29" s="1"/>
  <c r="S23" i="9"/>
  <c r="S23" i="29" s="1"/>
  <c r="S75" i="29" s="1"/>
  <c r="S19" i="9"/>
  <c r="S19" i="29" s="1"/>
  <c r="S71" i="29" s="1"/>
  <c r="S14" i="9"/>
  <c r="S14" i="29" s="1"/>
  <c r="S66" i="29" s="1"/>
  <c r="S47" i="9"/>
  <c r="S47" i="29" s="1"/>
  <c r="S99" i="29" s="1"/>
  <c r="S10" i="9"/>
  <c r="S10" i="29" s="1"/>
  <c r="S62" i="29" s="1"/>
  <c r="S8" i="9"/>
  <c r="S8" i="29" s="1"/>
  <c r="S60" i="29" s="1"/>
  <c r="S25" i="9"/>
  <c r="S25" i="29" s="1"/>
  <c r="S77" i="29" s="1"/>
  <c r="S6" i="9"/>
  <c r="S6" i="29" s="1"/>
  <c r="S58" i="29" s="1"/>
  <c r="S9" i="9"/>
  <c r="S9" i="29" s="1"/>
  <c r="S61" i="29" s="1"/>
  <c r="S27" i="9"/>
  <c r="S27" i="29" s="1"/>
  <c r="S79" i="29" s="1"/>
  <c r="S16" i="9"/>
  <c r="S16" i="29" s="1"/>
  <c r="S68" i="29" s="1"/>
  <c r="S44" i="9"/>
  <c r="S44" i="29" s="1"/>
  <c r="S96" i="29" s="1"/>
  <c r="S48" i="9"/>
  <c r="S48" i="29" s="1"/>
  <c r="S100" i="29" s="1"/>
  <c r="S42" i="9"/>
  <c r="S42" i="29" s="1"/>
  <c r="S94" i="29" s="1"/>
  <c r="S41" i="9"/>
  <c r="S41" i="29" s="1"/>
  <c r="S93" i="29" s="1"/>
  <c r="S39" i="9"/>
  <c r="S39" i="29" s="1"/>
  <c r="S91" i="29" s="1"/>
  <c r="S32" i="9"/>
  <c r="S32" i="29" s="1"/>
  <c r="S84" i="29" s="1"/>
  <c r="S18" i="9"/>
  <c r="S18" i="29" s="1"/>
  <c r="S70" i="29" s="1"/>
  <c r="S11" i="9"/>
  <c r="S11" i="29" s="1"/>
  <c r="S63" i="29" s="1"/>
  <c r="S31" i="9"/>
  <c r="S31" i="29" s="1"/>
  <c r="S83" i="29" s="1"/>
  <c r="S29" i="9"/>
  <c r="S29" i="29" s="1"/>
  <c r="S81" i="29" s="1"/>
  <c r="S7" i="9"/>
  <c r="S7" i="29" s="1"/>
  <c r="S59" i="29" s="1"/>
  <c r="S34" i="9"/>
  <c r="S34" i="29" s="1"/>
  <c r="S86" i="29" s="1"/>
  <c r="S45" i="9"/>
  <c r="S45" i="29" s="1"/>
  <c r="S97" i="29" s="1"/>
  <c r="S28" i="9"/>
  <c r="S28" i="29" s="1"/>
  <c r="S80" i="29" s="1"/>
  <c r="S5" i="9"/>
  <c r="S5" i="29" s="1"/>
  <c r="S57" i="29" s="1"/>
  <c r="E45" i="5"/>
  <c r="X46" i="13"/>
  <c r="X46" i="12"/>
  <c r="X46" i="11"/>
  <c r="X46" i="10"/>
  <c r="W20" i="12"/>
  <c r="X20" i="12" s="1"/>
  <c r="AA20" i="12" s="1"/>
  <c r="W26" i="12"/>
  <c r="X26" i="12" s="1"/>
  <c r="AA26" i="12" s="1"/>
  <c r="W25" i="12"/>
  <c r="X25" i="12" s="1"/>
  <c r="AA25" i="12" s="1"/>
  <c r="W30" i="12"/>
  <c r="X30" i="12" s="1"/>
  <c r="AA30" i="12" s="1"/>
  <c r="W24" i="12"/>
  <c r="X24" i="12" s="1"/>
  <c r="AA24" i="12" s="1"/>
  <c r="W6" i="12"/>
  <c r="X6" i="12" s="1"/>
  <c r="AA6" i="12" s="1"/>
  <c r="W27" i="12"/>
  <c r="X27" i="12" s="1"/>
  <c r="AA27" i="12" s="1"/>
  <c r="W11" i="12"/>
  <c r="X11" i="12" s="1"/>
  <c r="AA11" i="12" s="1"/>
  <c r="AM57" i="6"/>
  <c r="AM55" i="9"/>
  <c r="AM55" i="8"/>
  <c r="AM55" i="7"/>
  <c r="E46" i="5"/>
  <c r="W5" i="12"/>
  <c r="W5" i="13"/>
  <c r="T5" i="30" s="1"/>
  <c r="T48" i="30" s="1"/>
  <c r="AA44" i="11"/>
  <c r="AG57" i="6"/>
  <c r="AG55" i="9"/>
  <c r="AG55" i="8"/>
  <c r="AG55" i="7"/>
  <c r="W38" i="12"/>
  <c r="X38" i="12" s="1"/>
  <c r="AA38" i="12" s="1"/>
  <c r="W17" i="12"/>
  <c r="X17" i="12" s="1"/>
  <c r="AA17" i="12" s="1"/>
  <c r="W22" i="12"/>
  <c r="X22" i="12" s="1"/>
  <c r="AA22" i="12" s="1"/>
  <c r="W16" i="12"/>
  <c r="X16" i="12" s="1"/>
  <c r="AA16" i="12" s="1"/>
  <c r="W31" i="12"/>
  <c r="X31" i="12" s="1"/>
  <c r="AA31" i="12" s="1"/>
  <c r="W12" i="12"/>
  <c r="X12" i="12" s="1"/>
  <c r="AA12" i="12" s="1"/>
  <c r="AA27" i="17" s="1"/>
  <c r="W32" i="12"/>
  <c r="X32" i="12" s="1"/>
  <c r="AA32" i="12" s="1"/>
  <c r="W35" i="12"/>
  <c r="X35" i="12" s="1"/>
  <c r="AA35" i="12" s="1"/>
  <c r="W18" i="12"/>
  <c r="X18" i="12" s="1"/>
  <c r="AA18" i="12" s="1"/>
  <c r="W29" i="12"/>
  <c r="X29" i="12" s="1"/>
  <c r="AA29" i="12" s="1"/>
  <c r="P44" i="13"/>
  <c r="AA43" i="17" l="1"/>
  <c r="AA276" i="16"/>
  <c r="AG276" i="16" s="1"/>
  <c r="AA176" i="16"/>
  <c r="L176" i="27" s="1"/>
  <c r="O176" i="27" s="1"/>
  <c r="AA287" i="16"/>
  <c r="AG287" i="16" s="1"/>
  <c r="AA191" i="16"/>
  <c r="L191" i="27" s="1"/>
  <c r="O191" i="27" s="1"/>
  <c r="AA104" i="17"/>
  <c r="G6" i="34"/>
  <c r="G11" i="34"/>
  <c r="S25" i="34"/>
  <c r="S15" i="34"/>
  <c r="S20" i="34"/>
  <c r="S21" i="34"/>
  <c r="S26" i="34"/>
  <c r="S16" i="34"/>
  <c r="AA325" i="16"/>
  <c r="AG325" i="16" s="1"/>
  <c r="AA289" i="16"/>
  <c r="AG289" i="16" s="1"/>
  <c r="AA188" i="16"/>
  <c r="L188" i="27" s="1"/>
  <c r="O188" i="27" s="1"/>
  <c r="AA72" i="17"/>
  <c r="T26" i="30"/>
  <c r="T69" i="30" s="1"/>
  <c r="T9" i="30"/>
  <c r="T52" i="30" s="1"/>
  <c r="T8" i="30"/>
  <c r="T51" i="30" s="1"/>
  <c r="T22" i="30"/>
  <c r="T65" i="30" s="1"/>
  <c r="T32" i="30"/>
  <c r="T75" i="30" s="1"/>
  <c r="T30" i="30"/>
  <c r="T73" i="30" s="1"/>
  <c r="T20" i="30"/>
  <c r="T63" i="30" s="1"/>
  <c r="T12" i="30"/>
  <c r="T55" i="30" s="1"/>
  <c r="T39" i="30"/>
  <c r="T82" i="30" s="1"/>
  <c r="AA351" i="16"/>
  <c r="AG351" i="16" s="1"/>
  <c r="AA50" i="17"/>
  <c r="T29" i="30"/>
  <c r="T72" i="30" s="1"/>
  <c r="T17" i="30"/>
  <c r="T60" i="30" s="1"/>
  <c r="T36" i="30"/>
  <c r="T79" i="30" s="1"/>
  <c r="T31" i="30"/>
  <c r="T74" i="30" s="1"/>
  <c r="T14" i="30"/>
  <c r="T57" i="30" s="1"/>
  <c r="T40" i="30"/>
  <c r="T83" i="30" s="1"/>
  <c r="T37" i="30"/>
  <c r="T80" i="30" s="1"/>
  <c r="T11" i="30"/>
  <c r="T54" i="30" s="1"/>
  <c r="T38" i="30"/>
  <c r="T81" i="30" s="1"/>
  <c r="I9" i="31"/>
  <c r="I11" i="31"/>
  <c r="I7" i="31"/>
  <c r="I13" i="31" s="1"/>
  <c r="AA310" i="16"/>
  <c r="AG310" i="16" s="1"/>
  <c r="AA98" i="17"/>
  <c r="AA70" i="17"/>
  <c r="T23" i="30"/>
  <c r="T66" i="30" s="1"/>
  <c r="T34" i="30"/>
  <c r="T77" i="30" s="1"/>
  <c r="T18" i="30"/>
  <c r="T61" i="30" s="1"/>
  <c r="T28" i="30"/>
  <c r="T71" i="30" s="1"/>
  <c r="U15" i="31"/>
  <c r="U14" i="31"/>
  <c r="T35" i="30"/>
  <c r="T78" i="30" s="1"/>
  <c r="T41" i="30"/>
  <c r="T84" i="30" s="1"/>
  <c r="T15" i="30"/>
  <c r="T58" i="30" s="1"/>
  <c r="T10" i="30"/>
  <c r="T53" i="30" s="1"/>
  <c r="T25" i="30"/>
  <c r="T68" i="30" s="1"/>
  <c r="T13" i="30"/>
  <c r="T56" i="30" s="1"/>
  <c r="T24" i="30"/>
  <c r="T67" i="30" s="1"/>
  <c r="T16" i="30"/>
  <c r="T59" i="30" s="1"/>
  <c r="T42" i="30"/>
  <c r="T85" i="30" s="1"/>
  <c r="T6" i="30"/>
  <c r="T49" i="30" s="1"/>
  <c r="J9" i="32" s="1"/>
  <c r="T33" i="30"/>
  <c r="T76" i="30" s="1"/>
  <c r="T19" i="30"/>
  <c r="T62" i="30" s="1"/>
  <c r="T27" i="30"/>
  <c r="T70" i="30" s="1"/>
  <c r="N15" i="31"/>
  <c r="N14" i="31"/>
  <c r="AA297" i="16"/>
  <c r="AG297" i="16" s="1"/>
  <c r="AA58" i="17"/>
  <c r="AA54" i="17"/>
  <c r="AA365" i="16"/>
  <c r="AG365" i="16" s="1"/>
  <c r="AA82" i="17"/>
  <c r="AA120" i="17"/>
  <c r="AA189" i="16"/>
  <c r="L189" i="27" s="1"/>
  <c r="O189" i="27" s="1"/>
  <c r="AA320" i="16"/>
  <c r="AG320" i="16" s="1"/>
  <c r="AA318" i="16"/>
  <c r="AG318" i="16" s="1"/>
  <c r="AA66" i="17"/>
  <c r="AA74" i="17"/>
  <c r="AA338" i="16"/>
  <c r="AG338" i="16" s="1"/>
  <c r="AA88" i="17"/>
  <c r="AA186" i="16"/>
  <c r="L186" i="27" s="1"/>
  <c r="O186" i="27" s="1"/>
  <c r="AA316" i="16"/>
  <c r="AG316" i="16" s="1"/>
  <c r="AA311" i="16"/>
  <c r="AG311" i="16" s="1"/>
  <c r="AA68" i="17"/>
  <c r="AA76" i="17"/>
  <c r="J11" i="32"/>
  <c r="L11" i="32" s="1"/>
  <c r="AA195" i="16"/>
  <c r="L195" i="27" s="1"/>
  <c r="O195" i="27" s="1"/>
  <c r="AA75" i="17"/>
  <c r="AA360" i="16"/>
  <c r="AG360" i="16" s="1"/>
  <c r="AA327" i="16"/>
  <c r="AG327" i="16" s="1"/>
  <c r="AA184" i="16"/>
  <c r="L184" i="27" s="1"/>
  <c r="O184" i="27" s="1"/>
  <c r="AA194" i="16"/>
  <c r="L194" i="27" s="1"/>
  <c r="O194" i="27" s="1"/>
  <c r="AA313" i="16"/>
  <c r="AG313" i="16" s="1"/>
  <c r="AA319" i="16"/>
  <c r="AG319" i="16" s="1"/>
  <c r="AA291" i="16"/>
  <c r="AG291" i="16" s="1"/>
  <c r="AA118" i="17"/>
  <c r="AA203" i="16"/>
  <c r="L203" i="27" s="1"/>
  <c r="O203" i="27" s="1"/>
  <c r="AA135" i="16"/>
  <c r="L135" i="27" s="1"/>
  <c r="O135" i="27" s="1"/>
  <c r="AA333" i="16"/>
  <c r="AG333" i="16" s="1"/>
  <c r="AA346" i="16"/>
  <c r="AG346" i="16" s="1"/>
  <c r="AA359" i="16"/>
  <c r="AG359" i="16" s="1"/>
  <c r="AA90" i="17"/>
  <c r="AA112" i="17"/>
  <c r="AA328" i="16"/>
  <c r="AG328" i="16" s="1"/>
  <c r="AA357" i="16"/>
  <c r="AG357" i="16" s="1"/>
  <c r="AA368" i="16"/>
  <c r="AG368" i="16" s="1"/>
  <c r="AA80" i="17"/>
  <c r="AA96" i="17"/>
  <c r="AA114" i="17"/>
  <c r="AA106" i="17"/>
  <c r="AA122" i="17"/>
  <c r="AA200" i="16"/>
  <c r="L200" i="27" s="1"/>
  <c r="O200" i="27" s="1"/>
  <c r="AA123" i="17"/>
  <c r="AA336" i="16"/>
  <c r="AG336" i="16" s="1"/>
  <c r="AA332" i="16"/>
  <c r="AG332" i="16" s="1"/>
  <c r="AA341" i="16"/>
  <c r="AG341" i="16" s="1"/>
  <c r="AA322" i="16"/>
  <c r="AG322" i="16" s="1"/>
  <c r="AA354" i="16"/>
  <c r="AG354" i="16" s="1"/>
  <c r="AA335" i="16"/>
  <c r="AG335" i="16" s="1"/>
  <c r="AA367" i="16"/>
  <c r="AG367" i="16" s="1"/>
  <c r="AA84" i="17"/>
  <c r="AA92" i="17"/>
  <c r="AA100" i="17"/>
  <c r="AA108" i="17"/>
  <c r="AA116" i="17"/>
  <c r="AA124" i="17"/>
  <c r="AA136" i="17"/>
  <c r="AA235" i="16"/>
  <c r="L235" i="27" s="1"/>
  <c r="O235" i="27" s="1"/>
  <c r="AA463" i="16"/>
  <c r="L463" i="27" s="1"/>
  <c r="O463" i="27" s="1"/>
  <c r="AA340" i="16"/>
  <c r="AG340" i="16" s="1"/>
  <c r="AA364" i="16"/>
  <c r="AG364" i="16" s="1"/>
  <c r="AA349" i="16"/>
  <c r="AG349" i="16" s="1"/>
  <c r="AA330" i="16"/>
  <c r="AG330" i="16" s="1"/>
  <c r="AA362" i="16"/>
  <c r="AG362" i="16" s="1"/>
  <c r="AA343" i="16"/>
  <c r="AG343" i="16" s="1"/>
  <c r="AA78" i="17"/>
  <c r="AA86" i="17"/>
  <c r="AA94" i="17"/>
  <c r="AA102" i="17"/>
  <c r="AA110" i="17"/>
  <c r="AA228" i="16"/>
  <c r="L228" i="27" s="1"/>
  <c r="O228" i="27" s="1"/>
  <c r="AA232" i="16"/>
  <c r="L232" i="27" s="1"/>
  <c r="O232" i="27" s="1"/>
  <c r="AA217" i="16"/>
  <c r="L217" i="27" s="1"/>
  <c r="O217" i="27" s="1"/>
  <c r="AA210" i="16"/>
  <c r="AG210" i="16" s="1"/>
  <c r="AA219" i="16"/>
  <c r="L219" i="27" s="1"/>
  <c r="O219" i="27" s="1"/>
  <c r="AA32" i="16"/>
  <c r="L32" i="27" s="1"/>
  <c r="O32" i="27" s="1"/>
  <c r="AA140" i="16"/>
  <c r="L140" i="27" s="1"/>
  <c r="O140" i="27" s="1"/>
  <c r="AA65" i="16"/>
  <c r="L65" i="27" s="1"/>
  <c r="O65" i="27" s="1"/>
  <c r="AA145" i="16"/>
  <c r="L145" i="27" s="1"/>
  <c r="O145" i="27" s="1"/>
  <c r="AA66" i="16"/>
  <c r="L66" i="27" s="1"/>
  <c r="O66" i="27" s="1"/>
  <c r="AA31" i="16"/>
  <c r="L31" i="27" s="1"/>
  <c r="O31" i="27" s="1"/>
  <c r="AA296" i="16"/>
  <c r="AG296" i="16" s="1"/>
  <c r="AA46" i="17"/>
  <c r="AA62" i="17"/>
  <c r="AA244" i="16"/>
  <c r="L244" i="27" s="1"/>
  <c r="O244" i="27" s="1"/>
  <c r="AA220" i="16"/>
  <c r="L220" i="27" s="1"/>
  <c r="O220" i="27" s="1"/>
  <c r="AA221" i="16"/>
  <c r="L221" i="27" s="1"/>
  <c r="O221" i="27" s="1"/>
  <c r="AA237" i="16"/>
  <c r="L237" i="27" s="1"/>
  <c r="O237" i="27" s="1"/>
  <c r="AA214" i="16"/>
  <c r="L214" i="27" s="1"/>
  <c r="O214" i="27" s="1"/>
  <c r="AA230" i="16"/>
  <c r="L230" i="27" s="1"/>
  <c r="O230" i="27" s="1"/>
  <c r="AA246" i="16"/>
  <c r="L246" i="27" s="1"/>
  <c r="O246" i="27" s="1"/>
  <c r="AA223" i="16"/>
  <c r="L223" i="27" s="1"/>
  <c r="O223" i="27" s="1"/>
  <c r="AA239" i="16"/>
  <c r="L239" i="27" s="1"/>
  <c r="O239" i="27" s="1"/>
  <c r="AA181" i="16"/>
  <c r="L181" i="27" s="1"/>
  <c r="O181" i="27" s="1"/>
  <c r="AA324" i="16"/>
  <c r="AG324" i="16" s="1"/>
  <c r="AA344" i="16"/>
  <c r="AG344" i="16" s="1"/>
  <c r="AA348" i="16"/>
  <c r="AG348" i="16" s="1"/>
  <c r="AA329" i="16"/>
  <c r="AG329" i="16" s="1"/>
  <c r="AA345" i="16"/>
  <c r="AG345" i="16" s="1"/>
  <c r="AA361" i="16"/>
  <c r="AG361" i="16" s="1"/>
  <c r="AA326" i="16"/>
  <c r="AG326" i="16" s="1"/>
  <c r="AA342" i="16"/>
  <c r="AG342" i="16" s="1"/>
  <c r="AA358" i="16"/>
  <c r="AG358" i="16" s="1"/>
  <c r="AA323" i="16"/>
  <c r="AG323" i="16" s="1"/>
  <c r="AA339" i="16"/>
  <c r="AG339" i="16" s="1"/>
  <c r="AA355" i="16"/>
  <c r="AG355" i="16" s="1"/>
  <c r="AA77" i="17"/>
  <c r="AA81" i="17"/>
  <c r="AA85" i="17"/>
  <c r="AA89" i="17"/>
  <c r="AA93" i="17"/>
  <c r="AA97" i="17"/>
  <c r="AA101" i="17"/>
  <c r="AA105" i="17"/>
  <c r="AA109" i="17"/>
  <c r="AA113" i="17"/>
  <c r="AA117" i="17"/>
  <c r="AA121" i="17"/>
  <c r="AA125" i="17"/>
  <c r="AA286" i="16"/>
  <c r="AG286" i="16" s="1"/>
  <c r="AA39" i="17"/>
  <c r="AA192" i="16"/>
  <c r="L192" i="27" s="1"/>
  <c r="O192" i="27" s="1"/>
  <c r="AA193" i="16"/>
  <c r="L193" i="27" s="1"/>
  <c r="O193" i="27" s="1"/>
  <c r="AA187" i="16"/>
  <c r="L187" i="27" s="1"/>
  <c r="O187" i="27" s="1"/>
  <c r="AA209" i="16"/>
  <c r="L209" i="27" s="1"/>
  <c r="O209" i="27" s="1"/>
  <c r="AA64" i="16"/>
  <c r="L64" i="27" s="1"/>
  <c r="O64" i="27" s="1"/>
  <c r="AA104" i="16"/>
  <c r="L104" i="27" s="1"/>
  <c r="O104" i="27" s="1"/>
  <c r="AA12" i="16"/>
  <c r="L12" i="27" s="1"/>
  <c r="O12" i="27" s="1"/>
  <c r="AA144" i="16"/>
  <c r="L144" i="27" s="1"/>
  <c r="O144" i="27" s="1"/>
  <c r="AA29" i="16"/>
  <c r="L29" i="27" s="1"/>
  <c r="O29" i="27" s="1"/>
  <c r="AA69" i="16"/>
  <c r="L69" i="27" s="1"/>
  <c r="O69" i="27" s="1"/>
  <c r="AA109" i="16"/>
  <c r="L109" i="27" s="1"/>
  <c r="O109" i="27" s="1"/>
  <c r="AA2" i="16"/>
  <c r="L2" i="27" s="1"/>
  <c r="AA30" i="16"/>
  <c r="L30" i="27" s="1"/>
  <c r="O30" i="27" s="1"/>
  <c r="AA70" i="16"/>
  <c r="L70" i="27" s="1"/>
  <c r="O70" i="27" s="1"/>
  <c r="AA134" i="16"/>
  <c r="L134" i="27" s="1"/>
  <c r="O134" i="27" s="1"/>
  <c r="AA7" i="16"/>
  <c r="L7" i="27" s="1"/>
  <c r="O7" i="27" s="1"/>
  <c r="AA35" i="16"/>
  <c r="L35" i="27" s="1"/>
  <c r="O35" i="27" s="1"/>
  <c r="AA99" i="16"/>
  <c r="L99" i="27" s="1"/>
  <c r="O99" i="27" s="1"/>
  <c r="AA139" i="16"/>
  <c r="L139" i="27" s="1"/>
  <c r="O139" i="27" s="1"/>
  <c r="AA264" i="16"/>
  <c r="AG264" i="16" s="1"/>
  <c r="AA249" i="16"/>
  <c r="AG249" i="16" s="1"/>
  <c r="AA265" i="16"/>
  <c r="AG265" i="16" s="1"/>
  <c r="AA258" i="16"/>
  <c r="AG258" i="16" s="1"/>
  <c r="AA247" i="16"/>
  <c r="AG247" i="16" s="1"/>
  <c r="AA263" i="16"/>
  <c r="AG263" i="16" s="1"/>
  <c r="AA4" i="17"/>
  <c r="AA8" i="17"/>
  <c r="AA12" i="17"/>
  <c r="AA16" i="17"/>
  <c r="AA20" i="17"/>
  <c r="AA24" i="17"/>
  <c r="AA308" i="16"/>
  <c r="AG308" i="16" s="1"/>
  <c r="AA309" i="16"/>
  <c r="AG309" i="16" s="1"/>
  <c r="AA314" i="16"/>
  <c r="AG314" i="16" s="1"/>
  <c r="AA315" i="16"/>
  <c r="AG315" i="16" s="1"/>
  <c r="AA65" i="17"/>
  <c r="AA69" i="17"/>
  <c r="AA73" i="17"/>
  <c r="AA468" i="16"/>
  <c r="L468" i="27" s="1"/>
  <c r="O468" i="27" s="1"/>
  <c r="AA469" i="16"/>
  <c r="L469" i="27" s="1"/>
  <c r="O469" i="27" s="1"/>
  <c r="AA466" i="16"/>
  <c r="L466" i="27" s="1"/>
  <c r="O466" i="27" s="1"/>
  <c r="AA467" i="16"/>
  <c r="L467" i="27" s="1"/>
  <c r="O467" i="27" s="1"/>
  <c r="AA377" i="16"/>
  <c r="L377" i="27" s="1"/>
  <c r="O377" i="27" s="1"/>
  <c r="AA405" i="16"/>
  <c r="L405" i="27" s="1"/>
  <c r="O405" i="27" s="1"/>
  <c r="AA433" i="16"/>
  <c r="L433" i="27" s="1"/>
  <c r="O433" i="27" s="1"/>
  <c r="AA416" i="16"/>
  <c r="L416" i="27" s="1"/>
  <c r="O416" i="27" s="1"/>
  <c r="AA386" i="16"/>
  <c r="L386" i="27" s="1"/>
  <c r="O386" i="27" s="1"/>
  <c r="AA414" i="16"/>
  <c r="L414" i="27" s="1"/>
  <c r="O414" i="27" s="1"/>
  <c r="AA432" i="16"/>
  <c r="L432" i="27" s="1"/>
  <c r="O432" i="27" s="1"/>
  <c r="AA391" i="16"/>
  <c r="L391" i="27" s="1"/>
  <c r="O391" i="27" s="1"/>
  <c r="AA423" i="16"/>
  <c r="L423" i="27" s="1"/>
  <c r="O423" i="27" s="1"/>
  <c r="AA450" i="16"/>
  <c r="AG450" i="16" s="1"/>
  <c r="AA137" i="17"/>
  <c r="AA456" i="16"/>
  <c r="AG456" i="16" s="1"/>
  <c r="AA455" i="16"/>
  <c r="AG455" i="16" s="1"/>
  <c r="AA240" i="16"/>
  <c r="L240" i="27" s="1"/>
  <c r="O240" i="27" s="1"/>
  <c r="AA236" i="16"/>
  <c r="L236" i="27" s="1"/>
  <c r="O236" i="27" s="1"/>
  <c r="AA241" i="16"/>
  <c r="L241" i="27" s="1"/>
  <c r="O241" i="27" s="1"/>
  <c r="AA234" i="16"/>
  <c r="L234" i="27" s="1"/>
  <c r="O234" i="27" s="1"/>
  <c r="AA227" i="16"/>
  <c r="L227" i="27" s="1"/>
  <c r="O227" i="27" s="1"/>
  <c r="AA182" i="16"/>
  <c r="L182" i="27" s="1"/>
  <c r="O182" i="27" s="1"/>
  <c r="AA108" i="16"/>
  <c r="L108" i="27" s="1"/>
  <c r="O108" i="27" s="1"/>
  <c r="AA8" i="16"/>
  <c r="L8" i="27" s="1"/>
  <c r="O8" i="27" s="1"/>
  <c r="AA28" i="16"/>
  <c r="AA5" i="16"/>
  <c r="L5" i="27" s="1"/>
  <c r="O5" i="27" s="1"/>
  <c r="AA33" i="16"/>
  <c r="L33" i="27" s="1"/>
  <c r="O33" i="27" s="1"/>
  <c r="AA73" i="16"/>
  <c r="L73" i="27" s="1"/>
  <c r="O73" i="27" s="1"/>
  <c r="AA137" i="16"/>
  <c r="AA6" i="16"/>
  <c r="L6" i="27" s="1"/>
  <c r="O6" i="27" s="1"/>
  <c r="AA34" i="16"/>
  <c r="L34" i="27" s="1"/>
  <c r="O34" i="27" s="1"/>
  <c r="AA98" i="16"/>
  <c r="L98" i="27" s="1"/>
  <c r="O98" i="27" s="1"/>
  <c r="AA138" i="16"/>
  <c r="AA11" i="16"/>
  <c r="L11" i="27" s="1"/>
  <c r="O11" i="27" s="1"/>
  <c r="AA63" i="16"/>
  <c r="L63" i="27" s="1"/>
  <c r="O63" i="27" s="1"/>
  <c r="AA103" i="16"/>
  <c r="L103" i="27" s="1"/>
  <c r="O103" i="27" s="1"/>
  <c r="AA143" i="16"/>
  <c r="AA256" i="16"/>
  <c r="AG256" i="16" s="1"/>
  <c r="AA253" i="16"/>
  <c r="AG253" i="16" s="1"/>
  <c r="AA269" i="16"/>
  <c r="AG269" i="16" s="1"/>
  <c r="AA262" i="16"/>
  <c r="AG262" i="16" s="1"/>
  <c r="AA251" i="16"/>
  <c r="AG251" i="16" s="1"/>
  <c r="AA267" i="16"/>
  <c r="AG267" i="16" s="1"/>
  <c r="AA5" i="17"/>
  <c r="AA9" i="17"/>
  <c r="AA13" i="17"/>
  <c r="AA17" i="17"/>
  <c r="AA21" i="17"/>
  <c r="AA25" i="17"/>
  <c r="AA457" i="16"/>
  <c r="L457" i="27" s="1"/>
  <c r="AA460" i="16"/>
  <c r="L460" i="27" s="1"/>
  <c r="O460" i="27" s="1"/>
  <c r="AA464" i="16"/>
  <c r="L464" i="27" s="1"/>
  <c r="O464" i="27" s="1"/>
  <c r="AA396" i="16"/>
  <c r="L396" i="27" s="1"/>
  <c r="O396" i="27" s="1"/>
  <c r="AA385" i="16"/>
  <c r="L385" i="27" s="1"/>
  <c r="O385" i="27" s="1"/>
  <c r="AA409" i="16"/>
  <c r="L409" i="27" s="1"/>
  <c r="O409" i="27" s="1"/>
  <c r="AA441" i="16"/>
  <c r="L441" i="27" s="1"/>
  <c r="O441" i="27" s="1"/>
  <c r="AA440" i="16"/>
  <c r="L440" i="27" s="1"/>
  <c r="O440" i="27" s="1"/>
  <c r="AA394" i="16"/>
  <c r="L394" i="27" s="1"/>
  <c r="O394" i="27" s="1"/>
  <c r="AA426" i="16"/>
  <c r="L426" i="27" s="1"/>
  <c r="O426" i="27" s="1"/>
  <c r="AA376" i="16"/>
  <c r="L376" i="27" s="1"/>
  <c r="O376" i="27" s="1"/>
  <c r="AA444" i="16"/>
  <c r="AA399" i="16"/>
  <c r="L399" i="27" s="1"/>
  <c r="O399" i="27" s="1"/>
  <c r="AA427" i="16"/>
  <c r="L427" i="27" s="1"/>
  <c r="O427" i="27" s="1"/>
  <c r="AA130" i="17"/>
  <c r="AA454" i="16"/>
  <c r="AG454" i="16" s="1"/>
  <c r="AA446" i="16"/>
  <c r="AG446" i="16" s="1"/>
  <c r="AA224" i="16"/>
  <c r="L224" i="27" s="1"/>
  <c r="O224" i="27" s="1"/>
  <c r="AA225" i="16"/>
  <c r="L225" i="27" s="1"/>
  <c r="O225" i="27" s="1"/>
  <c r="AA218" i="16"/>
  <c r="L218" i="27" s="1"/>
  <c r="O218" i="27" s="1"/>
  <c r="AA211" i="16"/>
  <c r="L211" i="27" s="1"/>
  <c r="O211" i="27" s="1"/>
  <c r="AA243" i="16"/>
  <c r="L243" i="27" s="1"/>
  <c r="O243" i="27" s="1"/>
  <c r="AA294" i="16"/>
  <c r="AG294" i="16" s="1"/>
  <c r="AA212" i="16"/>
  <c r="L212" i="27" s="1"/>
  <c r="O212" i="27" s="1"/>
  <c r="AA216" i="16"/>
  <c r="L216" i="27" s="1"/>
  <c r="O216" i="27" s="1"/>
  <c r="AA213" i="16"/>
  <c r="L213" i="27" s="1"/>
  <c r="O213" i="27" s="1"/>
  <c r="AA229" i="16"/>
  <c r="L229" i="27" s="1"/>
  <c r="O229" i="27" s="1"/>
  <c r="AA245" i="16"/>
  <c r="L245" i="27" s="1"/>
  <c r="O245" i="27" s="1"/>
  <c r="AA222" i="16"/>
  <c r="L222" i="27" s="1"/>
  <c r="O222" i="27" s="1"/>
  <c r="AA238" i="16"/>
  <c r="L238" i="27" s="1"/>
  <c r="O238" i="27" s="1"/>
  <c r="AA215" i="16"/>
  <c r="L215" i="27" s="1"/>
  <c r="O215" i="27" s="1"/>
  <c r="AA231" i="16"/>
  <c r="L231" i="27" s="1"/>
  <c r="O231" i="27" s="1"/>
  <c r="AA2" i="17"/>
  <c r="AA183" i="16"/>
  <c r="L183" i="27" s="1"/>
  <c r="O183" i="27" s="1"/>
  <c r="AA356" i="16"/>
  <c r="AG356" i="16" s="1"/>
  <c r="AA352" i="16"/>
  <c r="AG352" i="16" s="1"/>
  <c r="AA321" i="16"/>
  <c r="AG321" i="16" s="1"/>
  <c r="AA337" i="16"/>
  <c r="AG337" i="16" s="1"/>
  <c r="AA353" i="16"/>
  <c r="AG353" i="16" s="1"/>
  <c r="AA369" i="16"/>
  <c r="AG369" i="16" s="1"/>
  <c r="AA334" i="16"/>
  <c r="AG334" i="16" s="1"/>
  <c r="AA350" i="16"/>
  <c r="AG350" i="16" s="1"/>
  <c r="AA366" i="16"/>
  <c r="AG366" i="16" s="1"/>
  <c r="AA331" i="16"/>
  <c r="AG331" i="16" s="1"/>
  <c r="AA347" i="16"/>
  <c r="AG347" i="16" s="1"/>
  <c r="AA363" i="16"/>
  <c r="AG363" i="16" s="1"/>
  <c r="AA79" i="17"/>
  <c r="AA83" i="17"/>
  <c r="AA87" i="17"/>
  <c r="AA91" i="17"/>
  <c r="AA95" i="17"/>
  <c r="AA99" i="17"/>
  <c r="AA103" i="17"/>
  <c r="AA107" i="17"/>
  <c r="AA111" i="17"/>
  <c r="AA115" i="17"/>
  <c r="AA119" i="17"/>
  <c r="AA273" i="16"/>
  <c r="AG273" i="16" s="1"/>
  <c r="AA31" i="17"/>
  <c r="AA196" i="16"/>
  <c r="AA185" i="16"/>
  <c r="L185" i="27" s="1"/>
  <c r="O185" i="27" s="1"/>
  <c r="AA190" i="16"/>
  <c r="L190" i="27" s="1"/>
  <c r="O190" i="27" s="1"/>
  <c r="AA4" i="16"/>
  <c r="L4" i="27" s="1"/>
  <c r="O4" i="27" s="1"/>
  <c r="AA136" i="16"/>
  <c r="L136" i="27" s="1"/>
  <c r="O136" i="27" s="1"/>
  <c r="AA68" i="16"/>
  <c r="L68" i="27" s="1"/>
  <c r="O68" i="27" s="1"/>
  <c r="AA72" i="16"/>
  <c r="AA9" i="16"/>
  <c r="L9" i="27" s="1"/>
  <c r="O9" i="27" s="1"/>
  <c r="AA37" i="16"/>
  <c r="L37" i="27" s="1"/>
  <c r="O37" i="27" s="1"/>
  <c r="AA101" i="16"/>
  <c r="L101" i="27" s="1"/>
  <c r="O101" i="27" s="1"/>
  <c r="AA141" i="16"/>
  <c r="L141" i="27" s="1"/>
  <c r="O141" i="27" s="1"/>
  <c r="AA10" i="16"/>
  <c r="L10" i="27" s="1"/>
  <c r="O10" i="27" s="1"/>
  <c r="AA62" i="16"/>
  <c r="L62" i="27" s="1"/>
  <c r="O62" i="27" s="1"/>
  <c r="AA102" i="16"/>
  <c r="L102" i="27" s="1"/>
  <c r="O102" i="27" s="1"/>
  <c r="AA142" i="16"/>
  <c r="L142" i="27" s="1"/>
  <c r="O142" i="27" s="1"/>
  <c r="AA27" i="16"/>
  <c r="L27" i="27" s="1"/>
  <c r="O27" i="27" s="1"/>
  <c r="AA67" i="16"/>
  <c r="L67" i="27" s="1"/>
  <c r="O67" i="27" s="1"/>
  <c r="AA107" i="16"/>
  <c r="L107" i="27" s="1"/>
  <c r="O107" i="27" s="1"/>
  <c r="AA260" i="16"/>
  <c r="AG260" i="16" s="1"/>
  <c r="AA252" i="16"/>
  <c r="AG252" i="16" s="1"/>
  <c r="AA257" i="16"/>
  <c r="AG257" i="16" s="1"/>
  <c r="AA250" i="16"/>
  <c r="AG250" i="16" s="1"/>
  <c r="AA266" i="16"/>
  <c r="AG266" i="16" s="1"/>
  <c r="AA255" i="16"/>
  <c r="AG255" i="16" s="1"/>
  <c r="AA271" i="16"/>
  <c r="AG271" i="16" s="1"/>
  <c r="AA6" i="17"/>
  <c r="AA10" i="17"/>
  <c r="AA14" i="17"/>
  <c r="AA18" i="17"/>
  <c r="AA22" i="17"/>
  <c r="AA26" i="17"/>
  <c r="AA312" i="16"/>
  <c r="AG312" i="16" s="1"/>
  <c r="AA317" i="16"/>
  <c r="AG317" i="16" s="1"/>
  <c r="AA307" i="16"/>
  <c r="AA63" i="17"/>
  <c r="AA67" i="17"/>
  <c r="AA71" i="17"/>
  <c r="AA461" i="16"/>
  <c r="L461" i="27" s="1"/>
  <c r="O461" i="27" s="1"/>
  <c r="AA458" i="16"/>
  <c r="L458" i="27" s="1"/>
  <c r="O458" i="27" s="1"/>
  <c r="AA459" i="16"/>
  <c r="L459" i="27" s="1"/>
  <c r="O459" i="27" s="1"/>
  <c r="AA412" i="16"/>
  <c r="L412" i="27" s="1"/>
  <c r="O412" i="27" s="1"/>
  <c r="AA389" i="16"/>
  <c r="L389" i="27" s="1"/>
  <c r="O389" i="27" s="1"/>
  <c r="AA421" i="16"/>
  <c r="L421" i="27" s="1"/>
  <c r="O421" i="27" s="1"/>
  <c r="AA372" i="16"/>
  <c r="L372" i="27" s="1"/>
  <c r="O372" i="27" s="1"/>
  <c r="AA370" i="16"/>
  <c r="L370" i="27" s="1"/>
  <c r="AA402" i="16"/>
  <c r="L402" i="27" s="1"/>
  <c r="O402" i="27" s="1"/>
  <c r="AA430" i="16"/>
  <c r="L430" i="27" s="1"/>
  <c r="O430" i="27" s="1"/>
  <c r="AA388" i="16"/>
  <c r="L388" i="27" s="1"/>
  <c r="O388" i="27" s="1"/>
  <c r="AA379" i="16"/>
  <c r="L379" i="27" s="1"/>
  <c r="O379" i="27" s="1"/>
  <c r="AA407" i="16"/>
  <c r="L407" i="27" s="1"/>
  <c r="O407" i="27" s="1"/>
  <c r="AA431" i="16"/>
  <c r="AA134" i="17"/>
  <c r="AA135" i="17"/>
  <c r="AA132" i="17"/>
  <c r="AA233" i="16"/>
  <c r="L233" i="27" s="1"/>
  <c r="O233" i="27" s="1"/>
  <c r="AA226" i="16"/>
  <c r="L226" i="27" s="1"/>
  <c r="O226" i="27" s="1"/>
  <c r="AA242" i="16"/>
  <c r="L242" i="27" s="1"/>
  <c r="O242" i="27" s="1"/>
  <c r="AA36" i="16"/>
  <c r="L36" i="27" s="1"/>
  <c r="O36" i="27" s="1"/>
  <c r="AA100" i="16"/>
  <c r="L100" i="27" s="1"/>
  <c r="O100" i="27" s="1"/>
  <c r="AA13" i="16"/>
  <c r="L13" i="27" s="1"/>
  <c r="O13" i="27" s="1"/>
  <c r="AA105" i="16"/>
  <c r="L105" i="27" s="1"/>
  <c r="O105" i="27" s="1"/>
  <c r="AA26" i="16"/>
  <c r="L26" i="27" s="1"/>
  <c r="O26" i="27" s="1"/>
  <c r="AA106" i="16"/>
  <c r="L106" i="27" s="1"/>
  <c r="O106" i="27" s="1"/>
  <c r="AA3" i="16"/>
  <c r="L3" i="27" s="1"/>
  <c r="O3" i="27" s="1"/>
  <c r="AA71" i="16"/>
  <c r="L71" i="27" s="1"/>
  <c r="O71" i="27" s="1"/>
  <c r="AA248" i="16"/>
  <c r="AG248" i="16" s="1"/>
  <c r="AA268" i="16"/>
  <c r="AG268" i="16" s="1"/>
  <c r="AA261" i="16"/>
  <c r="AG261" i="16" s="1"/>
  <c r="AA254" i="16"/>
  <c r="AG254" i="16" s="1"/>
  <c r="AA270" i="16"/>
  <c r="AG270" i="16" s="1"/>
  <c r="AA259" i="16"/>
  <c r="AG259" i="16" s="1"/>
  <c r="AA3" i="17"/>
  <c r="AA7" i="17"/>
  <c r="AA11" i="17"/>
  <c r="AA15" i="17"/>
  <c r="AA19" i="17"/>
  <c r="AA23" i="17"/>
  <c r="AA465" i="16"/>
  <c r="L465" i="27" s="1"/>
  <c r="O465" i="27" s="1"/>
  <c r="AA462" i="16"/>
  <c r="L462" i="27" s="1"/>
  <c r="O462" i="27" s="1"/>
  <c r="AA424" i="16"/>
  <c r="L424" i="27" s="1"/>
  <c r="O424" i="27" s="1"/>
  <c r="AA401" i="16"/>
  <c r="L401" i="27" s="1"/>
  <c r="O401" i="27" s="1"/>
  <c r="AA425" i="16"/>
  <c r="L425" i="27" s="1"/>
  <c r="O425" i="27" s="1"/>
  <c r="AA392" i="16"/>
  <c r="L392" i="27" s="1"/>
  <c r="O392" i="27" s="1"/>
  <c r="AA382" i="16"/>
  <c r="L382" i="27" s="1"/>
  <c r="O382" i="27" s="1"/>
  <c r="AA410" i="16"/>
  <c r="L410" i="27" s="1"/>
  <c r="O410" i="27" s="1"/>
  <c r="AA434" i="16"/>
  <c r="L434" i="27" s="1"/>
  <c r="O434" i="27" s="1"/>
  <c r="AA420" i="16"/>
  <c r="L420" i="27" s="1"/>
  <c r="O420" i="27" s="1"/>
  <c r="AA383" i="16"/>
  <c r="L383" i="27" s="1"/>
  <c r="O383" i="27" s="1"/>
  <c r="AA411" i="16"/>
  <c r="L411" i="27" s="1"/>
  <c r="O411" i="27" s="1"/>
  <c r="AA443" i="16"/>
  <c r="L443" i="27" s="1"/>
  <c r="O443" i="27" s="1"/>
  <c r="AA453" i="16"/>
  <c r="AG453" i="16" s="1"/>
  <c r="AA448" i="16"/>
  <c r="AG448" i="16" s="1"/>
  <c r="AA61" i="17"/>
  <c r="AA304" i="16"/>
  <c r="AG304" i="16" s="1"/>
  <c r="AA298" i="16"/>
  <c r="AG298" i="16" s="1"/>
  <c r="AA47" i="17"/>
  <c r="AA55" i="17"/>
  <c r="AA172" i="16"/>
  <c r="L172" i="27" s="1"/>
  <c r="O172" i="27" s="1"/>
  <c r="AA171" i="16"/>
  <c r="L171" i="27" s="1"/>
  <c r="O171" i="27" s="1"/>
  <c r="AA277" i="16"/>
  <c r="AG277" i="16" s="1"/>
  <c r="AA274" i="16"/>
  <c r="AG274" i="16" s="1"/>
  <c r="AA28" i="17"/>
  <c r="AA36" i="17"/>
  <c r="AA44" i="17"/>
  <c r="AA204" i="16"/>
  <c r="L204" i="27" s="1"/>
  <c r="O204" i="27" s="1"/>
  <c r="AA300" i="16"/>
  <c r="AG300" i="16" s="1"/>
  <c r="AA302" i="16"/>
  <c r="AG302" i="16" s="1"/>
  <c r="AA48" i="17"/>
  <c r="AA60" i="17"/>
  <c r="AA280" i="16"/>
  <c r="AG280" i="16" s="1"/>
  <c r="AA279" i="16"/>
  <c r="AG279" i="16" s="1"/>
  <c r="AA37" i="17"/>
  <c r="AA206" i="16"/>
  <c r="AA301" i="16"/>
  <c r="AG301" i="16" s="1"/>
  <c r="AA295" i="16"/>
  <c r="AG295" i="16" s="1"/>
  <c r="AA51" i="17"/>
  <c r="AA59" i="17"/>
  <c r="AA170" i="16"/>
  <c r="L170" i="27" s="1"/>
  <c r="AA272" i="16"/>
  <c r="AG272" i="16" s="1"/>
  <c r="AA275" i="16"/>
  <c r="AG275" i="16" s="1"/>
  <c r="AA32" i="17"/>
  <c r="AA40" i="17"/>
  <c r="AA198" i="16"/>
  <c r="L198" i="27" s="1"/>
  <c r="O198" i="27" s="1"/>
  <c r="AA305" i="16"/>
  <c r="AG305" i="16" s="1"/>
  <c r="AA299" i="16"/>
  <c r="AG299" i="16" s="1"/>
  <c r="AA52" i="17"/>
  <c r="AA56" i="17"/>
  <c r="AA173" i="16"/>
  <c r="L173" i="27" s="1"/>
  <c r="O173" i="27" s="1"/>
  <c r="AA174" i="16"/>
  <c r="AA175" i="16"/>
  <c r="L175" i="27" s="1"/>
  <c r="O175" i="27" s="1"/>
  <c r="AA281" i="16"/>
  <c r="AG281" i="16" s="1"/>
  <c r="AA278" i="16"/>
  <c r="AG278" i="16" s="1"/>
  <c r="AA29" i="17"/>
  <c r="AA33" i="17"/>
  <c r="AA41" i="17"/>
  <c r="AA45" i="17"/>
  <c r="AA197" i="16"/>
  <c r="L197" i="27" s="1"/>
  <c r="O197" i="27" s="1"/>
  <c r="AA292" i="16"/>
  <c r="AG292" i="16" s="1"/>
  <c r="AA293" i="16"/>
  <c r="AG293" i="16" s="1"/>
  <c r="AA290" i="16"/>
  <c r="AG290" i="16" s="1"/>
  <c r="AA306" i="16"/>
  <c r="AG306" i="16" s="1"/>
  <c r="AA303" i="16"/>
  <c r="AG303" i="16" s="1"/>
  <c r="AA49" i="17"/>
  <c r="AA53" i="17"/>
  <c r="AA57" i="17"/>
  <c r="AA180" i="16"/>
  <c r="L180" i="27" s="1"/>
  <c r="O180" i="27" s="1"/>
  <c r="AA177" i="16"/>
  <c r="AA178" i="16"/>
  <c r="AA179" i="16"/>
  <c r="L179" i="27" s="1"/>
  <c r="O179" i="27" s="1"/>
  <c r="AA288" i="16"/>
  <c r="AG288" i="16" s="1"/>
  <c r="AA284" i="16"/>
  <c r="AG284" i="16" s="1"/>
  <c r="AA285" i="16"/>
  <c r="AG285" i="16" s="1"/>
  <c r="AA282" i="16"/>
  <c r="AG282" i="16" s="1"/>
  <c r="AA283" i="16"/>
  <c r="AG283" i="16" s="1"/>
  <c r="AA30" i="17"/>
  <c r="AA34" i="17"/>
  <c r="AA38" i="17"/>
  <c r="AA205" i="16"/>
  <c r="L205" i="27" s="1"/>
  <c r="O205" i="27" s="1"/>
  <c r="AA199" i="16"/>
  <c r="L199" i="27" s="1"/>
  <c r="O199" i="27" s="1"/>
  <c r="AA373" i="16"/>
  <c r="L373" i="27" s="1"/>
  <c r="O373" i="27" s="1"/>
  <c r="AA393" i="16"/>
  <c r="AA417" i="16"/>
  <c r="L417" i="27" s="1"/>
  <c r="O417" i="27" s="1"/>
  <c r="AA437" i="16"/>
  <c r="AA404" i="16"/>
  <c r="L404" i="27" s="1"/>
  <c r="O404" i="27" s="1"/>
  <c r="AA378" i="16"/>
  <c r="L378" i="27" s="1"/>
  <c r="O378" i="27" s="1"/>
  <c r="AA398" i="16"/>
  <c r="L398" i="27" s="1"/>
  <c r="O398" i="27" s="1"/>
  <c r="AA418" i="16"/>
  <c r="AA442" i="16"/>
  <c r="L442" i="27" s="1"/>
  <c r="O442" i="27" s="1"/>
  <c r="AA400" i="16"/>
  <c r="AA375" i="16"/>
  <c r="L375" i="27" s="1"/>
  <c r="O375" i="27" s="1"/>
  <c r="AA395" i="16"/>
  <c r="L395" i="27" s="1"/>
  <c r="O395" i="27" s="1"/>
  <c r="AA415" i="16"/>
  <c r="L415" i="27" s="1"/>
  <c r="O415" i="27" s="1"/>
  <c r="AA439" i="16"/>
  <c r="L439" i="27" s="1"/>
  <c r="O439" i="27" s="1"/>
  <c r="AA129" i="17"/>
  <c r="AA445" i="16"/>
  <c r="AG445" i="16" s="1"/>
  <c r="AA131" i="17"/>
  <c r="AA133" i="17"/>
  <c r="AA447" i="16"/>
  <c r="AG447" i="16" s="1"/>
  <c r="AA208" i="16"/>
  <c r="AA201" i="16"/>
  <c r="AA202" i="16"/>
  <c r="AA207" i="16"/>
  <c r="AA380" i="16"/>
  <c r="AA436" i="16"/>
  <c r="L436" i="27" s="1"/>
  <c r="O436" i="27" s="1"/>
  <c r="AA381" i="16"/>
  <c r="AA397" i="16"/>
  <c r="AA413" i="16"/>
  <c r="L413" i="27" s="1"/>
  <c r="O413" i="27" s="1"/>
  <c r="AA429" i="16"/>
  <c r="AA384" i="16"/>
  <c r="AA428" i="16"/>
  <c r="AA374" i="16"/>
  <c r="AA390" i="16"/>
  <c r="L390" i="27" s="1"/>
  <c r="O390" i="27" s="1"/>
  <c r="AA406" i="16"/>
  <c r="AA422" i="16"/>
  <c r="AA438" i="16"/>
  <c r="L438" i="27" s="1"/>
  <c r="O438" i="27" s="1"/>
  <c r="AA408" i="16"/>
  <c r="AA371" i="16"/>
  <c r="L371" i="27" s="1"/>
  <c r="O371" i="27" s="1"/>
  <c r="AA387" i="16"/>
  <c r="L387" i="27" s="1"/>
  <c r="O387" i="27" s="1"/>
  <c r="AA403" i="16"/>
  <c r="L403" i="27" s="1"/>
  <c r="O403" i="27" s="1"/>
  <c r="AA419" i="16"/>
  <c r="L419" i="27" s="1"/>
  <c r="O419" i="27" s="1"/>
  <c r="AA435" i="16"/>
  <c r="L435" i="27" s="1"/>
  <c r="O435" i="27" s="1"/>
  <c r="AA126" i="17"/>
  <c r="AA449" i="16"/>
  <c r="AG449" i="16" s="1"/>
  <c r="AA127" i="17"/>
  <c r="AA452" i="16"/>
  <c r="AG452" i="16" s="1"/>
  <c r="AA128" i="17"/>
  <c r="AA451" i="16"/>
  <c r="AG451" i="16" s="1"/>
  <c r="AG185" i="16"/>
  <c r="AG109" i="16"/>
  <c r="AG377" i="16"/>
  <c r="AG379" i="16"/>
  <c r="AG184" i="16"/>
  <c r="AG194" i="16"/>
  <c r="AG6" i="16"/>
  <c r="AG98" i="16"/>
  <c r="AG457" i="16"/>
  <c r="AG383" i="16"/>
  <c r="AG235" i="16"/>
  <c r="AG195" i="16"/>
  <c r="AG30" i="16"/>
  <c r="AG424" i="16"/>
  <c r="AG176" i="16"/>
  <c r="AG182" i="16"/>
  <c r="AG240" i="16"/>
  <c r="AG225" i="16"/>
  <c r="AG211" i="16"/>
  <c r="AG227" i="16"/>
  <c r="AG193" i="16"/>
  <c r="AG4" i="16"/>
  <c r="AG136" i="16"/>
  <c r="AG9" i="16"/>
  <c r="AG37" i="16"/>
  <c r="AG10" i="16"/>
  <c r="AG62" i="16"/>
  <c r="AG27" i="16"/>
  <c r="AG67" i="16"/>
  <c r="AG459" i="16"/>
  <c r="AG396" i="16"/>
  <c r="AG440" i="16"/>
  <c r="AG372" i="16"/>
  <c r="AG444" i="16"/>
  <c r="AG181" i="16"/>
  <c r="AG212" i="16"/>
  <c r="AG229" i="16"/>
  <c r="AG245" i="16"/>
  <c r="AG215" i="16"/>
  <c r="AG231" i="16"/>
  <c r="AG173" i="16"/>
  <c r="AG188" i="16"/>
  <c r="AG186" i="16"/>
  <c r="AG191" i="16"/>
  <c r="AG65" i="16"/>
  <c r="AG31" i="16"/>
  <c r="AG135" i="16"/>
  <c r="AG462" i="16"/>
  <c r="AG389" i="16"/>
  <c r="AG388" i="16"/>
  <c r="AA46" i="13"/>
  <c r="AA46" i="12"/>
  <c r="AA46" i="10"/>
  <c r="AA46" i="11"/>
  <c r="X5" i="13"/>
  <c r="W44" i="13"/>
  <c r="S53" i="9"/>
  <c r="X5" i="12"/>
  <c r="W44" i="12"/>
  <c r="AG70" i="16" l="1"/>
  <c r="AG142" i="16"/>
  <c r="AG189" i="16"/>
  <c r="AG183" i="16"/>
  <c r="AG233" i="16"/>
  <c r="AG145" i="16"/>
  <c r="AG426" i="16"/>
  <c r="AG221" i="16"/>
  <c r="J7" i="32"/>
  <c r="L7" i="32" s="1"/>
  <c r="L13" i="32" s="1"/>
  <c r="I15" i="31"/>
  <c r="I14" i="31"/>
  <c r="AG416" i="16"/>
  <c r="AG430" i="16"/>
  <c r="AG467" i="16"/>
  <c r="AG228" i="16"/>
  <c r="AG458" i="16"/>
  <c r="AG171" i="16"/>
  <c r="AG395" i="16"/>
  <c r="AG69" i="16"/>
  <c r="AG34" i="16"/>
  <c r="AG100" i="16"/>
  <c r="AG246" i="16"/>
  <c r="AG104" i="16"/>
  <c r="AG403" i="16"/>
  <c r="AG392" i="16"/>
  <c r="AG409" i="16"/>
  <c r="AG203" i="16"/>
  <c r="AG413" i="16"/>
  <c r="AG391" i="16"/>
  <c r="AG463" i="16"/>
  <c r="AG106" i="16"/>
  <c r="AG198" i="16"/>
  <c r="AG420" i="16"/>
  <c r="AG141" i="16"/>
  <c r="AG33" i="16"/>
  <c r="AG427" i="16"/>
  <c r="AG99" i="16"/>
  <c r="AG219" i="16"/>
  <c r="AG399" i="16"/>
  <c r="AG192" i="16"/>
  <c r="AG26" i="16"/>
  <c r="AG220" i="16"/>
  <c r="AG29" i="16"/>
  <c r="AG433" i="16"/>
  <c r="AG236" i="16"/>
  <c r="AG230" i="16"/>
  <c r="AG5" i="16"/>
  <c r="L9" i="32"/>
  <c r="J15" i="32"/>
  <c r="J14" i="32"/>
  <c r="AG432" i="16"/>
  <c r="AG11" i="16"/>
  <c r="AG425" i="16"/>
  <c r="AG407" i="16"/>
  <c r="AG435" i="16"/>
  <c r="AG394" i="16"/>
  <c r="AG385" i="16"/>
  <c r="AG107" i="16"/>
  <c r="AG102" i="16"/>
  <c r="AG101" i="16"/>
  <c r="AG35" i="16"/>
  <c r="AG466" i="16"/>
  <c r="AG64" i="16"/>
  <c r="AG382" i="16"/>
  <c r="AG373" i="16"/>
  <c r="AG468" i="16"/>
  <c r="AG190" i="16"/>
  <c r="AG139" i="16"/>
  <c r="AG12" i="16"/>
  <c r="AG226" i="16"/>
  <c r="AG404" i="16"/>
  <c r="AG3" i="16"/>
  <c r="AG213" i="16"/>
  <c r="AG386" i="16"/>
  <c r="AG187" i="16"/>
  <c r="AG243" i="16"/>
  <c r="AG441" i="16"/>
  <c r="AG415" i="16"/>
  <c r="AG421" i="16"/>
  <c r="AG13" i="16"/>
  <c r="AG238" i="16"/>
  <c r="AG237" i="16"/>
  <c r="AG442" i="16"/>
  <c r="AG224" i="16"/>
  <c r="AG199" i="16"/>
  <c r="AG434" i="16"/>
  <c r="AG36" i="16"/>
  <c r="AG170" i="16"/>
  <c r="AC10" i="27"/>
  <c r="AG429" i="16"/>
  <c r="L429" i="27"/>
  <c r="O429" i="27" s="1"/>
  <c r="O170" i="27"/>
  <c r="O2" i="27"/>
  <c r="AG7" i="16"/>
  <c r="AG234" i="16"/>
  <c r="AG244" i="16"/>
  <c r="AG436" i="16"/>
  <c r="AG374" i="16"/>
  <c r="L374" i="27"/>
  <c r="O374" i="27" s="1"/>
  <c r="AG380" i="16"/>
  <c r="L380" i="27"/>
  <c r="O380" i="27" s="1"/>
  <c r="AG174" i="16"/>
  <c r="L174" i="27"/>
  <c r="O174" i="27" s="1"/>
  <c r="AG206" i="16"/>
  <c r="L206" i="27"/>
  <c r="O206" i="27" s="1"/>
  <c r="AG196" i="16"/>
  <c r="L196" i="27"/>
  <c r="O196" i="27" s="1"/>
  <c r="AP4" i="16"/>
  <c r="AQ4" i="16" s="1"/>
  <c r="AG375" i="16"/>
  <c r="AG414" i="16"/>
  <c r="AG412" i="16"/>
  <c r="AG105" i="16"/>
  <c r="AG140" i="16"/>
  <c r="AG209" i="16"/>
  <c r="AG175" i="16"/>
  <c r="AG2" i="16"/>
  <c r="AG376" i="16"/>
  <c r="AG461" i="16"/>
  <c r="AG205" i="16"/>
  <c r="AG218" i="16"/>
  <c r="AG223" i="16"/>
  <c r="AG443" i="16"/>
  <c r="AG134" i="16"/>
  <c r="AG217" i="16"/>
  <c r="AG438" i="16"/>
  <c r="AG464" i="16"/>
  <c r="AG63" i="16"/>
  <c r="AG8" i="16"/>
  <c r="AG402" i="16"/>
  <c r="AG144" i="16"/>
  <c r="AG422" i="16"/>
  <c r="L422" i="27"/>
  <c r="O422" i="27" s="1"/>
  <c r="AG428" i="16"/>
  <c r="L428" i="27"/>
  <c r="O428" i="27" s="1"/>
  <c r="AG397" i="16"/>
  <c r="L397" i="27"/>
  <c r="O397" i="27" s="1"/>
  <c r="AG207" i="16"/>
  <c r="L207" i="27"/>
  <c r="O207" i="27" s="1"/>
  <c r="AG178" i="16"/>
  <c r="L178" i="27"/>
  <c r="O178" i="27" s="1"/>
  <c r="T12" i="27"/>
  <c r="O457" i="27"/>
  <c r="W12" i="27" s="1"/>
  <c r="AG408" i="16"/>
  <c r="L408" i="27"/>
  <c r="O408" i="27" s="1"/>
  <c r="AG201" i="16"/>
  <c r="L201" i="27"/>
  <c r="O201" i="27" s="1"/>
  <c r="L320" i="27"/>
  <c r="O320" i="27" s="1"/>
  <c r="L318" i="27"/>
  <c r="O318" i="27" s="1"/>
  <c r="L316" i="27"/>
  <c r="O316" i="27" s="1"/>
  <c r="L314" i="27"/>
  <c r="O314" i="27" s="1"/>
  <c r="L312" i="27"/>
  <c r="O312" i="27" s="1"/>
  <c r="L310" i="27"/>
  <c r="O310" i="27" s="1"/>
  <c r="L308" i="27"/>
  <c r="O308" i="27" s="1"/>
  <c r="L306" i="27"/>
  <c r="O306" i="27" s="1"/>
  <c r="L304" i="27"/>
  <c r="O304" i="27" s="1"/>
  <c r="L302" i="27"/>
  <c r="O302" i="27" s="1"/>
  <c r="L300" i="27"/>
  <c r="O300" i="27" s="1"/>
  <c r="L298" i="27"/>
  <c r="O298" i="27" s="1"/>
  <c r="L296" i="27"/>
  <c r="O296" i="27" s="1"/>
  <c r="L294" i="27"/>
  <c r="O294" i="27" s="1"/>
  <c r="L292" i="27"/>
  <c r="O292" i="27" s="1"/>
  <c r="L290" i="27"/>
  <c r="O290" i="27" s="1"/>
  <c r="L288" i="27"/>
  <c r="O288" i="27" s="1"/>
  <c r="L286" i="27"/>
  <c r="O286" i="27" s="1"/>
  <c r="L284" i="27"/>
  <c r="O284" i="27" s="1"/>
  <c r="L282" i="27"/>
  <c r="O282" i="27" s="1"/>
  <c r="L280" i="27"/>
  <c r="O280" i="27" s="1"/>
  <c r="L278" i="27"/>
  <c r="O278" i="27" s="1"/>
  <c r="L276" i="27"/>
  <c r="O276" i="27" s="1"/>
  <c r="L274" i="27"/>
  <c r="O274" i="27" s="1"/>
  <c r="L272" i="27"/>
  <c r="O272" i="27" s="1"/>
  <c r="L270" i="27"/>
  <c r="O270" i="27" s="1"/>
  <c r="L268" i="27"/>
  <c r="O268" i="27" s="1"/>
  <c r="L266" i="27"/>
  <c r="O266" i="27" s="1"/>
  <c r="L264" i="27"/>
  <c r="O264" i="27" s="1"/>
  <c r="L262" i="27"/>
  <c r="O262" i="27" s="1"/>
  <c r="L260" i="27"/>
  <c r="O260" i="27" s="1"/>
  <c r="L258" i="27"/>
  <c r="O258" i="27" s="1"/>
  <c r="L256" i="27"/>
  <c r="O256" i="27" s="1"/>
  <c r="L254" i="27"/>
  <c r="O254" i="27" s="1"/>
  <c r="L252" i="27"/>
  <c r="O252" i="27" s="1"/>
  <c r="L250" i="27"/>
  <c r="O250" i="27" s="1"/>
  <c r="L248" i="27"/>
  <c r="O248" i="27" s="1"/>
  <c r="L317" i="27"/>
  <c r="O317" i="27" s="1"/>
  <c r="L313" i="27"/>
  <c r="O313" i="27" s="1"/>
  <c r="L309" i="27"/>
  <c r="O309" i="27" s="1"/>
  <c r="L305" i="27"/>
  <c r="O305" i="27" s="1"/>
  <c r="L301" i="27"/>
  <c r="O301" i="27" s="1"/>
  <c r="L297" i="27"/>
  <c r="O297" i="27" s="1"/>
  <c r="L293" i="27"/>
  <c r="O293" i="27" s="1"/>
  <c r="L289" i="27"/>
  <c r="O289" i="27" s="1"/>
  <c r="L285" i="27"/>
  <c r="O285" i="27" s="1"/>
  <c r="L281" i="27"/>
  <c r="O281" i="27" s="1"/>
  <c r="L277" i="27"/>
  <c r="O277" i="27" s="1"/>
  <c r="L273" i="27"/>
  <c r="O273" i="27" s="1"/>
  <c r="L269" i="27"/>
  <c r="O269" i="27" s="1"/>
  <c r="L265" i="27"/>
  <c r="O265" i="27" s="1"/>
  <c r="L261" i="27"/>
  <c r="O261" i="27" s="1"/>
  <c r="L257" i="27"/>
  <c r="O257" i="27" s="1"/>
  <c r="L253" i="27"/>
  <c r="O253" i="27" s="1"/>
  <c r="L249" i="27"/>
  <c r="O249" i="27" s="1"/>
  <c r="L319" i="27"/>
  <c r="O319" i="27" s="1"/>
  <c r="L315" i="27"/>
  <c r="O315" i="27" s="1"/>
  <c r="L311" i="27"/>
  <c r="O311" i="27" s="1"/>
  <c r="L307" i="27"/>
  <c r="O307" i="27" s="1"/>
  <c r="L303" i="27"/>
  <c r="O303" i="27" s="1"/>
  <c r="L299" i="27"/>
  <c r="O299" i="27" s="1"/>
  <c r="L295" i="27"/>
  <c r="O295" i="27" s="1"/>
  <c r="L291" i="27"/>
  <c r="O291" i="27" s="1"/>
  <c r="L287" i="27"/>
  <c r="O287" i="27" s="1"/>
  <c r="L283" i="27"/>
  <c r="O283" i="27" s="1"/>
  <c r="L279" i="27"/>
  <c r="O279" i="27" s="1"/>
  <c r="L275" i="27"/>
  <c r="O275" i="27" s="1"/>
  <c r="L271" i="27"/>
  <c r="O271" i="27" s="1"/>
  <c r="L267" i="27"/>
  <c r="O267" i="27" s="1"/>
  <c r="L263" i="27"/>
  <c r="O263" i="27" s="1"/>
  <c r="L259" i="27"/>
  <c r="O259" i="27" s="1"/>
  <c r="L255" i="27"/>
  <c r="O255" i="27" s="1"/>
  <c r="L251" i="27"/>
  <c r="O251" i="27" s="1"/>
  <c r="L247" i="27"/>
  <c r="O247" i="27" s="1"/>
  <c r="AG465" i="16"/>
  <c r="AG417" i="16"/>
  <c r="AG172" i="16"/>
  <c r="AG103" i="16"/>
  <c r="AG208" i="16"/>
  <c r="L208" i="27"/>
  <c r="O208" i="27" s="1"/>
  <c r="AG400" i="16"/>
  <c r="L400" i="27"/>
  <c r="O400" i="27" s="1"/>
  <c r="AG393" i="16"/>
  <c r="L393" i="27"/>
  <c r="O393" i="27" s="1"/>
  <c r="O370" i="27"/>
  <c r="AG423" i="16"/>
  <c r="AG398" i="16"/>
  <c r="AG405" i="16"/>
  <c r="AG71" i="16"/>
  <c r="AG66" i="16"/>
  <c r="AG32" i="16"/>
  <c r="AG222" i="16"/>
  <c r="AG216" i="16"/>
  <c r="AG239" i="16"/>
  <c r="AG180" i="16"/>
  <c r="AG419" i="16"/>
  <c r="AG307" i="16"/>
  <c r="AG68" i="16"/>
  <c r="AG200" i="16"/>
  <c r="AG241" i="16"/>
  <c r="AG469" i="16"/>
  <c r="AG390" i="16"/>
  <c r="AG460" i="16"/>
  <c r="AG73" i="16"/>
  <c r="AG108" i="16"/>
  <c r="AG214" i="16"/>
  <c r="AG232" i="16"/>
  <c r="AG406" i="16"/>
  <c r="L406" i="27"/>
  <c r="O406" i="27" s="1"/>
  <c r="AG384" i="16"/>
  <c r="L384" i="27"/>
  <c r="O384" i="27" s="1"/>
  <c r="AG381" i="16"/>
  <c r="L381" i="27"/>
  <c r="O381" i="27" s="1"/>
  <c r="AG202" i="16"/>
  <c r="L202" i="27"/>
  <c r="O202" i="27" s="1"/>
  <c r="AG418" i="16"/>
  <c r="L418" i="27"/>
  <c r="O418" i="27" s="1"/>
  <c r="AG437" i="16"/>
  <c r="L437" i="27"/>
  <c r="O437" i="27" s="1"/>
  <c r="AG177" i="16"/>
  <c r="L177" i="27"/>
  <c r="O177" i="27" s="1"/>
  <c r="AG431" i="16"/>
  <c r="L431" i="27"/>
  <c r="O431" i="27" s="1"/>
  <c r="AG72" i="16"/>
  <c r="L72" i="27"/>
  <c r="O72" i="27" s="1"/>
  <c r="L456" i="27"/>
  <c r="O456" i="27" s="1"/>
  <c r="L452" i="27"/>
  <c r="O452" i="27" s="1"/>
  <c r="L448" i="27"/>
  <c r="O448" i="27" s="1"/>
  <c r="L453" i="27"/>
  <c r="O453" i="27" s="1"/>
  <c r="L449" i="27"/>
  <c r="O449" i="27" s="1"/>
  <c r="L445" i="27"/>
  <c r="O445" i="27" s="1"/>
  <c r="L454" i="27"/>
  <c r="O454" i="27" s="1"/>
  <c r="L450" i="27"/>
  <c r="O450" i="27" s="1"/>
  <c r="L446" i="27"/>
  <c r="O446" i="27" s="1"/>
  <c r="L447" i="27"/>
  <c r="O447" i="27" s="1"/>
  <c r="L444" i="27"/>
  <c r="O444" i="27" s="1"/>
  <c r="L455" i="27"/>
  <c r="O455" i="27" s="1"/>
  <c r="L451" i="27"/>
  <c r="O451" i="27" s="1"/>
  <c r="AG143" i="16"/>
  <c r="L143" i="27"/>
  <c r="O143" i="27" s="1"/>
  <c r="AG138" i="16"/>
  <c r="L138" i="27"/>
  <c r="O138" i="27" s="1"/>
  <c r="AG137" i="16"/>
  <c r="L137" i="27"/>
  <c r="O137" i="27" s="1"/>
  <c r="AG28" i="16"/>
  <c r="L28" i="27"/>
  <c r="O28" i="27" s="1"/>
  <c r="L369" i="27"/>
  <c r="O369" i="27" s="1"/>
  <c r="L367" i="27"/>
  <c r="O367" i="27" s="1"/>
  <c r="L365" i="27"/>
  <c r="O365" i="27" s="1"/>
  <c r="L363" i="27"/>
  <c r="O363" i="27" s="1"/>
  <c r="L361" i="27"/>
  <c r="O361" i="27" s="1"/>
  <c r="L359" i="27"/>
  <c r="O359" i="27" s="1"/>
  <c r="L357" i="27"/>
  <c r="O357" i="27" s="1"/>
  <c r="L355" i="27"/>
  <c r="O355" i="27" s="1"/>
  <c r="L353" i="27"/>
  <c r="O353" i="27" s="1"/>
  <c r="L351" i="27"/>
  <c r="O351" i="27" s="1"/>
  <c r="L349" i="27"/>
  <c r="O349" i="27" s="1"/>
  <c r="L347" i="27"/>
  <c r="O347" i="27" s="1"/>
  <c r="L345" i="27"/>
  <c r="O345" i="27" s="1"/>
  <c r="L343" i="27"/>
  <c r="O343" i="27" s="1"/>
  <c r="L341" i="27"/>
  <c r="O341" i="27" s="1"/>
  <c r="L339" i="27"/>
  <c r="O339" i="27" s="1"/>
  <c r="L337" i="27"/>
  <c r="O337" i="27" s="1"/>
  <c r="L335" i="27"/>
  <c r="O335" i="27" s="1"/>
  <c r="L333" i="27"/>
  <c r="O333" i="27" s="1"/>
  <c r="L331" i="27"/>
  <c r="O331" i="27" s="1"/>
  <c r="L329" i="27"/>
  <c r="O329" i="27" s="1"/>
  <c r="L327" i="27"/>
  <c r="O327" i="27" s="1"/>
  <c r="L325" i="27"/>
  <c r="O325" i="27" s="1"/>
  <c r="L323" i="27"/>
  <c r="O323" i="27" s="1"/>
  <c r="L321" i="27"/>
  <c r="L364" i="27"/>
  <c r="O364" i="27" s="1"/>
  <c r="L356" i="27"/>
  <c r="O356" i="27" s="1"/>
  <c r="L354" i="27"/>
  <c r="O354" i="27" s="1"/>
  <c r="L350" i="27"/>
  <c r="O350" i="27" s="1"/>
  <c r="L346" i="27"/>
  <c r="O346" i="27" s="1"/>
  <c r="L342" i="27"/>
  <c r="O342" i="27" s="1"/>
  <c r="L338" i="27"/>
  <c r="O338" i="27" s="1"/>
  <c r="L334" i="27"/>
  <c r="O334" i="27" s="1"/>
  <c r="L330" i="27"/>
  <c r="O330" i="27" s="1"/>
  <c r="L326" i="27"/>
  <c r="O326" i="27" s="1"/>
  <c r="L322" i="27"/>
  <c r="O322" i="27" s="1"/>
  <c r="L366" i="27"/>
  <c r="O366" i="27" s="1"/>
  <c r="L358" i="27"/>
  <c r="O358" i="27" s="1"/>
  <c r="L368" i="27"/>
  <c r="O368" i="27" s="1"/>
  <c r="L360" i="27"/>
  <c r="O360" i="27" s="1"/>
  <c r="L352" i="27"/>
  <c r="O352" i="27" s="1"/>
  <c r="L348" i="27"/>
  <c r="O348" i="27" s="1"/>
  <c r="L344" i="27"/>
  <c r="O344" i="27" s="1"/>
  <c r="L340" i="27"/>
  <c r="O340" i="27" s="1"/>
  <c r="L336" i="27"/>
  <c r="O336" i="27" s="1"/>
  <c r="L332" i="27"/>
  <c r="O332" i="27" s="1"/>
  <c r="L328" i="27"/>
  <c r="O328" i="27" s="1"/>
  <c r="L324" i="27"/>
  <c r="O324" i="27" s="1"/>
  <c r="L362" i="27"/>
  <c r="O362" i="27" s="1"/>
  <c r="L210" i="27"/>
  <c r="O210" i="27" s="1"/>
  <c r="AG371" i="16"/>
  <c r="AG179" i="16"/>
  <c r="AG411" i="16"/>
  <c r="AG242" i="16"/>
  <c r="AG410" i="16"/>
  <c r="AG401" i="16"/>
  <c r="AG370" i="16"/>
  <c r="AG204" i="16"/>
  <c r="AG197" i="16"/>
  <c r="AG439" i="16"/>
  <c r="AG387" i="16"/>
  <c r="AG378" i="16"/>
  <c r="X44" i="12"/>
  <c r="AA5" i="12"/>
  <c r="AA44" i="12" s="1"/>
  <c r="X44" i="13"/>
  <c r="AA5" i="13"/>
  <c r="J13" i="32" l="1"/>
  <c r="G5" i="34"/>
  <c r="G10" i="34"/>
  <c r="L15" i="32"/>
  <c r="L14" i="32"/>
  <c r="W11" i="27"/>
  <c r="Z12" i="27"/>
  <c r="AC9" i="27"/>
  <c r="AC12" i="27"/>
  <c r="AP6" i="16"/>
  <c r="AQ6" i="16" s="1"/>
  <c r="T11" i="27"/>
  <c r="T10" i="27"/>
  <c r="O321" i="27"/>
  <c r="W10" i="27" s="1"/>
  <c r="T9" i="27"/>
  <c r="AC11" i="27"/>
  <c r="W9" i="27"/>
  <c r="AP3" i="16"/>
  <c r="AQ3" i="16" s="1"/>
  <c r="AP5" i="16"/>
  <c r="AA44" i="13"/>
  <c r="AA167" i="16"/>
  <c r="L167" i="27" s="1"/>
  <c r="O167" i="27" s="1"/>
  <c r="AA163" i="16"/>
  <c r="L163" i="27" s="1"/>
  <c r="O163" i="27" s="1"/>
  <c r="AA159" i="16"/>
  <c r="L159" i="27" s="1"/>
  <c r="O159" i="27" s="1"/>
  <c r="AA131" i="16"/>
  <c r="L131" i="27" s="1"/>
  <c r="O131" i="27" s="1"/>
  <c r="AA127" i="16"/>
  <c r="L127" i="27" s="1"/>
  <c r="O127" i="27" s="1"/>
  <c r="AA123" i="16"/>
  <c r="L123" i="27" s="1"/>
  <c r="O123" i="27" s="1"/>
  <c r="AA95" i="16"/>
  <c r="L95" i="27" s="1"/>
  <c r="O95" i="27" s="1"/>
  <c r="AA91" i="16"/>
  <c r="L91" i="27" s="1"/>
  <c r="O91" i="27" s="1"/>
  <c r="AA87" i="16"/>
  <c r="L87" i="27" s="1"/>
  <c r="O87" i="27" s="1"/>
  <c r="AA59" i="16"/>
  <c r="L59" i="27" s="1"/>
  <c r="O59" i="27" s="1"/>
  <c r="AA55" i="16"/>
  <c r="L55" i="27" s="1"/>
  <c r="O55" i="27" s="1"/>
  <c r="AA51" i="16"/>
  <c r="L51" i="27" s="1"/>
  <c r="O51" i="27" s="1"/>
  <c r="AA23" i="16"/>
  <c r="L23" i="27" s="1"/>
  <c r="O23" i="27" s="1"/>
  <c r="AA19" i="16"/>
  <c r="L19" i="27" s="1"/>
  <c r="O19" i="27" s="1"/>
  <c r="AA15" i="16"/>
  <c r="L15" i="27" s="1"/>
  <c r="O15" i="27" s="1"/>
  <c r="AA166" i="16"/>
  <c r="L166" i="27" s="1"/>
  <c r="O166" i="27" s="1"/>
  <c r="AA162" i="16"/>
  <c r="L162" i="27" s="1"/>
  <c r="O162" i="27" s="1"/>
  <c r="AA158" i="16"/>
  <c r="L158" i="27" s="1"/>
  <c r="O158" i="27" s="1"/>
  <c r="AA130" i="16"/>
  <c r="L130" i="27" s="1"/>
  <c r="O130" i="27" s="1"/>
  <c r="AA126" i="16"/>
  <c r="L126" i="27" s="1"/>
  <c r="O126" i="27" s="1"/>
  <c r="AA122" i="16"/>
  <c r="L122" i="27" s="1"/>
  <c r="O122" i="27" s="1"/>
  <c r="AA94" i="16"/>
  <c r="L94" i="27" s="1"/>
  <c r="O94" i="27" s="1"/>
  <c r="AA90" i="16"/>
  <c r="L90" i="27" s="1"/>
  <c r="O90" i="27" s="1"/>
  <c r="AA86" i="16"/>
  <c r="L86" i="27" s="1"/>
  <c r="O86" i="27" s="1"/>
  <c r="AA58" i="16"/>
  <c r="L58" i="27" s="1"/>
  <c r="O58" i="27" s="1"/>
  <c r="AA54" i="16"/>
  <c r="L54" i="27" s="1"/>
  <c r="O54" i="27" s="1"/>
  <c r="AA50" i="16"/>
  <c r="L50" i="27" s="1"/>
  <c r="O50" i="27" s="1"/>
  <c r="AA22" i="16"/>
  <c r="L22" i="27" s="1"/>
  <c r="O22" i="27" s="1"/>
  <c r="AA18" i="16"/>
  <c r="L18" i="27" s="1"/>
  <c r="O18" i="27" s="1"/>
  <c r="AA14" i="16"/>
  <c r="L14" i="27" s="1"/>
  <c r="AA169" i="16"/>
  <c r="L169" i="27" s="1"/>
  <c r="O169" i="27" s="1"/>
  <c r="AA165" i="16"/>
  <c r="L165" i="27" s="1"/>
  <c r="O165" i="27" s="1"/>
  <c r="AA161" i="16"/>
  <c r="L161" i="27" s="1"/>
  <c r="O161" i="27" s="1"/>
  <c r="AA133" i="16"/>
  <c r="L133" i="27" s="1"/>
  <c r="O133" i="27" s="1"/>
  <c r="AA129" i="16"/>
  <c r="L129" i="27" s="1"/>
  <c r="O129" i="27" s="1"/>
  <c r="AA125" i="16"/>
  <c r="L125" i="27" s="1"/>
  <c r="O125" i="27" s="1"/>
  <c r="AA97" i="16"/>
  <c r="L97" i="27" s="1"/>
  <c r="O97" i="27" s="1"/>
  <c r="AA93" i="16"/>
  <c r="L93" i="27" s="1"/>
  <c r="O93" i="27" s="1"/>
  <c r="AA89" i="16"/>
  <c r="L89" i="27" s="1"/>
  <c r="O89" i="27" s="1"/>
  <c r="AA61" i="16"/>
  <c r="L61" i="27" s="1"/>
  <c r="O61" i="27" s="1"/>
  <c r="AA57" i="16"/>
  <c r="L57" i="27" s="1"/>
  <c r="O57" i="27" s="1"/>
  <c r="AA53" i="16"/>
  <c r="L53" i="27" s="1"/>
  <c r="O53" i="27" s="1"/>
  <c r="AA25" i="16"/>
  <c r="L25" i="27" s="1"/>
  <c r="O25" i="27" s="1"/>
  <c r="AA21" i="16"/>
  <c r="L21" i="27" s="1"/>
  <c r="O21" i="27" s="1"/>
  <c r="AA17" i="16"/>
  <c r="L17" i="27" s="1"/>
  <c r="O17" i="27" s="1"/>
  <c r="AA128" i="16"/>
  <c r="L128" i="27" s="1"/>
  <c r="O128" i="27" s="1"/>
  <c r="AA56" i="16"/>
  <c r="L56" i="27" s="1"/>
  <c r="O56" i="27" s="1"/>
  <c r="AA160" i="16"/>
  <c r="L160" i="27" s="1"/>
  <c r="O160" i="27" s="1"/>
  <c r="AA88" i="16"/>
  <c r="L88" i="27" s="1"/>
  <c r="O88" i="27" s="1"/>
  <c r="AA16" i="16"/>
  <c r="L16" i="27" s="1"/>
  <c r="O16" i="27" s="1"/>
  <c r="AA168" i="16"/>
  <c r="L168" i="27" s="1"/>
  <c r="O168" i="27" s="1"/>
  <c r="AA124" i="16"/>
  <c r="L124" i="27" s="1"/>
  <c r="O124" i="27" s="1"/>
  <c r="AA96" i="16"/>
  <c r="L96" i="27" s="1"/>
  <c r="O96" i="27" s="1"/>
  <c r="AA52" i="16"/>
  <c r="L52" i="27" s="1"/>
  <c r="O52" i="27" s="1"/>
  <c r="AA24" i="16"/>
  <c r="L24" i="27" s="1"/>
  <c r="O24" i="27" s="1"/>
  <c r="AA164" i="16"/>
  <c r="L164" i="27" s="1"/>
  <c r="O164" i="27" s="1"/>
  <c r="AA92" i="16"/>
  <c r="L92" i="27" s="1"/>
  <c r="O92" i="27" s="1"/>
  <c r="AA20" i="16"/>
  <c r="L20" i="27" s="1"/>
  <c r="O20" i="27" s="1"/>
  <c r="AA132" i="16"/>
  <c r="L132" i="27" s="1"/>
  <c r="O132" i="27" s="1"/>
  <c r="AA60" i="16"/>
  <c r="L60" i="27" s="1"/>
  <c r="O60" i="27" s="1"/>
  <c r="Z11" i="27" l="1"/>
  <c r="AH11" i="27" s="1"/>
  <c r="AH12" i="27"/>
  <c r="Z9" i="27"/>
  <c r="AH9" i="27" s="1"/>
  <c r="O14" i="27"/>
  <c r="W7" i="27" s="1"/>
  <c r="T7" i="27"/>
  <c r="Z10" i="27"/>
  <c r="AH10" i="27" s="1"/>
  <c r="AQ5" i="16"/>
  <c r="AP8" i="16"/>
  <c r="AQ8" i="16" s="1"/>
  <c r="AG124" i="16"/>
  <c r="AG86" i="16"/>
  <c r="AG24" i="16"/>
  <c r="AG56" i="16"/>
  <c r="AG169" i="16"/>
  <c r="AG16" i="16"/>
  <c r="AG53" i="16"/>
  <c r="AG133" i="16"/>
  <c r="AG54" i="16"/>
  <c r="AG158" i="16"/>
  <c r="AG19" i="16"/>
  <c r="AG59" i="16"/>
  <c r="AG123" i="16"/>
  <c r="AG163" i="16"/>
  <c r="AG60" i="16"/>
  <c r="AG164" i="16"/>
  <c r="AG160" i="16"/>
  <c r="AG21" i="16"/>
  <c r="AG61" i="16"/>
  <c r="AG125" i="16"/>
  <c r="AG165" i="16"/>
  <c r="AG22" i="16"/>
  <c r="AG126" i="16"/>
  <c r="AG166" i="16"/>
  <c r="AG51" i="16"/>
  <c r="AG91" i="16"/>
  <c r="AG131" i="16"/>
  <c r="AG132" i="16"/>
  <c r="AG168" i="16"/>
  <c r="AG25" i="16"/>
  <c r="AG89" i="16"/>
  <c r="AG129" i="16"/>
  <c r="AG50" i="16"/>
  <c r="AG90" i="16"/>
  <c r="AG130" i="16"/>
  <c r="AG15" i="16"/>
  <c r="AG55" i="16"/>
  <c r="AG95" i="16"/>
  <c r="AG159" i="16"/>
  <c r="AG20" i="16"/>
  <c r="AG52" i="16"/>
  <c r="AG128" i="16"/>
  <c r="AG93" i="16"/>
  <c r="AG14" i="16"/>
  <c r="AG94" i="16"/>
  <c r="AG92" i="16"/>
  <c r="AG96" i="16"/>
  <c r="AG88" i="16"/>
  <c r="AG17" i="16"/>
  <c r="AG57" i="16"/>
  <c r="AG97" i="16"/>
  <c r="AG161" i="16"/>
  <c r="AG18" i="16"/>
  <c r="AG58" i="16"/>
  <c r="AG122" i="16"/>
  <c r="AG162" i="16"/>
  <c r="AG23" i="16"/>
  <c r="AG87" i="16"/>
  <c r="AG127" i="16"/>
  <c r="AG167" i="16"/>
  <c r="AP2" i="16" l="1"/>
  <c r="AP7" i="16" s="1"/>
  <c r="AC7" i="27"/>
  <c r="Z7" i="27"/>
  <c r="AQ2" i="16" l="1"/>
  <c r="AH7" i="27"/>
  <c r="AQ7" i="16"/>
  <c r="AP9" i="16"/>
  <c r="AQ9" i="16" s="1"/>
  <c r="J2" i="27" l="1"/>
  <c r="K2" i="27"/>
  <c r="M2" i="27"/>
  <c r="N2" i="27"/>
  <c r="J3" i="27"/>
  <c r="K3" i="27"/>
  <c r="M3" i="27"/>
  <c r="N3" i="27"/>
  <c r="J4" i="27"/>
  <c r="K4" i="27"/>
  <c r="M4" i="27"/>
  <c r="N4" i="27"/>
  <c r="J5" i="27"/>
  <c r="K5" i="27"/>
  <c r="M5" i="27"/>
  <c r="N5" i="27"/>
  <c r="J6" i="27"/>
  <c r="K6" i="27"/>
  <c r="M6" i="27"/>
  <c r="N6" i="27"/>
  <c r="J7" i="27"/>
  <c r="K7" i="27"/>
  <c r="M7" i="27"/>
  <c r="N7" i="27"/>
  <c r="R7" i="27"/>
  <c r="S7" i="27"/>
  <c r="U7" i="27"/>
  <c r="V7" i="27"/>
  <c r="X7" i="27"/>
  <c r="Y7" i="27"/>
  <c r="AA7" i="27"/>
  <c r="AB7" i="27"/>
  <c r="AF7" i="27"/>
  <c r="AG7" i="27"/>
  <c r="AI7" i="27"/>
  <c r="AJ7" i="27"/>
  <c r="J8" i="27"/>
  <c r="K8" i="27"/>
  <c r="M8" i="27"/>
  <c r="N8" i="27"/>
  <c r="J9" i="27"/>
  <c r="K9" i="27"/>
  <c r="M9" i="27"/>
  <c r="N9" i="27"/>
  <c r="S9" i="27"/>
  <c r="V9" i="27"/>
  <c r="Y9" i="27"/>
  <c r="AB9" i="27"/>
  <c r="AE9" i="27"/>
  <c r="AG9" i="27"/>
  <c r="AJ9" i="27"/>
  <c r="J10" i="27"/>
  <c r="K10" i="27"/>
  <c r="M10" i="27"/>
  <c r="N10" i="27"/>
  <c r="S10" i="27"/>
  <c r="V10" i="27"/>
  <c r="Y10" i="27"/>
  <c r="AB10" i="27"/>
  <c r="AE10" i="27"/>
  <c r="AG10" i="27"/>
  <c r="AJ10" i="27"/>
  <c r="J11" i="27"/>
  <c r="K11" i="27"/>
  <c r="M11" i="27"/>
  <c r="N11" i="27"/>
  <c r="S11" i="27"/>
  <c r="V11" i="27"/>
  <c r="Y11" i="27"/>
  <c r="AB11" i="27"/>
  <c r="AE11" i="27"/>
  <c r="AG11" i="27"/>
  <c r="AJ11" i="27"/>
  <c r="J12" i="27"/>
  <c r="K12" i="27"/>
  <c r="M12" i="27"/>
  <c r="N12" i="27"/>
  <c r="S12" i="27"/>
  <c r="V12" i="27"/>
  <c r="Y12" i="27"/>
  <c r="AB12" i="27"/>
  <c r="AG12" i="27"/>
  <c r="AJ12" i="27"/>
  <c r="J13" i="27"/>
  <c r="K13" i="27"/>
  <c r="M13" i="27"/>
  <c r="N13" i="27"/>
  <c r="J14" i="27"/>
  <c r="K14" i="27"/>
  <c r="M14" i="27"/>
  <c r="N14" i="27"/>
  <c r="J15" i="27"/>
  <c r="K15" i="27"/>
  <c r="M15" i="27"/>
  <c r="N15" i="27"/>
  <c r="J16" i="27"/>
  <c r="K16" i="27"/>
  <c r="M16" i="27"/>
  <c r="N16" i="27"/>
  <c r="J17" i="27"/>
  <c r="K17" i="27"/>
  <c r="M17" i="27"/>
  <c r="N17" i="27"/>
  <c r="J18" i="27"/>
  <c r="K18" i="27"/>
  <c r="M18" i="27"/>
  <c r="N18" i="27"/>
  <c r="J19" i="27"/>
  <c r="K19" i="27"/>
  <c r="M19" i="27"/>
  <c r="N19" i="27"/>
  <c r="J20" i="27"/>
  <c r="K20" i="27"/>
  <c r="M20" i="27"/>
  <c r="N20" i="27"/>
  <c r="J21" i="27"/>
  <c r="K21" i="27"/>
  <c r="M21" i="27"/>
  <c r="N21" i="27"/>
  <c r="J22" i="27"/>
  <c r="K22" i="27"/>
  <c r="M22" i="27"/>
  <c r="N22" i="27"/>
  <c r="J23" i="27"/>
  <c r="K23" i="27"/>
  <c r="M23" i="27"/>
  <c r="N23" i="27"/>
  <c r="J24" i="27"/>
  <c r="K24" i="27"/>
  <c r="M24" i="27"/>
  <c r="N24" i="27"/>
  <c r="J25" i="27"/>
  <c r="K25" i="27"/>
  <c r="M25" i="27"/>
  <c r="N25" i="27"/>
  <c r="K26" i="27"/>
  <c r="N26" i="27"/>
  <c r="K27" i="27"/>
  <c r="N27" i="27"/>
  <c r="K28" i="27"/>
  <c r="N28" i="27"/>
  <c r="K29" i="27"/>
  <c r="N29" i="27"/>
  <c r="K30" i="27"/>
  <c r="N30" i="27"/>
  <c r="K31" i="27"/>
  <c r="N31" i="27"/>
  <c r="K32" i="27"/>
  <c r="N32" i="27"/>
  <c r="K33" i="27"/>
  <c r="N33" i="27"/>
  <c r="K34" i="27"/>
  <c r="N34" i="27"/>
  <c r="K35" i="27"/>
  <c r="N35" i="27"/>
  <c r="K36" i="27"/>
  <c r="N36" i="27"/>
  <c r="K37" i="27"/>
  <c r="N37" i="27"/>
  <c r="J38" i="27"/>
  <c r="M38" i="27"/>
  <c r="J39" i="27"/>
  <c r="M39" i="27"/>
  <c r="J40" i="27"/>
  <c r="M40" i="27"/>
  <c r="J41" i="27"/>
  <c r="M41" i="27"/>
  <c r="J42" i="27"/>
  <c r="M42" i="27"/>
  <c r="J43" i="27"/>
  <c r="M43" i="27"/>
  <c r="J44" i="27"/>
  <c r="M44" i="27"/>
  <c r="J45" i="27"/>
  <c r="M45" i="27"/>
  <c r="J46" i="27"/>
  <c r="M46" i="27"/>
  <c r="J47" i="27"/>
  <c r="M47" i="27"/>
  <c r="J48" i="27"/>
  <c r="M48" i="27"/>
  <c r="J49" i="27"/>
  <c r="M49" i="27"/>
  <c r="K50" i="27"/>
  <c r="N50" i="27"/>
  <c r="K51" i="27"/>
  <c r="N51" i="27"/>
  <c r="K52" i="27"/>
  <c r="N52" i="27"/>
  <c r="K53" i="27"/>
  <c r="N53" i="27"/>
  <c r="K54" i="27"/>
  <c r="N54" i="27"/>
  <c r="K55" i="27"/>
  <c r="N55" i="27"/>
  <c r="K56" i="27"/>
  <c r="N56" i="27"/>
  <c r="K57" i="27"/>
  <c r="N57" i="27"/>
  <c r="K58" i="27"/>
  <c r="N58" i="27"/>
  <c r="K59" i="27"/>
  <c r="N59" i="27"/>
  <c r="K60" i="27"/>
  <c r="N60" i="27"/>
  <c r="K61" i="27"/>
  <c r="N61" i="27"/>
  <c r="K62" i="27"/>
  <c r="N62" i="27"/>
  <c r="K63" i="27"/>
  <c r="N63" i="27"/>
  <c r="K64" i="27"/>
  <c r="N64" i="27"/>
  <c r="K65" i="27"/>
  <c r="N65" i="27"/>
  <c r="K66" i="27"/>
  <c r="N66" i="27"/>
  <c r="K67" i="27"/>
  <c r="N67" i="27"/>
  <c r="K68" i="27"/>
  <c r="N68" i="27"/>
  <c r="K69" i="27"/>
  <c r="N69" i="27"/>
  <c r="K70" i="27"/>
  <c r="N70" i="27"/>
  <c r="K71" i="27"/>
  <c r="N71" i="27"/>
  <c r="K72" i="27"/>
  <c r="N72" i="27"/>
  <c r="K73" i="27"/>
  <c r="N73" i="27"/>
  <c r="J74" i="27"/>
  <c r="M74" i="27"/>
  <c r="J75" i="27"/>
  <c r="M75" i="27"/>
  <c r="J76" i="27"/>
  <c r="M76" i="27"/>
  <c r="J77" i="27"/>
  <c r="M77" i="27"/>
  <c r="J78" i="27"/>
  <c r="M78" i="27"/>
  <c r="J79" i="27"/>
  <c r="M79" i="27"/>
  <c r="J80" i="27"/>
  <c r="M80" i="27"/>
  <c r="J81" i="27"/>
  <c r="M81" i="27"/>
  <c r="J82" i="27"/>
  <c r="M82" i="27"/>
  <c r="J83" i="27"/>
  <c r="M83" i="27"/>
  <c r="J84" i="27"/>
  <c r="M84" i="27"/>
  <c r="J85" i="27"/>
  <c r="M85" i="27"/>
  <c r="K86" i="27"/>
  <c r="N86" i="27"/>
  <c r="K87" i="27"/>
  <c r="N87" i="27"/>
  <c r="K88" i="27"/>
  <c r="N88" i="27"/>
  <c r="K89" i="27"/>
  <c r="N89" i="27"/>
  <c r="K90" i="27"/>
  <c r="N90" i="27"/>
  <c r="K91" i="27"/>
  <c r="N91" i="27"/>
  <c r="K92" i="27"/>
  <c r="N92" i="27"/>
  <c r="K93" i="27"/>
  <c r="N93" i="27"/>
  <c r="K94" i="27"/>
  <c r="N94" i="27"/>
  <c r="K95" i="27"/>
  <c r="N95" i="27"/>
  <c r="K96" i="27"/>
  <c r="N96" i="27"/>
  <c r="K97" i="27"/>
  <c r="N97" i="27"/>
  <c r="K98" i="27"/>
  <c r="N98" i="27"/>
  <c r="K99" i="27"/>
  <c r="N99" i="27"/>
  <c r="K100" i="27"/>
  <c r="N100" i="27"/>
  <c r="K101" i="27"/>
  <c r="N101" i="27"/>
  <c r="K102" i="27"/>
  <c r="N102" i="27"/>
  <c r="K103" i="27"/>
  <c r="N103" i="27"/>
  <c r="K104" i="27"/>
  <c r="N104" i="27"/>
  <c r="K105" i="27"/>
  <c r="N105" i="27"/>
  <c r="K106" i="27"/>
  <c r="N106" i="27"/>
  <c r="K107" i="27"/>
  <c r="N107" i="27"/>
  <c r="K108" i="27"/>
  <c r="N108" i="27"/>
  <c r="K109" i="27"/>
  <c r="N109" i="27"/>
  <c r="J110" i="27"/>
  <c r="M110" i="27"/>
  <c r="J111" i="27"/>
  <c r="M111" i="27"/>
  <c r="J112" i="27"/>
  <c r="M112" i="27"/>
  <c r="J113" i="27"/>
  <c r="M113" i="27"/>
  <c r="J114" i="27"/>
  <c r="M114" i="27"/>
  <c r="J115" i="27"/>
  <c r="M115" i="27"/>
  <c r="J116" i="27"/>
  <c r="M116" i="27"/>
  <c r="J117" i="27"/>
  <c r="M117" i="27"/>
  <c r="J118" i="27"/>
  <c r="M118" i="27"/>
  <c r="J119" i="27"/>
  <c r="M119" i="27"/>
  <c r="J120" i="27"/>
  <c r="M120" i="27"/>
  <c r="J121" i="27"/>
  <c r="M121" i="27"/>
  <c r="K122" i="27"/>
  <c r="N122" i="27"/>
  <c r="K123" i="27"/>
  <c r="N123" i="27"/>
  <c r="K124" i="27"/>
  <c r="N124" i="27"/>
  <c r="K125" i="27"/>
  <c r="N125" i="27"/>
  <c r="K126" i="27"/>
  <c r="N126" i="27"/>
  <c r="K127" i="27"/>
  <c r="N127" i="27"/>
  <c r="K128" i="27"/>
  <c r="N128" i="27"/>
  <c r="K129" i="27"/>
  <c r="N129" i="27"/>
  <c r="K130" i="27"/>
  <c r="N130" i="27"/>
  <c r="K131" i="27"/>
  <c r="N131" i="27"/>
  <c r="K132" i="27"/>
  <c r="N132" i="27"/>
  <c r="K133" i="27"/>
  <c r="N133" i="27"/>
  <c r="K134" i="27"/>
  <c r="N134" i="27"/>
  <c r="K135" i="27"/>
  <c r="N135" i="27"/>
  <c r="K136" i="27"/>
  <c r="N136" i="27"/>
  <c r="K137" i="27"/>
  <c r="N137" i="27"/>
  <c r="K138" i="27"/>
  <c r="N138" i="27"/>
  <c r="K139" i="27"/>
  <c r="N139" i="27"/>
  <c r="K140" i="27"/>
  <c r="N140" i="27"/>
  <c r="K141" i="27"/>
  <c r="N141" i="27"/>
  <c r="K142" i="27"/>
  <c r="N142" i="27"/>
  <c r="K143" i="27"/>
  <c r="N143" i="27"/>
  <c r="K144" i="27"/>
  <c r="N144" i="27"/>
  <c r="K145" i="27"/>
  <c r="N145" i="27"/>
  <c r="J146" i="27"/>
  <c r="M146" i="27"/>
  <c r="J147" i="27"/>
  <c r="M147" i="27"/>
  <c r="J148" i="27"/>
  <c r="M148" i="27"/>
  <c r="J149" i="27"/>
  <c r="M149" i="27"/>
  <c r="J150" i="27"/>
  <c r="M150" i="27"/>
  <c r="J151" i="27"/>
  <c r="M151" i="27"/>
  <c r="J152" i="27"/>
  <c r="M152" i="27"/>
  <c r="J153" i="27"/>
  <c r="M153" i="27"/>
  <c r="J154" i="27"/>
  <c r="M154" i="27"/>
  <c r="J155" i="27"/>
  <c r="M155" i="27"/>
  <c r="J156" i="27"/>
  <c r="M156" i="27"/>
  <c r="J157" i="27"/>
  <c r="M157" i="27"/>
  <c r="K158" i="27"/>
  <c r="N158" i="27"/>
  <c r="K159" i="27"/>
  <c r="N159" i="27"/>
  <c r="K160" i="27"/>
  <c r="N160" i="27"/>
  <c r="K161" i="27"/>
  <c r="N161" i="27"/>
  <c r="K162" i="27"/>
  <c r="N162" i="27"/>
  <c r="K163" i="27"/>
  <c r="N163" i="27"/>
  <c r="K164" i="27"/>
  <c r="N164" i="27"/>
  <c r="K165" i="27"/>
  <c r="N165" i="27"/>
  <c r="K166" i="27"/>
  <c r="N166" i="27"/>
  <c r="K167" i="27"/>
  <c r="N167" i="27"/>
  <c r="K168" i="27"/>
  <c r="N168" i="27"/>
  <c r="K169" i="27"/>
  <c r="N169" i="27"/>
  <c r="K170" i="27"/>
  <c r="N170" i="27"/>
  <c r="K171" i="27"/>
  <c r="N171" i="27"/>
  <c r="K172" i="27"/>
  <c r="N172" i="27"/>
  <c r="K173" i="27"/>
  <c r="N173" i="27"/>
  <c r="K174" i="27"/>
  <c r="N174" i="27"/>
  <c r="K175" i="27"/>
  <c r="N175" i="27"/>
  <c r="K176" i="27"/>
  <c r="N176" i="27"/>
  <c r="K177" i="27"/>
  <c r="N177" i="27"/>
  <c r="K178" i="27"/>
  <c r="N178" i="27"/>
  <c r="K179" i="27"/>
  <c r="N179" i="27"/>
  <c r="K180" i="27"/>
  <c r="N180" i="27"/>
  <c r="K181" i="27"/>
  <c r="N181" i="27"/>
  <c r="K182" i="27"/>
  <c r="N182" i="27"/>
  <c r="K183" i="27"/>
  <c r="N183" i="27"/>
  <c r="K184" i="27"/>
  <c r="N184" i="27"/>
  <c r="K185" i="27"/>
  <c r="N185" i="27"/>
  <c r="K186" i="27"/>
  <c r="N186" i="27"/>
  <c r="K187" i="27"/>
  <c r="N187" i="27"/>
  <c r="K188" i="27"/>
  <c r="N188" i="27"/>
  <c r="K189" i="27"/>
  <c r="N189" i="27"/>
  <c r="K190" i="27"/>
  <c r="N190" i="27"/>
  <c r="K191" i="27"/>
  <c r="N191" i="27"/>
  <c r="K192" i="27"/>
  <c r="N192" i="27"/>
  <c r="K193" i="27"/>
  <c r="N193" i="27"/>
  <c r="K194" i="27"/>
  <c r="N194" i="27"/>
  <c r="K195" i="27"/>
  <c r="N195" i="27"/>
  <c r="K196" i="27"/>
  <c r="N196" i="27"/>
  <c r="K197" i="27"/>
  <c r="N197" i="27"/>
  <c r="K198" i="27"/>
  <c r="N198" i="27"/>
  <c r="K199" i="27"/>
  <c r="N199" i="27"/>
  <c r="K200" i="27"/>
  <c r="N200" i="27"/>
  <c r="K201" i="27"/>
  <c r="N201" i="27"/>
  <c r="K202" i="27"/>
  <c r="N202" i="27"/>
  <c r="K203" i="27"/>
  <c r="N203" i="27"/>
  <c r="K204" i="27"/>
  <c r="N204" i="27"/>
  <c r="K205" i="27"/>
  <c r="N205" i="27"/>
  <c r="K206" i="27"/>
  <c r="N206" i="27"/>
  <c r="K207" i="27"/>
  <c r="N207" i="27"/>
  <c r="K208" i="27"/>
  <c r="N208" i="27"/>
  <c r="K209" i="27"/>
  <c r="N209" i="27"/>
  <c r="K210" i="27"/>
  <c r="N210" i="27"/>
  <c r="K211" i="27"/>
  <c r="N211" i="27"/>
  <c r="K212" i="27"/>
  <c r="N212" i="27"/>
  <c r="K213" i="27"/>
  <c r="N213" i="27"/>
  <c r="K214" i="27"/>
  <c r="N214" i="27"/>
  <c r="K215" i="27"/>
  <c r="N215" i="27"/>
  <c r="K216" i="27"/>
  <c r="N216" i="27"/>
  <c r="K217" i="27"/>
  <c r="N217" i="27"/>
  <c r="K218" i="27"/>
  <c r="N218" i="27"/>
  <c r="K219" i="27"/>
  <c r="N219" i="27"/>
  <c r="K220" i="27"/>
  <c r="N220" i="27"/>
  <c r="K221" i="27"/>
  <c r="N221" i="27"/>
  <c r="K222" i="27"/>
  <c r="N222" i="27"/>
  <c r="K223" i="27"/>
  <c r="N223" i="27"/>
  <c r="K224" i="27"/>
  <c r="N224" i="27"/>
  <c r="K225" i="27"/>
  <c r="N225" i="27"/>
  <c r="K226" i="27"/>
  <c r="N226" i="27"/>
  <c r="K227" i="27"/>
  <c r="N227" i="27"/>
  <c r="K228" i="27"/>
  <c r="N228" i="27"/>
  <c r="K229" i="27"/>
  <c r="N229" i="27"/>
  <c r="K230" i="27"/>
  <c r="N230" i="27"/>
  <c r="K231" i="27"/>
  <c r="N231" i="27"/>
  <c r="K232" i="27"/>
  <c r="N232" i="27"/>
  <c r="K233" i="27"/>
  <c r="N233" i="27"/>
  <c r="K234" i="27"/>
  <c r="N234" i="27"/>
  <c r="K235" i="27"/>
  <c r="N235" i="27"/>
  <c r="K236" i="27"/>
  <c r="N236" i="27"/>
  <c r="K237" i="27"/>
  <c r="N237" i="27"/>
  <c r="K238" i="27"/>
  <c r="N238" i="27"/>
  <c r="K239" i="27"/>
  <c r="N239" i="27"/>
  <c r="K240" i="27"/>
  <c r="N240" i="27"/>
  <c r="K241" i="27"/>
  <c r="N241" i="27"/>
  <c r="K242" i="27"/>
  <c r="N242" i="27"/>
  <c r="K243" i="27"/>
  <c r="N243" i="27"/>
  <c r="K244" i="27"/>
  <c r="N244" i="27"/>
  <c r="K245" i="27"/>
  <c r="N245" i="27"/>
  <c r="K246" i="27"/>
  <c r="N246" i="27"/>
  <c r="K247" i="27"/>
  <c r="N247" i="27"/>
  <c r="K248" i="27"/>
  <c r="N248" i="27"/>
  <c r="K249" i="27"/>
  <c r="N249" i="27"/>
  <c r="K250" i="27"/>
  <c r="N250" i="27"/>
  <c r="K251" i="27"/>
  <c r="N251" i="27"/>
  <c r="K252" i="27"/>
  <c r="N252" i="27"/>
  <c r="K253" i="27"/>
  <c r="N253" i="27"/>
  <c r="K254" i="27"/>
  <c r="N254" i="27"/>
  <c r="K255" i="27"/>
  <c r="N255" i="27"/>
  <c r="K256" i="27"/>
  <c r="N256" i="27"/>
  <c r="K257" i="27"/>
  <c r="N257" i="27"/>
  <c r="K258" i="27"/>
  <c r="N258" i="27"/>
  <c r="K259" i="27"/>
  <c r="N259" i="27"/>
  <c r="K260" i="27"/>
  <c r="N260" i="27"/>
  <c r="K261" i="27"/>
  <c r="N261" i="27"/>
  <c r="K262" i="27"/>
  <c r="N262" i="27"/>
  <c r="K263" i="27"/>
  <c r="N263" i="27"/>
  <c r="K264" i="27"/>
  <c r="N264" i="27"/>
  <c r="K265" i="27"/>
  <c r="N265" i="27"/>
  <c r="K266" i="27"/>
  <c r="N266" i="27"/>
  <c r="K267" i="27"/>
  <c r="N267" i="27"/>
  <c r="K268" i="27"/>
  <c r="N268" i="27"/>
  <c r="K269" i="27"/>
  <c r="N269" i="27"/>
  <c r="K270" i="27"/>
  <c r="N270" i="27"/>
  <c r="K271" i="27"/>
  <c r="N271" i="27"/>
  <c r="K272" i="27"/>
  <c r="N272" i="27"/>
  <c r="K273" i="27"/>
  <c r="N273" i="27"/>
  <c r="K274" i="27"/>
  <c r="N274" i="27"/>
  <c r="K275" i="27"/>
  <c r="N275" i="27"/>
  <c r="K276" i="27"/>
  <c r="N276" i="27"/>
  <c r="K277" i="27"/>
  <c r="N277" i="27"/>
  <c r="K278" i="27"/>
  <c r="N278" i="27"/>
  <c r="K279" i="27"/>
  <c r="N279" i="27"/>
  <c r="K280" i="27"/>
  <c r="N280" i="27"/>
  <c r="K281" i="27"/>
  <c r="N281" i="27"/>
  <c r="K282" i="27"/>
  <c r="N282" i="27"/>
  <c r="K283" i="27"/>
  <c r="N283" i="27"/>
  <c r="K284" i="27"/>
  <c r="N284" i="27"/>
  <c r="K285" i="27"/>
  <c r="N285" i="27"/>
  <c r="K286" i="27"/>
  <c r="N286" i="27"/>
  <c r="K287" i="27"/>
  <c r="N287" i="27"/>
  <c r="K288" i="27"/>
  <c r="N288" i="27"/>
  <c r="K289" i="27"/>
  <c r="N289" i="27"/>
  <c r="K290" i="27"/>
  <c r="N290" i="27"/>
  <c r="K291" i="27"/>
  <c r="N291" i="27"/>
  <c r="K292" i="27"/>
  <c r="N292" i="27"/>
  <c r="K293" i="27"/>
  <c r="N293" i="27"/>
  <c r="K294" i="27"/>
  <c r="N294" i="27"/>
  <c r="K295" i="27"/>
  <c r="N295" i="27"/>
  <c r="K296" i="27"/>
  <c r="N296" i="27"/>
  <c r="K297" i="27"/>
  <c r="N297" i="27"/>
  <c r="K298" i="27"/>
  <c r="N298" i="27"/>
  <c r="K299" i="27"/>
  <c r="N299" i="27"/>
  <c r="K300" i="27"/>
  <c r="N300" i="27"/>
  <c r="K301" i="27"/>
  <c r="N301" i="27"/>
  <c r="K302" i="27"/>
  <c r="N302" i="27"/>
  <c r="K303" i="27"/>
  <c r="N303" i="27"/>
  <c r="K304" i="27"/>
  <c r="N304" i="27"/>
  <c r="K305" i="27"/>
  <c r="N305" i="27"/>
  <c r="K306" i="27"/>
  <c r="N306" i="27"/>
  <c r="K307" i="27"/>
  <c r="N307" i="27"/>
  <c r="K308" i="27"/>
  <c r="N308" i="27"/>
  <c r="K309" i="27"/>
  <c r="N309" i="27"/>
  <c r="K310" i="27"/>
  <c r="N310" i="27"/>
  <c r="K311" i="27"/>
  <c r="N311" i="27"/>
  <c r="K312" i="27"/>
  <c r="N312" i="27"/>
  <c r="K313" i="27"/>
  <c r="N313" i="27"/>
  <c r="K314" i="27"/>
  <c r="N314" i="27"/>
  <c r="K315" i="27"/>
  <c r="N315" i="27"/>
  <c r="K316" i="27"/>
  <c r="N316" i="27"/>
  <c r="K317" i="27"/>
  <c r="N317" i="27"/>
  <c r="K318" i="27"/>
  <c r="N318" i="27"/>
  <c r="K319" i="27"/>
  <c r="N319" i="27"/>
  <c r="K320" i="27"/>
  <c r="N320" i="27"/>
  <c r="K321" i="27"/>
  <c r="N321" i="27"/>
  <c r="K322" i="27"/>
  <c r="N322" i="27"/>
  <c r="K323" i="27"/>
  <c r="N323" i="27"/>
  <c r="K324" i="27"/>
  <c r="N324" i="27"/>
  <c r="K325" i="27"/>
  <c r="N325" i="27"/>
  <c r="K326" i="27"/>
  <c r="N326" i="27"/>
  <c r="K327" i="27"/>
  <c r="N327" i="27"/>
  <c r="K328" i="27"/>
  <c r="N328" i="27"/>
  <c r="K329" i="27"/>
  <c r="N329" i="27"/>
  <c r="K330" i="27"/>
  <c r="N330" i="27"/>
  <c r="K331" i="27"/>
  <c r="N331" i="27"/>
  <c r="K332" i="27"/>
  <c r="N332" i="27"/>
  <c r="K333" i="27"/>
  <c r="N333" i="27"/>
  <c r="K334" i="27"/>
  <c r="N334" i="27"/>
  <c r="K335" i="27"/>
  <c r="N335" i="27"/>
  <c r="K336" i="27"/>
  <c r="N336" i="27"/>
  <c r="K337" i="27"/>
  <c r="N337" i="27"/>
  <c r="K338" i="27"/>
  <c r="N338" i="27"/>
  <c r="K339" i="27"/>
  <c r="N339" i="27"/>
  <c r="K340" i="27"/>
  <c r="N340" i="27"/>
  <c r="K341" i="27"/>
  <c r="N341" i="27"/>
  <c r="K342" i="27"/>
  <c r="N342" i="27"/>
  <c r="K343" i="27"/>
  <c r="N343" i="27"/>
  <c r="K344" i="27"/>
  <c r="N344" i="27"/>
  <c r="K345" i="27"/>
  <c r="N345" i="27"/>
  <c r="K346" i="27"/>
  <c r="N346" i="27"/>
  <c r="K347" i="27"/>
  <c r="N347" i="27"/>
  <c r="K348" i="27"/>
  <c r="N348" i="27"/>
  <c r="K349" i="27"/>
  <c r="N349" i="27"/>
  <c r="K350" i="27"/>
  <c r="N350" i="27"/>
  <c r="K351" i="27"/>
  <c r="N351" i="27"/>
  <c r="K352" i="27"/>
  <c r="N352" i="27"/>
  <c r="K353" i="27"/>
  <c r="N353" i="27"/>
  <c r="K354" i="27"/>
  <c r="N354" i="27"/>
  <c r="K355" i="27"/>
  <c r="N355" i="27"/>
  <c r="K356" i="27"/>
  <c r="N356" i="27"/>
  <c r="K357" i="27"/>
  <c r="N357" i="27"/>
  <c r="K358" i="27"/>
  <c r="N358" i="27"/>
  <c r="K359" i="27"/>
  <c r="N359" i="27"/>
  <c r="K360" i="27"/>
  <c r="N360" i="27"/>
  <c r="K361" i="27"/>
  <c r="N361" i="27"/>
  <c r="K362" i="27"/>
  <c r="N362" i="27"/>
  <c r="K363" i="27"/>
  <c r="N363" i="27"/>
  <c r="K364" i="27"/>
  <c r="N364" i="27"/>
  <c r="K365" i="27"/>
  <c r="N365" i="27"/>
  <c r="K366" i="27"/>
  <c r="N366" i="27"/>
  <c r="K367" i="27"/>
  <c r="N367" i="27"/>
  <c r="K368" i="27"/>
  <c r="N368" i="27"/>
  <c r="K369" i="27"/>
  <c r="N369" i="27"/>
  <c r="K370" i="27"/>
  <c r="N370" i="27"/>
  <c r="K371" i="27"/>
  <c r="N371" i="27"/>
  <c r="K372" i="27"/>
  <c r="N372" i="27"/>
  <c r="K373" i="27"/>
  <c r="N373" i="27"/>
  <c r="K374" i="27"/>
  <c r="N374" i="27"/>
  <c r="K375" i="27"/>
  <c r="N375" i="27"/>
  <c r="K376" i="27"/>
  <c r="N376" i="27"/>
  <c r="K377" i="27"/>
  <c r="N377" i="27"/>
  <c r="K378" i="27"/>
  <c r="N378" i="27"/>
  <c r="K379" i="27"/>
  <c r="N379" i="27"/>
  <c r="K380" i="27"/>
  <c r="N380" i="27"/>
  <c r="K381" i="27"/>
  <c r="N381" i="27"/>
  <c r="K382" i="27"/>
  <c r="N382" i="27"/>
  <c r="K383" i="27"/>
  <c r="N383" i="27"/>
  <c r="K384" i="27"/>
  <c r="N384" i="27"/>
  <c r="K385" i="27"/>
  <c r="N385" i="27"/>
  <c r="K386" i="27"/>
  <c r="N386" i="27"/>
  <c r="K387" i="27"/>
  <c r="N387" i="27"/>
  <c r="K388" i="27"/>
  <c r="N388" i="27"/>
  <c r="K389" i="27"/>
  <c r="N389" i="27"/>
  <c r="K390" i="27"/>
  <c r="N390" i="27"/>
  <c r="K391" i="27"/>
  <c r="N391" i="27"/>
  <c r="K392" i="27"/>
  <c r="N392" i="27"/>
  <c r="K393" i="27"/>
  <c r="N393" i="27"/>
  <c r="K394" i="27"/>
  <c r="N394" i="27"/>
  <c r="K395" i="27"/>
  <c r="N395" i="27"/>
  <c r="K396" i="27"/>
  <c r="N396" i="27"/>
  <c r="K397" i="27"/>
  <c r="N397" i="27"/>
  <c r="K398" i="27"/>
  <c r="N398" i="27"/>
  <c r="K399" i="27"/>
  <c r="N399" i="27"/>
  <c r="K400" i="27"/>
  <c r="N400" i="27"/>
  <c r="K401" i="27"/>
  <c r="N401" i="27"/>
  <c r="K402" i="27"/>
  <c r="N402" i="27"/>
  <c r="K403" i="27"/>
  <c r="N403" i="27"/>
  <c r="K404" i="27"/>
  <c r="N404" i="27"/>
  <c r="K405" i="27"/>
  <c r="N405" i="27"/>
  <c r="K406" i="27"/>
  <c r="N406" i="27"/>
  <c r="K407" i="27"/>
  <c r="N407" i="27"/>
  <c r="K408" i="27"/>
  <c r="N408" i="27"/>
  <c r="K409" i="27"/>
  <c r="N409" i="27"/>
  <c r="K410" i="27"/>
  <c r="N410" i="27"/>
  <c r="K411" i="27"/>
  <c r="N411" i="27"/>
  <c r="K412" i="27"/>
  <c r="N412" i="27"/>
  <c r="K413" i="27"/>
  <c r="N413" i="27"/>
  <c r="K414" i="27"/>
  <c r="N414" i="27"/>
  <c r="K415" i="27"/>
  <c r="N415" i="27"/>
  <c r="K416" i="27"/>
  <c r="N416" i="27"/>
  <c r="K417" i="27"/>
  <c r="N417" i="27"/>
  <c r="K418" i="27"/>
  <c r="N418" i="27"/>
  <c r="K419" i="27"/>
  <c r="N419" i="27"/>
  <c r="K420" i="27"/>
  <c r="N420" i="27"/>
  <c r="K421" i="27"/>
  <c r="N421" i="27"/>
  <c r="K422" i="27"/>
  <c r="N422" i="27"/>
  <c r="K423" i="27"/>
  <c r="N423" i="27"/>
  <c r="K424" i="27"/>
  <c r="N424" i="27"/>
  <c r="K425" i="27"/>
  <c r="N425" i="27"/>
  <c r="K426" i="27"/>
  <c r="N426" i="27"/>
  <c r="K427" i="27"/>
  <c r="N427" i="27"/>
  <c r="K428" i="27"/>
  <c r="N428" i="27"/>
  <c r="K429" i="27"/>
  <c r="N429" i="27"/>
  <c r="K430" i="27"/>
  <c r="N430" i="27"/>
  <c r="K431" i="27"/>
  <c r="N431" i="27"/>
  <c r="K432" i="27"/>
  <c r="N432" i="27"/>
  <c r="K433" i="27"/>
  <c r="N433" i="27"/>
  <c r="K434" i="27"/>
  <c r="N434" i="27"/>
  <c r="K435" i="27"/>
  <c r="N435" i="27"/>
  <c r="K436" i="27"/>
  <c r="N436" i="27"/>
  <c r="K437" i="27"/>
  <c r="N437" i="27"/>
  <c r="K438" i="27"/>
  <c r="N438" i="27"/>
  <c r="K439" i="27"/>
  <c r="N439" i="27"/>
  <c r="K440" i="27"/>
  <c r="N440" i="27"/>
  <c r="K441" i="27"/>
  <c r="N441" i="27"/>
  <c r="K442" i="27"/>
  <c r="N442" i="27"/>
  <c r="K443" i="27"/>
  <c r="N443" i="27"/>
  <c r="K444" i="27"/>
  <c r="N444" i="27"/>
  <c r="K445" i="27"/>
  <c r="N445" i="27"/>
  <c r="K446" i="27"/>
  <c r="N446" i="27"/>
  <c r="K447" i="27"/>
  <c r="N447" i="27"/>
  <c r="K448" i="27"/>
  <c r="N448" i="27"/>
  <c r="K449" i="27"/>
  <c r="N449" i="27"/>
  <c r="K450" i="27"/>
  <c r="N450" i="27"/>
  <c r="K451" i="27"/>
  <c r="N451" i="27"/>
  <c r="K452" i="27"/>
  <c r="N452" i="27"/>
  <c r="K453" i="27"/>
  <c r="N453" i="27"/>
  <c r="K454" i="27"/>
  <c r="N454" i="27"/>
  <c r="K455" i="27"/>
  <c r="N455" i="27"/>
  <c r="K456" i="27"/>
  <c r="N456" i="27"/>
  <c r="K457" i="27"/>
  <c r="N457" i="27"/>
  <c r="K458" i="27"/>
  <c r="N458" i="27"/>
  <c r="K459" i="27"/>
  <c r="N459" i="27"/>
  <c r="K460" i="27"/>
  <c r="N460" i="27"/>
  <c r="K461" i="27"/>
  <c r="N461" i="27"/>
  <c r="K462" i="27"/>
  <c r="N462" i="27"/>
  <c r="K463" i="27"/>
  <c r="N463" i="27"/>
  <c r="K464" i="27"/>
  <c r="N464" i="27"/>
  <c r="K465" i="27"/>
  <c r="N465" i="27"/>
  <c r="K466" i="27"/>
  <c r="N466" i="27"/>
  <c r="K467" i="27"/>
  <c r="N467" i="27"/>
  <c r="K468" i="27"/>
  <c r="N468" i="27"/>
  <c r="K469" i="27"/>
  <c r="N469" i="27"/>
  <c r="D47" i="5"/>
  <c r="E47" i="5"/>
  <c r="F47" i="5"/>
  <c r="D48" i="5"/>
  <c r="E48" i="5"/>
  <c r="F48" i="5"/>
  <c r="D50" i="5"/>
  <c r="E50" i="5"/>
  <c r="D52" i="5"/>
  <c r="E52" i="5"/>
  <c r="D53" i="5"/>
  <c r="Y2" i="16"/>
  <c r="Z2" i="16"/>
  <c r="AE2" i="16"/>
  <c r="AF2" i="16"/>
  <c r="AK2" i="16"/>
  <c r="AL2" i="16"/>
  <c r="AU2" i="16"/>
  <c r="AV2" i="16"/>
  <c r="Y3" i="16"/>
  <c r="Z3" i="16"/>
  <c r="AE3" i="16"/>
  <c r="AF3" i="16"/>
  <c r="AK3" i="16"/>
  <c r="AL3" i="16"/>
  <c r="AU3" i="16"/>
  <c r="AV3" i="16"/>
  <c r="Y4" i="16"/>
  <c r="Z4" i="16"/>
  <c r="AE4" i="16"/>
  <c r="AF4" i="16"/>
  <c r="AK4" i="16"/>
  <c r="AL4" i="16"/>
  <c r="AU4" i="16"/>
  <c r="AV4" i="16"/>
  <c r="Y5" i="16"/>
  <c r="Z5" i="16"/>
  <c r="AE5" i="16"/>
  <c r="AF5" i="16"/>
  <c r="AK5" i="16"/>
  <c r="AL5" i="16"/>
  <c r="AU5" i="16"/>
  <c r="AV5" i="16"/>
  <c r="Y6" i="16"/>
  <c r="Z6" i="16"/>
  <c r="AE6" i="16"/>
  <c r="AF6" i="16"/>
  <c r="AK6" i="16"/>
  <c r="AL6" i="16"/>
  <c r="AU6" i="16"/>
  <c r="AV6" i="16"/>
  <c r="Y7" i="16"/>
  <c r="Z7" i="16"/>
  <c r="AE7" i="16"/>
  <c r="AF7" i="16"/>
  <c r="AK7" i="16"/>
  <c r="AL7" i="16"/>
  <c r="AU7" i="16"/>
  <c r="AV7" i="16"/>
  <c r="Y8" i="16"/>
  <c r="Z8" i="16"/>
  <c r="AE8" i="16"/>
  <c r="AF8" i="16"/>
  <c r="AK8" i="16"/>
  <c r="AL8" i="16"/>
  <c r="AU8" i="16"/>
  <c r="AV8" i="16"/>
  <c r="Y9" i="16"/>
  <c r="Z9" i="16"/>
  <c r="AE9" i="16"/>
  <c r="AF9" i="16"/>
  <c r="AK9" i="16"/>
  <c r="AL9" i="16"/>
  <c r="AU9" i="16"/>
  <c r="AV9" i="16"/>
  <c r="Y10" i="16"/>
  <c r="Z10" i="16"/>
  <c r="AE10" i="16"/>
  <c r="AF10" i="16"/>
  <c r="Y11" i="16"/>
  <c r="Z11" i="16"/>
  <c r="AE11" i="16"/>
  <c r="AF11" i="16"/>
  <c r="Y12" i="16"/>
  <c r="Z12" i="16"/>
  <c r="AE12" i="16"/>
  <c r="AF12" i="16"/>
  <c r="Y13" i="16"/>
  <c r="Z13" i="16"/>
  <c r="AE13" i="16"/>
  <c r="AF13" i="16"/>
  <c r="Y14" i="16"/>
  <c r="Z14" i="16"/>
  <c r="AE14" i="16"/>
  <c r="AF14" i="16"/>
  <c r="Y15" i="16"/>
  <c r="Z15" i="16"/>
  <c r="AE15" i="16"/>
  <c r="AF15" i="16"/>
  <c r="Y16" i="16"/>
  <c r="Z16" i="16"/>
  <c r="AE16" i="16"/>
  <c r="AF16" i="16"/>
  <c r="Y17" i="16"/>
  <c r="Z17" i="16"/>
  <c r="AE17" i="16"/>
  <c r="AF17" i="16"/>
  <c r="Y18" i="16"/>
  <c r="Z18" i="16"/>
  <c r="AE18" i="16"/>
  <c r="AF18" i="16"/>
  <c r="Y19" i="16"/>
  <c r="Z19" i="16"/>
  <c r="AE19" i="16"/>
  <c r="AF19" i="16"/>
  <c r="Y20" i="16"/>
  <c r="Z20" i="16"/>
  <c r="AE20" i="16"/>
  <c r="AF20" i="16"/>
  <c r="Y21" i="16"/>
  <c r="Z21" i="16"/>
  <c r="AE21" i="16"/>
  <c r="AF21" i="16"/>
  <c r="Y22" i="16"/>
  <c r="Z22" i="16"/>
  <c r="AE22" i="16"/>
  <c r="AF22" i="16"/>
  <c r="Y23" i="16"/>
  <c r="Z23" i="16"/>
  <c r="AE23" i="16"/>
  <c r="AF23" i="16"/>
  <c r="Y24" i="16"/>
  <c r="Z24" i="16"/>
  <c r="AE24" i="16"/>
  <c r="AF24" i="16"/>
  <c r="Y25" i="16"/>
  <c r="Z25" i="16"/>
  <c r="AE25" i="16"/>
  <c r="AF25" i="16"/>
  <c r="Z26" i="16"/>
  <c r="AF26" i="16"/>
  <c r="Z27" i="16"/>
  <c r="AF27" i="16"/>
  <c r="Z28" i="16"/>
  <c r="AF28" i="16"/>
  <c r="Z29" i="16"/>
  <c r="AF29" i="16"/>
  <c r="Z30" i="16"/>
  <c r="AF30" i="16"/>
  <c r="Z31" i="16"/>
  <c r="AF31" i="16"/>
  <c r="Z32" i="16"/>
  <c r="AF32" i="16"/>
  <c r="Z33" i="16"/>
  <c r="AF33" i="16"/>
  <c r="Z34" i="16"/>
  <c r="AF34" i="16"/>
  <c r="Z35" i="16"/>
  <c r="AF35" i="16"/>
  <c r="Z36" i="16"/>
  <c r="AF36" i="16"/>
  <c r="Z37" i="16"/>
  <c r="AF37" i="16"/>
  <c r="Y38" i="16"/>
  <c r="AE38" i="16"/>
  <c r="Y39" i="16"/>
  <c r="AE39" i="16"/>
  <c r="Y40" i="16"/>
  <c r="AE40" i="16"/>
  <c r="Y41" i="16"/>
  <c r="AE41" i="16"/>
  <c r="Y42" i="16"/>
  <c r="AE42" i="16"/>
  <c r="Y43" i="16"/>
  <c r="AE43" i="16"/>
  <c r="Y44" i="16"/>
  <c r="AE44" i="16"/>
  <c r="Y45" i="16"/>
  <c r="AE45" i="16"/>
  <c r="Y46" i="16"/>
  <c r="AE46" i="16"/>
  <c r="Y47" i="16"/>
  <c r="AE47" i="16"/>
  <c r="Y48" i="16"/>
  <c r="AE48" i="16"/>
  <c r="Y49" i="16"/>
  <c r="AE49" i="16"/>
  <c r="Z50" i="16"/>
  <c r="AF50" i="16"/>
  <c r="Z51" i="16"/>
  <c r="AF51" i="16"/>
  <c r="Z52" i="16"/>
  <c r="AF52" i="16"/>
  <c r="Z53" i="16"/>
  <c r="AF53" i="16"/>
  <c r="Z54" i="16"/>
  <c r="AF54" i="16"/>
  <c r="Z55" i="16"/>
  <c r="AF55" i="16"/>
  <c r="Z56" i="16"/>
  <c r="AF56" i="16"/>
  <c r="Z57" i="16"/>
  <c r="AF57" i="16"/>
  <c r="Z58" i="16"/>
  <c r="AF58" i="16"/>
  <c r="Z59" i="16"/>
  <c r="AF59" i="16"/>
  <c r="Z60" i="16"/>
  <c r="AF60" i="16"/>
  <c r="Z61" i="16"/>
  <c r="AF61" i="16"/>
  <c r="Z62" i="16"/>
  <c r="AF62" i="16"/>
  <c r="Z63" i="16"/>
  <c r="AF63" i="16"/>
  <c r="Z64" i="16"/>
  <c r="AF64" i="16"/>
  <c r="Z65" i="16"/>
  <c r="AF65" i="16"/>
  <c r="Z66" i="16"/>
  <c r="AF66" i="16"/>
  <c r="Z67" i="16"/>
  <c r="AF67" i="16"/>
  <c r="Z68" i="16"/>
  <c r="AF68" i="16"/>
  <c r="Z69" i="16"/>
  <c r="AF69" i="16"/>
  <c r="Z70" i="16"/>
  <c r="AF70" i="16"/>
  <c r="Z71" i="16"/>
  <c r="AF71" i="16"/>
  <c r="Z72" i="16"/>
  <c r="AF72" i="16"/>
  <c r="Z73" i="16"/>
  <c r="AF73" i="16"/>
  <c r="Y74" i="16"/>
  <c r="AE74" i="16"/>
  <c r="Y75" i="16"/>
  <c r="AE75" i="16"/>
  <c r="Y76" i="16"/>
  <c r="AE76" i="16"/>
  <c r="Y77" i="16"/>
  <c r="AE77" i="16"/>
  <c r="Y78" i="16"/>
  <c r="AE78" i="16"/>
  <c r="Y79" i="16"/>
  <c r="AE79" i="16"/>
  <c r="Y80" i="16"/>
  <c r="AE80" i="16"/>
  <c r="Y81" i="16"/>
  <c r="AE81" i="16"/>
  <c r="Y82" i="16"/>
  <c r="AE82" i="16"/>
  <c r="Y83" i="16"/>
  <c r="AE83" i="16"/>
  <c r="Y84" i="16"/>
  <c r="AE84" i="16"/>
  <c r="Y85" i="16"/>
  <c r="AE85" i="16"/>
  <c r="Z86" i="16"/>
  <c r="AF86" i="16"/>
  <c r="Z87" i="16"/>
  <c r="AF87" i="16"/>
  <c r="Z88" i="16"/>
  <c r="AF88" i="16"/>
  <c r="Z89" i="16"/>
  <c r="AF89" i="16"/>
  <c r="Z90" i="16"/>
  <c r="AF90" i="16"/>
  <c r="Z91" i="16"/>
  <c r="AF91" i="16"/>
  <c r="Z92" i="16"/>
  <c r="AF92" i="16"/>
  <c r="Z93" i="16"/>
  <c r="AF93" i="16"/>
  <c r="Z94" i="16"/>
  <c r="AF94" i="16"/>
  <c r="Z95" i="16"/>
  <c r="AF95" i="16"/>
  <c r="Z96" i="16"/>
  <c r="AF96" i="16"/>
  <c r="Z97" i="16"/>
  <c r="AF97" i="16"/>
  <c r="Z98" i="16"/>
  <c r="AF98" i="16"/>
  <c r="Z99" i="16"/>
  <c r="AF99" i="16"/>
  <c r="Z100" i="16"/>
  <c r="AF100" i="16"/>
  <c r="Z101" i="16"/>
  <c r="AF101" i="16"/>
  <c r="Z102" i="16"/>
  <c r="AF102" i="16"/>
  <c r="Z103" i="16"/>
  <c r="AF103" i="16"/>
  <c r="Z104" i="16"/>
  <c r="AF104" i="16"/>
  <c r="Z105" i="16"/>
  <c r="AF105" i="16"/>
  <c r="Z106" i="16"/>
  <c r="AF106" i="16"/>
  <c r="Z107" i="16"/>
  <c r="AF107" i="16"/>
  <c r="Z108" i="16"/>
  <c r="AF108" i="16"/>
  <c r="Z109" i="16"/>
  <c r="AF109" i="16"/>
  <c r="Y110" i="16"/>
  <c r="AE110" i="16"/>
  <c r="Y111" i="16"/>
  <c r="AE111" i="16"/>
  <c r="Y112" i="16"/>
  <c r="AE112" i="16"/>
  <c r="Y113" i="16"/>
  <c r="AE113" i="16"/>
  <c r="Y114" i="16"/>
  <c r="AE114" i="16"/>
  <c r="Y115" i="16"/>
  <c r="AE115" i="16"/>
  <c r="Y116" i="16"/>
  <c r="AE116" i="16"/>
  <c r="Y117" i="16"/>
  <c r="AE117" i="16"/>
  <c r="Y118" i="16"/>
  <c r="AE118" i="16"/>
  <c r="Y119" i="16"/>
  <c r="AE119" i="16"/>
  <c r="Y120" i="16"/>
  <c r="AE120" i="16"/>
  <c r="Y121" i="16"/>
  <c r="AE121" i="16"/>
  <c r="Z122" i="16"/>
  <c r="AF122" i="16"/>
  <c r="Z123" i="16"/>
  <c r="AF123" i="16"/>
  <c r="Z124" i="16"/>
  <c r="AF124" i="16"/>
  <c r="Z125" i="16"/>
  <c r="AF125" i="16"/>
  <c r="Z126" i="16"/>
  <c r="AF126" i="16"/>
  <c r="Z127" i="16"/>
  <c r="AF127" i="16"/>
  <c r="Z128" i="16"/>
  <c r="AF128" i="16"/>
  <c r="Z129" i="16"/>
  <c r="AF129" i="16"/>
  <c r="Z130" i="16"/>
  <c r="AF130" i="16"/>
  <c r="Z131" i="16"/>
  <c r="AF131" i="16"/>
  <c r="Z132" i="16"/>
  <c r="AF132" i="16"/>
  <c r="Z133" i="16"/>
  <c r="AF133" i="16"/>
  <c r="Z134" i="16"/>
  <c r="AF134" i="16"/>
  <c r="Z135" i="16"/>
  <c r="AF135" i="16"/>
  <c r="Z136" i="16"/>
  <c r="AF136" i="16"/>
  <c r="Z137" i="16"/>
  <c r="AF137" i="16"/>
  <c r="Z138" i="16"/>
  <c r="AF138" i="16"/>
  <c r="Z139" i="16"/>
  <c r="AF139" i="16"/>
  <c r="Z140" i="16"/>
  <c r="AF140" i="16"/>
  <c r="Z141" i="16"/>
  <c r="AF141" i="16"/>
  <c r="Z142" i="16"/>
  <c r="AF142" i="16"/>
  <c r="Z143" i="16"/>
  <c r="AF143" i="16"/>
  <c r="Z144" i="16"/>
  <c r="AF144" i="16"/>
  <c r="Z145" i="16"/>
  <c r="AF145" i="16"/>
  <c r="Y146" i="16"/>
  <c r="AE146" i="16"/>
  <c r="Y147" i="16"/>
  <c r="AE147" i="16"/>
  <c r="Y148" i="16"/>
  <c r="AE148" i="16"/>
  <c r="Y149" i="16"/>
  <c r="AE149" i="16"/>
  <c r="Y150" i="16"/>
  <c r="AE150" i="16"/>
  <c r="Y151" i="16"/>
  <c r="AE151" i="16"/>
  <c r="Y152" i="16"/>
  <c r="AE152" i="16"/>
  <c r="Y153" i="16"/>
  <c r="AE153" i="16"/>
  <c r="Y154" i="16"/>
  <c r="AE154" i="16"/>
  <c r="Y155" i="16"/>
  <c r="AE155" i="16"/>
  <c r="Y156" i="16"/>
  <c r="AE156" i="16"/>
  <c r="Y157" i="16"/>
  <c r="AE157" i="16"/>
  <c r="Z158" i="16"/>
  <c r="AF158" i="16"/>
  <c r="Z159" i="16"/>
  <c r="AF159" i="16"/>
  <c r="Z160" i="16"/>
  <c r="AF160" i="16"/>
  <c r="Z161" i="16"/>
  <c r="AF161" i="16"/>
  <c r="Z162" i="16"/>
  <c r="AF162" i="16"/>
  <c r="Z163" i="16"/>
  <c r="AF163" i="16"/>
  <c r="Z164" i="16"/>
  <c r="AF164" i="16"/>
  <c r="Z165" i="16"/>
  <c r="AF165" i="16"/>
  <c r="Z166" i="16"/>
  <c r="AF166" i="16"/>
  <c r="Z167" i="16"/>
  <c r="AF167" i="16"/>
  <c r="Z168" i="16"/>
  <c r="AF168" i="16"/>
  <c r="Z169" i="16"/>
  <c r="AF169" i="16"/>
  <c r="Z170" i="16"/>
  <c r="AF170" i="16"/>
  <c r="Z171" i="16"/>
  <c r="AF171" i="16"/>
  <c r="Z172" i="16"/>
  <c r="AF172" i="16"/>
  <c r="Z173" i="16"/>
  <c r="AF173" i="16"/>
  <c r="Z174" i="16"/>
  <c r="AF174" i="16"/>
  <c r="Z175" i="16"/>
  <c r="AF175" i="16"/>
  <c r="Z176" i="16"/>
  <c r="AF176" i="16"/>
  <c r="Z177" i="16"/>
  <c r="AF177" i="16"/>
  <c r="Z178" i="16"/>
  <c r="AF178" i="16"/>
  <c r="Z179" i="16"/>
  <c r="AF179" i="16"/>
  <c r="Z180" i="16"/>
  <c r="AF180" i="16"/>
  <c r="Z181" i="16"/>
  <c r="AF181" i="16"/>
  <c r="Z182" i="16"/>
  <c r="AF182" i="16"/>
  <c r="Z183" i="16"/>
  <c r="AF183" i="16"/>
  <c r="Z184" i="16"/>
  <c r="AF184" i="16"/>
  <c r="Z185" i="16"/>
  <c r="AF185" i="16"/>
  <c r="Z186" i="16"/>
  <c r="AF186" i="16"/>
  <c r="Z187" i="16"/>
  <c r="AF187" i="16"/>
  <c r="Z188" i="16"/>
  <c r="AF188" i="16"/>
  <c r="Z189" i="16"/>
  <c r="AF189" i="16"/>
  <c r="Z190" i="16"/>
  <c r="AF190" i="16"/>
  <c r="Z191" i="16"/>
  <c r="AF191" i="16"/>
  <c r="Z192" i="16"/>
  <c r="AF192" i="16"/>
  <c r="Z193" i="16"/>
  <c r="AF193" i="16"/>
  <c r="Z194" i="16"/>
  <c r="AF194" i="16"/>
  <c r="Z195" i="16"/>
  <c r="AF195" i="16"/>
  <c r="Z196" i="16"/>
  <c r="AF196" i="16"/>
  <c r="Z197" i="16"/>
  <c r="AF197" i="16"/>
  <c r="Z198" i="16"/>
  <c r="AF198" i="16"/>
  <c r="Z199" i="16"/>
  <c r="AF199" i="16"/>
  <c r="Z200" i="16"/>
  <c r="AF200" i="16"/>
  <c r="Z201" i="16"/>
  <c r="AF201" i="16"/>
  <c r="Z202" i="16"/>
  <c r="AF202" i="16"/>
  <c r="Z203" i="16"/>
  <c r="AF203" i="16"/>
  <c r="Z204" i="16"/>
  <c r="AF204" i="16"/>
  <c r="Z205" i="16"/>
  <c r="AF205" i="16"/>
  <c r="Z206" i="16"/>
  <c r="AF206" i="16"/>
  <c r="Z207" i="16"/>
  <c r="AF207" i="16"/>
  <c r="Z208" i="16"/>
  <c r="AF208" i="16"/>
  <c r="Z209" i="16"/>
  <c r="AF209" i="16"/>
  <c r="Z210" i="16"/>
  <c r="AF210" i="16"/>
  <c r="Z211" i="16"/>
  <c r="AF211" i="16"/>
  <c r="Z212" i="16"/>
  <c r="AF212" i="16"/>
  <c r="Z213" i="16"/>
  <c r="AF213" i="16"/>
  <c r="Z214" i="16"/>
  <c r="AF214" i="16"/>
  <c r="Z215" i="16"/>
  <c r="AF215" i="16"/>
  <c r="Z216" i="16"/>
  <c r="AF216" i="16"/>
  <c r="Z217" i="16"/>
  <c r="AF217" i="16"/>
  <c r="Z218" i="16"/>
  <c r="AF218" i="16"/>
  <c r="Z219" i="16"/>
  <c r="AF219" i="16"/>
  <c r="Z220" i="16"/>
  <c r="AF220" i="16"/>
  <c r="Z221" i="16"/>
  <c r="AF221" i="16"/>
  <c r="Z222" i="16"/>
  <c r="AF222" i="16"/>
  <c r="Z223" i="16"/>
  <c r="AF223" i="16"/>
  <c r="Z224" i="16"/>
  <c r="AF224" i="16"/>
  <c r="Z225" i="16"/>
  <c r="AF225" i="16"/>
  <c r="Z226" i="16"/>
  <c r="AF226" i="16"/>
  <c r="Z227" i="16"/>
  <c r="AF227" i="16"/>
  <c r="Z228" i="16"/>
  <c r="AF228" i="16"/>
  <c r="Z229" i="16"/>
  <c r="AF229" i="16"/>
  <c r="Z230" i="16"/>
  <c r="AF230" i="16"/>
  <c r="Z231" i="16"/>
  <c r="AF231" i="16"/>
  <c r="Z232" i="16"/>
  <c r="AF232" i="16"/>
  <c r="Z233" i="16"/>
  <c r="AF233" i="16"/>
  <c r="Z234" i="16"/>
  <c r="AF234" i="16"/>
  <c r="Z235" i="16"/>
  <c r="AF235" i="16"/>
  <c r="Z236" i="16"/>
  <c r="AF236" i="16"/>
  <c r="Z237" i="16"/>
  <c r="AF237" i="16"/>
  <c r="Z238" i="16"/>
  <c r="AF238" i="16"/>
  <c r="Z239" i="16"/>
  <c r="AF239" i="16"/>
  <c r="Z240" i="16"/>
  <c r="AF240" i="16"/>
  <c r="Z241" i="16"/>
  <c r="AF241" i="16"/>
  <c r="Z242" i="16"/>
  <c r="AF242" i="16"/>
  <c r="Z243" i="16"/>
  <c r="AF243" i="16"/>
  <c r="Z244" i="16"/>
  <c r="AF244" i="16"/>
  <c r="Z245" i="16"/>
  <c r="AF245" i="16"/>
  <c r="Z246" i="16"/>
  <c r="AF246" i="16"/>
  <c r="Z247" i="16"/>
  <c r="AF247" i="16"/>
  <c r="Z248" i="16"/>
  <c r="AF248" i="16"/>
  <c r="Z249" i="16"/>
  <c r="AF249" i="16"/>
  <c r="Z250" i="16"/>
  <c r="AF250" i="16"/>
  <c r="Z251" i="16"/>
  <c r="AF251" i="16"/>
  <c r="Z252" i="16"/>
  <c r="AF252" i="16"/>
  <c r="Z253" i="16"/>
  <c r="AF253" i="16"/>
  <c r="Z254" i="16"/>
  <c r="AF254" i="16"/>
  <c r="Z255" i="16"/>
  <c r="AF255" i="16"/>
  <c r="Z256" i="16"/>
  <c r="AF256" i="16"/>
  <c r="Z257" i="16"/>
  <c r="AF257" i="16"/>
  <c r="Z258" i="16"/>
  <c r="AF258" i="16"/>
  <c r="Z259" i="16"/>
  <c r="AF259" i="16"/>
  <c r="Z260" i="16"/>
  <c r="AF260" i="16"/>
  <c r="Z261" i="16"/>
  <c r="AF261" i="16"/>
  <c r="Z262" i="16"/>
  <c r="AF262" i="16"/>
  <c r="Z263" i="16"/>
  <c r="AF263" i="16"/>
  <c r="Z264" i="16"/>
  <c r="AF264" i="16"/>
  <c r="Z265" i="16"/>
  <c r="AF265" i="16"/>
  <c r="Z266" i="16"/>
  <c r="AF266" i="16"/>
  <c r="Z267" i="16"/>
  <c r="AF267" i="16"/>
  <c r="Z268" i="16"/>
  <c r="AF268" i="16"/>
  <c r="Z269" i="16"/>
  <c r="AF269" i="16"/>
  <c r="Z270" i="16"/>
  <c r="AF270" i="16"/>
  <c r="Z271" i="16"/>
  <c r="AF271" i="16"/>
  <c r="Z272" i="16"/>
  <c r="AF272" i="16"/>
  <c r="Z273" i="16"/>
  <c r="AF273" i="16"/>
  <c r="Z274" i="16"/>
  <c r="AF274" i="16"/>
  <c r="Z275" i="16"/>
  <c r="AF275" i="16"/>
  <c r="Z276" i="16"/>
  <c r="AF276" i="16"/>
  <c r="Z277" i="16"/>
  <c r="AF277" i="16"/>
  <c r="Z278" i="16"/>
  <c r="AF278" i="16"/>
  <c r="Z279" i="16"/>
  <c r="AF279" i="16"/>
  <c r="Z280" i="16"/>
  <c r="AF280" i="16"/>
  <c r="Z281" i="16"/>
  <c r="AF281" i="16"/>
  <c r="Z282" i="16"/>
  <c r="AF282" i="16"/>
  <c r="Z283" i="16"/>
  <c r="AF283" i="16"/>
  <c r="Z284" i="16"/>
  <c r="AF284" i="16"/>
  <c r="Z285" i="16"/>
  <c r="AF285" i="16"/>
  <c r="Z286" i="16"/>
  <c r="AF286" i="16"/>
  <c r="Z287" i="16"/>
  <c r="AF287" i="16"/>
  <c r="Z288" i="16"/>
  <c r="AF288" i="16"/>
  <c r="Z289" i="16"/>
  <c r="AF289" i="16"/>
  <c r="Z290" i="16"/>
  <c r="AF290" i="16"/>
  <c r="Z291" i="16"/>
  <c r="AF291" i="16"/>
  <c r="Z292" i="16"/>
  <c r="AF292" i="16"/>
  <c r="Z293" i="16"/>
  <c r="AF293" i="16"/>
  <c r="Z294" i="16"/>
  <c r="AF294" i="16"/>
  <c r="Z295" i="16"/>
  <c r="AF295" i="16"/>
  <c r="Z296" i="16"/>
  <c r="AF296" i="16"/>
  <c r="Z297" i="16"/>
  <c r="AF297" i="16"/>
  <c r="Z298" i="16"/>
  <c r="AF298" i="16"/>
  <c r="Z299" i="16"/>
  <c r="AF299" i="16"/>
  <c r="Z300" i="16"/>
  <c r="AF300" i="16"/>
  <c r="Z301" i="16"/>
  <c r="AF301" i="16"/>
  <c r="Z302" i="16"/>
  <c r="AF302" i="16"/>
  <c r="Z303" i="16"/>
  <c r="AF303" i="16"/>
  <c r="Z304" i="16"/>
  <c r="AF304" i="16"/>
  <c r="Z305" i="16"/>
  <c r="AF305" i="16"/>
  <c r="Z306" i="16"/>
  <c r="AF306" i="16"/>
  <c r="Z307" i="16"/>
  <c r="AF307" i="16"/>
  <c r="Z308" i="16"/>
  <c r="AF308" i="16"/>
  <c r="Z309" i="16"/>
  <c r="AF309" i="16"/>
  <c r="Z310" i="16"/>
  <c r="AF310" i="16"/>
  <c r="Z311" i="16"/>
  <c r="AF311" i="16"/>
  <c r="Z312" i="16"/>
  <c r="AF312" i="16"/>
  <c r="Z313" i="16"/>
  <c r="AF313" i="16"/>
  <c r="Z314" i="16"/>
  <c r="AF314" i="16"/>
  <c r="Z315" i="16"/>
  <c r="AF315" i="16"/>
  <c r="Z316" i="16"/>
  <c r="AF316" i="16"/>
  <c r="Z317" i="16"/>
  <c r="AF317" i="16"/>
  <c r="Z318" i="16"/>
  <c r="AF318" i="16"/>
  <c r="Z319" i="16"/>
  <c r="AF319" i="16"/>
  <c r="Z320" i="16"/>
  <c r="AF320" i="16"/>
  <c r="Z321" i="16"/>
  <c r="AF321" i="16"/>
  <c r="Z322" i="16"/>
  <c r="AF322" i="16"/>
  <c r="Z323" i="16"/>
  <c r="AF323" i="16"/>
  <c r="Z324" i="16"/>
  <c r="AF324" i="16"/>
  <c r="Z325" i="16"/>
  <c r="AF325" i="16"/>
  <c r="Z326" i="16"/>
  <c r="AF326" i="16"/>
  <c r="Z327" i="16"/>
  <c r="AF327" i="16"/>
  <c r="Z328" i="16"/>
  <c r="AF328" i="16"/>
  <c r="Z329" i="16"/>
  <c r="AF329" i="16"/>
  <c r="Z330" i="16"/>
  <c r="AF330" i="16"/>
  <c r="Z331" i="16"/>
  <c r="AF331" i="16"/>
  <c r="Z332" i="16"/>
  <c r="AF332" i="16"/>
  <c r="Z333" i="16"/>
  <c r="AF333" i="16"/>
  <c r="Z334" i="16"/>
  <c r="AF334" i="16"/>
  <c r="Z335" i="16"/>
  <c r="AF335" i="16"/>
  <c r="Z336" i="16"/>
  <c r="AF336" i="16"/>
  <c r="Z337" i="16"/>
  <c r="AF337" i="16"/>
  <c r="Z338" i="16"/>
  <c r="AF338" i="16"/>
  <c r="Z339" i="16"/>
  <c r="AF339" i="16"/>
  <c r="Z340" i="16"/>
  <c r="AF340" i="16"/>
  <c r="Z341" i="16"/>
  <c r="AF341" i="16"/>
  <c r="Z342" i="16"/>
  <c r="AF342" i="16"/>
  <c r="Z343" i="16"/>
  <c r="AF343" i="16"/>
  <c r="Z344" i="16"/>
  <c r="AF344" i="16"/>
  <c r="Z345" i="16"/>
  <c r="AF345" i="16"/>
  <c r="Z346" i="16"/>
  <c r="AF346" i="16"/>
  <c r="Z347" i="16"/>
  <c r="AF347" i="16"/>
  <c r="Z348" i="16"/>
  <c r="AF348" i="16"/>
  <c r="Z349" i="16"/>
  <c r="AF349" i="16"/>
  <c r="Z350" i="16"/>
  <c r="AF350" i="16"/>
  <c r="Z351" i="16"/>
  <c r="AF351" i="16"/>
  <c r="Z352" i="16"/>
  <c r="AF352" i="16"/>
  <c r="Z353" i="16"/>
  <c r="AF353" i="16"/>
  <c r="Z354" i="16"/>
  <c r="AF354" i="16"/>
  <c r="Z355" i="16"/>
  <c r="AF355" i="16"/>
  <c r="Z356" i="16"/>
  <c r="AF356" i="16"/>
  <c r="Z357" i="16"/>
  <c r="AF357" i="16"/>
  <c r="Z358" i="16"/>
  <c r="AF358" i="16"/>
  <c r="Z359" i="16"/>
  <c r="AF359" i="16"/>
  <c r="Z360" i="16"/>
  <c r="AF360" i="16"/>
  <c r="Z361" i="16"/>
  <c r="AF361" i="16"/>
  <c r="Z362" i="16"/>
  <c r="AF362" i="16"/>
  <c r="Z363" i="16"/>
  <c r="AF363" i="16"/>
  <c r="Z364" i="16"/>
  <c r="AF364" i="16"/>
  <c r="Z365" i="16"/>
  <c r="AF365" i="16"/>
  <c r="Z366" i="16"/>
  <c r="AF366" i="16"/>
  <c r="Z367" i="16"/>
  <c r="AF367" i="16"/>
  <c r="Z368" i="16"/>
  <c r="AF368" i="16"/>
  <c r="Z369" i="16"/>
  <c r="AF369" i="16"/>
  <c r="Z370" i="16"/>
  <c r="AF370" i="16"/>
  <c r="Z371" i="16"/>
  <c r="AF371" i="16"/>
  <c r="Z372" i="16"/>
  <c r="AF372" i="16"/>
  <c r="Z373" i="16"/>
  <c r="AF373" i="16"/>
  <c r="Z374" i="16"/>
  <c r="AF374" i="16"/>
  <c r="Z375" i="16"/>
  <c r="AF375" i="16"/>
  <c r="Z376" i="16"/>
  <c r="AF376" i="16"/>
  <c r="Z377" i="16"/>
  <c r="AF377" i="16"/>
  <c r="Z378" i="16"/>
  <c r="AF378" i="16"/>
  <c r="Z379" i="16"/>
  <c r="AF379" i="16"/>
  <c r="Z380" i="16"/>
  <c r="AF380" i="16"/>
  <c r="Z381" i="16"/>
  <c r="AF381" i="16"/>
  <c r="Z382" i="16"/>
  <c r="AF382" i="16"/>
  <c r="Z383" i="16"/>
  <c r="AF383" i="16"/>
  <c r="Z384" i="16"/>
  <c r="AF384" i="16"/>
  <c r="Z385" i="16"/>
  <c r="AF385" i="16"/>
  <c r="Z386" i="16"/>
  <c r="AF386" i="16"/>
  <c r="Z387" i="16"/>
  <c r="AF387" i="16"/>
  <c r="Z388" i="16"/>
  <c r="AF388" i="16"/>
  <c r="Z389" i="16"/>
  <c r="AF389" i="16"/>
  <c r="Z390" i="16"/>
  <c r="AF390" i="16"/>
  <c r="Z391" i="16"/>
  <c r="AF391" i="16"/>
  <c r="Z392" i="16"/>
  <c r="AF392" i="16"/>
  <c r="Z393" i="16"/>
  <c r="AF393" i="16"/>
  <c r="Z394" i="16"/>
  <c r="AF394" i="16"/>
  <c r="Z395" i="16"/>
  <c r="AF395" i="16"/>
  <c r="Z396" i="16"/>
  <c r="AF396" i="16"/>
  <c r="Z397" i="16"/>
  <c r="AF397" i="16"/>
  <c r="Z398" i="16"/>
  <c r="AF398" i="16"/>
  <c r="Z399" i="16"/>
  <c r="AF399" i="16"/>
  <c r="Z400" i="16"/>
  <c r="AF400" i="16"/>
  <c r="Z401" i="16"/>
  <c r="AF401" i="16"/>
  <c r="Z402" i="16"/>
  <c r="AF402" i="16"/>
  <c r="Z403" i="16"/>
  <c r="AF403" i="16"/>
  <c r="Z404" i="16"/>
  <c r="AF404" i="16"/>
  <c r="Z405" i="16"/>
  <c r="AF405" i="16"/>
  <c r="Z406" i="16"/>
  <c r="AF406" i="16"/>
  <c r="Z407" i="16"/>
  <c r="AF407" i="16"/>
  <c r="Z408" i="16"/>
  <c r="AF408" i="16"/>
  <c r="Z409" i="16"/>
  <c r="AF409" i="16"/>
  <c r="Z410" i="16"/>
  <c r="AF410" i="16"/>
  <c r="Z411" i="16"/>
  <c r="AF411" i="16"/>
  <c r="Z412" i="16"/>
  <c r="AF412" i="16"/>
  <c r="Z413" i="16"/>
  <c r="AF413" i="16"/>
  <c r="Z414" i="16"/>
  <c r="AF414" i="16"/>
  <c r="Z415" i="16"/>
  <c r="AF415" i="16"/>
  <c r="Z416" i="16"/>
  <c r="AF416" i="16"/>
  <c r="Z417" i="16"/>
  <c r="AF417" i="16"/>
  <c r="Z418" i="16"/>
  <c r="AF418" i="16"/>
  <c r="Z419" i="16"/>
  <c r="AF419" i="16"/>
  <c r="Z420" i="16"/>
  <c r="AF420" i="16"/>
  <c r="Z421" i="16"/>
  <c r="AF421" i="16"/>
  <c r="Z422" i="16"/>
  <c r="AF422" i="16"/>
  <c r="Z423" i="16"/>
  <c r="AF423" i="16"/>
  <c r="Z424" i="16"/>
  <c r="AF424" i="16"/>
  <c r="Z425" i="16"/>
  <c r="AF425" i="16"/>
  <c r="Z426" i="16"/>
  <c r="AF426" i="16"/>
  <c r="Z427" i="16"/>
  <c r="AF427" i="16"/>
  <c r="Z428" i="16"/>
  <c r="AF428" i="16"/>
  <c r="Z429" i="16"/>
  <c r="AF429" i="16"/>
  <c r="Z430" i="16"/>
  <c r="AF430" i="16"/>
  <c r="Z431" i="16"/>
  <c r="AF431" i="16"/>
  <c r="Z432" i="16"/>
  <c r="AF432" i="16"/>
  <c r="Z433" i="16"/>
  <c r="AF433" i="16"/>
  <c r="Z434" i="16"/>
  <c r="AF434" i="16"/>
  <c r="Z435" i="16"/>
  <c r="AF435" i="16"/>
  <c r="Z436" i="16"/>
  <c r="AF436" i="16"/>
  <c r="Z437" i="16"/>
  <c r="AF437" i="16"/>
  <c r="Z438" i="16"/>
  <c r="AF438" i="16"/>
  <c r="Z439" i="16"/>
  <c r="AF439" i="16"/>
  <c r="Z440" i="16"/>
  <c r="AF440" i="16"/>
  <c r="Z441" i="16"/>
  <c r="AF441" i="16"/>
  <c r="Z442" i="16"/>
  <c r="AF442" i="16"/>
  <c r="Z443" i="16"/>
  <c r="AF443" i="16"/>
  <c r="Z444" i="16"/>
  <c r="AF444" i="16"/>
  <c r="Z445" i="16"/>
  <c r="AF445" i="16"/>
  <c r="Z446" i="16"/>
  <c r="AF446" i="16"/>
  <c r="Z447" i="16"/>
  <c r="AF447" i="16"/>
  <c r="Z448" i="16"/>
  <c r="AF448" i="16"/>
  <c r="Z449" i="16"/>
  <c r="AF449" i="16"/>
  <c r="Z450" i="16"/>
  <c r="AF450" i="16"/>
  <c r="Z451" i="16"/>
  <c r="AF451" i="16"/>
  <c r="Z452" i="16"/>
  <c r="AF452" i="16"/>
  <c r="Z453" i="16"/>
  <c r="AF453" i="16"/>
  <c r="Z454" i="16"/>
  <c r="AF454" i="16"/>
  <c r="Z455" i="16"/>
  <c r="AF455" i="16"/>
  <c r="Z456" i="16"/>
  <c r="AF456" i="16"/>
  <c r="Z457" i="16"/>
  <c r="AF457" i="16"/>
  <c r="Z458" i="16"/>
  <c r="AF458" i="16"/>
  <c r="Z459" i="16"/>
  <c r="AF459" i="16"/>
  <c r="Z460" i="16"/>
  <c r="AF460" i="16"/>
  <c r="Z461" i="16"/>
  <c r="AF461" i="16"/>
  <c r="Z462" i="16"/>
  <c r="AF462" i="16"/>
  <c r="Z463" i="16"/>
  <c r="AF463" i="16"/>
  <c r="Z464" i="16"/>
  <c r="AF464" i="16"/>
  <c r="Z465" i="16"/>
  <c r="AF465" i="16"/>
  <c r="Z466" i="16"/>
  <c r="AF466" i="16"/>
  <c r="Z467" i="16"/>
  <c r="AF467" i="16"/>
  <c r="Z468" i="16"/>
  <c r="AF468" i="16"/>
  <c r="Z469" i="16"/>
  <c r="AF469" i="16"/>
  <c r="D7" i="31"/>
  <c r="R7" i="31"/>
  <c r="S7" i="31"/>
  <c r="V7" i="31"/>
  <c r="W7" i="31"/>
  <c r="X7" i="31"/>
  <c r="D9" i="31"/>
  <c r="R9" i="31"/>
  <c r="S9" i="31"/>
  <c r="V9" i="31"/>
  <c r="W9" i="31"/>
  <c r="X9" i="31"/>
  <c r="D11" i="31"/>
  <c r="R11" i="31"/>
  <c r="S11" i="31"/>
  <c r="V11" i="31"/>
  <c r="W11" i="31"/>
  <c r="X11" i="31"/>
  <c r="D13" i="31"/>
  <c r="R13" i="31"/>
  <c r="S13" i="31"/>
  <c r="V13" i="31"/>
  <c r="W13" i="31"/>
  <c r="X13" i="31"/>
  <c r="D14" i="31"/>
  <c r="R14" i="31"/>
  <c r="S14" i="31"/>
  <c r="V14" i="31"/>
  <c r="W14" i="31"/>
  <c r="X14" i="31"/>
  <c r="D15" i="31"/>
  <c r="R15" i="31"/>
  <c r="S15" i="31"/>
  <c r="V15" i="31"/>
  <c r="W15" i="31"/>
  <c r="X15" i="31"/>
  <c r="Z2" i="17"/>
  <c r="AE2" i="17"/>
  <c r="Z3" i="17"/>
  <c r="AE3" i="17"/>
  <c r="Z4" i="17"/>
  <c r="AE4" i="17"/>
  <c r="Z5" i="17"/>
  <c r="AE5" i="17"/>
  <c r="AJ5" i="17"/>
  <c r="Z6" i="17"/>
  <c r="AE6" i="17"/>
  <c r="AJ6" i="17"/>
  <c r="Z7" i="17"/>
  <c r="AE7" i="17"/>
  <c r="AJ7" i="17"/>
  <c r="Z8" i="17"/>
  <c r="AE8" i="17"/>
  <c r="AJ8" i="17"/>
  <c r="Z9" i="17"/>
  <c r="AE9" i="17"/>
  <c r="Z10" i="17"/>
  <c r="AE10" i="17"/>
  <c r="Z11" i="17"/>
  <c r="AE11" i="17"/>
  <c r="Z12" i="17"/>
  <c r="AE12" i="17"/>
  <c r="Z13" i="17"/>
  <c r="AE13" i="17"/>
  <c r="Z14" i="17"/>
  <c r="AE14" i="17"/>
  <c r="Z15" i="17"/>
  <c r="AE15" i="17"/>
  <c r="Z16" i="17"/>
  <c r="AE16" i="17"/>
  <c r="Z17" i="17"/>
  <c r="AE17" i="17"/>
  <c r="Z18" i="17"/>
  <c r="AE18" i="17"/>
  <c r="Z19" i="17"/>
  <c r="AE19" i="17"/>
  <c r="Z20" i="17"/>
  <c r="AE20" i="17"/>
  <c r="Z21" i="17"/>
  <c r="AE21" i="17"/>
  <c r="Z22" i="17"/>
  <c r="AE22" i="17"/>
  <c r="Z23" i="17"/>
  <c r="AE23" i="17"/>
  <c r="Z24" i="17"/>
  <c r="AE24" i="17"/>
  <c r="Z25" i="17"/>
  <c r="AE25" i="17"/>
  <c r="Z26" i="17"/>
  <c r="AE26" i="17"/>
  <c r="Z27" i="17"/>
  <c r="AE27" i="17"/>
  <c r="Z28" i="17"/>
  <c r="AE28" i="17"/>
  <c r="Z29" i="17"/>
  <c r="AE29" i="17"/>
  <c r="Z30" i="17"/>
  <c r="AE30" i="17"/>
  <c r="Z31" i="17"/>
  <c r="AE31" i="17"/>
  <c r="Z32" i="17"/>
  <c r="AE32" i="17"/>
  <c r="Z33" i="17"/>
  <c r="AE33" i="17"/>
  <c r="Z34" i="17"/>
  <c r="AE34" i="17"/>
  <c r="Z35" i="17"/>
  <c r="AE35" i="17"/>
  <c r="Z36" i="17"/>
  <c r="AE36" i="17"/>
  <c r="Z37" i="17"/>
  <c r="AE37" i="17"/>
  <c r="Z38" i="17"/>
  <c r="AE38" i="17"/>
  <c r="Z39" i="17"/>
  <c r="AE39" i="17"/>
  <c r="Z40" i="17"/>
  <c r="AE40" i="17"/>
  <c r="Z41" i="17"/>
  <c r="AE41" i="17"/>
  <c r="Z42" i="17"/>
  <c r="AE42" i="17"/>
  <c r="Z43" i="17"/>
  <c r="AE43" i="17"/>
  <c r="Z44" i="17"/>
  <c r="AE44" i="17"/>
  <c r="Z45" i="17"/>
  <c r="AE45" i="17"/>
  <c r="Z46" i="17"/>
  <c r="AE46" i="17"/>
  <c r="Z47" i="17"/>
  <c r="AE47" i="17"/>
  <c r="Z48" i="17"/>
  <c r="AE48" i="17"/>
  <c r="Z49" i="17"/>
  <c r="AE49" i="17"/>
  <c r="Z50" i="17"/>
  <c r="AE50" i="17"/>
  <c r="Z51" i="17"/>
  <c r="AE51" i="17"/>
  <c r="Z52" i="17"/>
  <c r="AE52" i="17"/>
  <c r="Z53" i="17"/>
  <c r="AE53" i="17"/>
  <c r="Z54" i="17"/>
  <c r="AE54" i="17"/>
  <c r="Z55" i="17"/>
  <c r="AE55" i="17"/>
  <c r="Z56" i="17"/>
  <c r="AE56" i="17"/>
  <c r="Z57" i="17"/>
  <c r="AE57" i="17"/>
  <c r="Z58" i="17"/>
  <c r="AE58" i="17"/>
  <c r="Z59" i="17"/>
  <c r="AE59" i="17"/>
  <c r="Z60" i="17"/>
  <c r="AE60" i="17"/>
  <c r="Z61" i="17"/>
  <c r="AE61" i="17"/>
  <c r="Z62" i="17"/>
  <c r="AE62" i="17"/>
  <c r="Z63" i="17"/>
  <c r="AE63" i="17"/>
  <c r="Z64" i="17"/>
  <c r="AE64" i="17"/>
  <c r="Z65" i="17"/>
  <c r="AE65" i="17"/>
  <c r="Z66" i="17"/>
  <c r="AE66" i="17"/>
  <c r="Z67" i="17"/>
  <c r="AE67" i="17"/>
  <c r="Z68" i="17"/>
  <c r="AE68" i="17"/>
  <c r="Z69" i="17"/>
  <c r="AE69" i="17"/>
  <c r="Z70" i="17"/>
  <c r="AE70" i="17"/>
  <c r="Z71" i="17"/>
  <c r="AE71" i="17"/>
  <c r="Z72" i="17"/>
  <c r="AE72" i="17"/>
  <c r="Z73" i="17"/>
  <c r="AE73" i="17"/>
  <c r="Z74" i="17"/>
  <c r="AE74" i="17"/>
  <c r="Z75" i="17"/>
  <c r="AE75" i="17"/>
  <c r="Z76" i="17"/>
  <c r="AE76" i="17"/>
  <c r="Z77" i="17"/>
  <c r="AE77" i="17"/>
  <c r="Z78" i="17"/>
  <c r="AE78" i="17"/>
  <c r="Z79" i="17"/>
  <c r="AE79" i="17"/>
  <c r="Z80" i="17"/>
  <c r="AE80" i="17"/>
  <c r="Z81" i="17"/>
  <c r="AE81" i="17"/>
  <c r="Z82" i="17"/>
  <c r="AE82" i="17"/>
  <c r="Z83" i="17"/>
  <c r="AE83" i="17"/>
  <c r="Z84" i="17"/>
  <c r="AE84" i="17"/>
  <c r="Z85" i="17"/>
  <c r="AE85" i="17"/>
  <c r="Z86" i="17"/>
  <c r="AE86" i="17"/>
  <c r="Z87" i="17"/>
  <c r="AE87" i="17"/>
  <c r="Z88" i="17"/>
  <c r="AE88" i="17"/>
  <c r="Z89" i="17"/>
  <c r="AE89" i="17"/>
  <c r="Z90" i="17"/>
  <c r="AE90" i="17"/>
  <c r="Z91" i="17"/>
  <c r="AE91" i="17"/>
  <c r="Z92" i="17"/>
  <c r="AE92" i="17"/>
  <c r="Z93" i="17"/>
  <c r="AE93" i="17"/>
  <c r="Z94" i="17"/>
  <c r="AE94" i="17"/>
  <c r="Z95" i="17"/>
  <c r="AE95" i="17"/>
  <c r="Z96" i="17"/>
  <c r="AE96" i="17"/>
  <c r="Z97" i="17"/>
  <c r="AE97" i="17"/>
  <c r="Z98" i="17"/>
  <c r="AE98" i="17"/>
  <c r="Z99" i="17"/>
  <c r="AE99" i="17"/>
  <c r="Z100" i="17"/>
  <c r="AE100" i="17"/>
  <c r="Z101" i="17"/>
  <c r="AE101" i="17"/>
  <c r="Z102" i="17"/>
  <c r="AE102" i="17"/>
  <c r="Z103" i="17"/>
  <c r="AE103" i="17"/>
  <c r="Z104" i="17"/>
  <c r="AE104" i="17"/>
  <c r="Z105" i="17"/>
  <c r="AE105" i="17"/>
  <c r="Z106" i="17"/>
  <c r="AE106" i="17"/>
  <c r="Z107" i="17"/>
  <c r="AE107" i="17"/>
  <c r="Z108" i="17"/>
  <c r="AE108" i="17"/>
  <c r="Z109" i="17"/>
  <c r="AE109" i="17"/>
  <c r="Z110" i="17"/>
  <c r="AE110" i="17"/>
  <c r="Z111" i="17"/>
  <c r="AE111" i="17"/>
  <c r="Z112" i="17"/>
  <c r="AE112" i="17"/>
  <c r="Z113" i="17"/>
  <c r="AE113" i="17"/>
  <c r="Z114" i="17"/>
  <c r="AE114" i="17"/>
  <c r="Z115" i="17"/>
  <c r="AE115" i="17"/>
  <c r="Z116" i="17"/>
  <c r="AE116" i="17"/>
  <c r="Z117" i="17"/>
  <c r="AE117" i="17"/>
  <c r="Z118" i="17"/>
  <c r="AE118" i="17"/>
  <c r="Z119" i="17"/>
  <c r="AE119" i="17"/>
  <c r="Z120" i="17"/>
  <c r="AE120" i="17"/>
  <c r="Z121" i="17"/>
  <c r="AE121" i="17"/>
  <c r="Z122" i="17"/>
  <c r="AE122" i="17"/>
  <c r="Z123" i="17"/>
  <c r="AE123" i="17"/>
  <c r="Z124" i="17"/>
  <c r="AE124" i="17"/>
  <c r="Z125" i="17"/>
  <c r="AE125" i="17"/>
  <c r="Z126" i="17"/>
  <c r="AE126" i="17"/>
  <c r="Z127" i="17"/>
  <c r="AE127" i="17"/>
  <c r="Z128" i="17"/>
  <c r="AE128" i="17"/>
  <c r="Z129" i="17"/>
  <c r="AE129" i="17"/>
  <c r="Z130" i="17"/>
  <c r="AE130" i="17"/>
  <c r="Z131" i="17"/>
  <c r="AE131" i="17"/>
  <c r="Z132" i="17"/>
  <c r="AE132" i="17"/>
  <c r="Z133" i="17"/>
  <c r="AE133" i="17"/>
  <c r="Z134" i="17"/>
  <c r="AE134" i="17"/>
  <c r="Z135" i="17"/>
  <c r="AE135" i="17"/>
  <c r="Z136" i="17"/>
  <c r="AE136" i="17"/>
  <c r="Z137" i="17"/>
  <c r="AE137" i="17"/>
  <c r="E5" i="34"/>
  <c r="F5" i="34"/>
  <c r="H5" i="34"/>
  <c r="I5" i="34"/>
  <c r="R5" i="34"/>
  <c r="U5" i="34"/>
  <c r="E6" i="34"/>
  <c r="F6" i="34"/>
  <c r="H6" i="34"/>
  <c r="I6" i="34"/>
  <c r="R6" i="34"/>
  <c r="U6" i="34"/>
  <c r="E7" i="34"/>
  <c r="F7" i="34"/>
  <c r="H7" i="34"/>
  <c r="I7" i="34"/>
  <c r="R7" i="34"/>
  <c r="U7" i="34"/>
  <c r="E8" i="34"/>
  <c r="F8" i="34"/>
  <c r="H8" i="34"/>
  <c r="I8" i="34"/>
  <c r="R8" i="34"/>
  <c r="U8" i="34"/>
  <c r="E9" i="34"/>
  <c r="H9" i="34"/>
  <c r="R9" i="34"/>
  <c r="U9" i="34"/>
  <c r="F10" i="34"/>
  <c r="I10" i="34"/>
  <c r="R10" i="34"/>
  <c r="U10" i="34"/>
  <c r="F11" i="34"/>
  <c r="I11" i="34"/>
  <c r="R11" i="34"/>
  <c r="U11" i="34"/>
  <c r="E12" i="34"/>
  <c r="H12" i="34"/>
  <c r="R12" i="34"/>
  <c r="U12" i="34"/>
  <c r="F13" i="34"/>
  <c r="I13" i="34"/>
  <c r="R13" i="34"/>
  <c r="U13" i="34"/>
  <c r="F14" i="34"/>
  <c r="I14" i="34"/>
  <c r="R14" i="34"/>
  <c r="U14" i="34"/>
  <c r="E15" i="34"/>
  <c r="H15" i="34"/>
  <c r="R15" i="34"/>
  <c r="U15" i="34"/>
  <c r="R16" i="34"/>
  <c r="U16" i="34"/>
  <c r="R17" i="34"/>
  <c r="U17" i="34"/>
  <c r="R18" i="34"/>
  <c r="U18" i="34"/>
  <c r="R19" i="34"/>
  <c r="U19" i="34"/>
  <c r="R20" i="34"/>
  <c r="U20" i="34"/>
  <c r="R21" i="34"/>
  <c r="U21" i="34"/>
  <c r="R22" i="34"/>
  <c r="U22" i="34"/>
  <c r="R23" i="34"/>
  <c r="U23" i="34"/>
  <c r="R24" i="34"/>
  <c r="U24" i="34"/>
  <c r="R25" i="34"/>
  <c r="U25" i="34"/>
  <c r="R26" i="34"/>
  <c r="U26" i="34"/>
  <c r="R27" i="34"/>
  <c r="U27" i="34"/>
  <c r="R28" i="34"/>
  <c r="U28" i="34"/>
  <c r="R29" i="34"/>
  <c r="U29" i="34"/>
  <c r="R30" i="34"/>
  <c r="U30" i="34"/>
  <c r="R31" i="34"/>
  <c r="U31" i="34"/>
  <c r="R32" i="34"/>
  <c r="U32" i="34"/>
  <c r="R33" i="34"/>
  <c r="U33" i="34"/>
  <c r="Q34" i="34"/>
  <c r="T34" i="34"/>
  <c r="Q35" i="34"/>
  <c r="T35" i="34"/>
  <c r="N7" i="6"/>
  <c r="AJ7" i="6"/>
  <c r="AK7" i="6"/>
  <c r="N8" i="6"/>
  <c r="AJ8" i="6"/>
  <c r="AK8" i="6"/>
  <c r="N11" i="6"/>
  <c r="AJ11" i="6"/>
  <c r="AK11" i="6"/>
  <c r="N12" i="6"/>
  <c r="AJ12" i="6"/>
  <c r="AK12" i="6"/>
  <c r="N13" i="6"/>
  <c r="AJ13" i="6"/>
  <c r="AK13" i="6"/>
  <c r="N14" i="6"/>
  <c r="AJ14" i="6"/>
  <c r="AK14" i="6"/>
  <c r="N17" i="6"/>
  <c r="AJ17" i="6"/>
  <c r="AK17" i="6"/>
  <c r="N18" i="6"/>
  <c r="AJ18" i="6"/>
  <c r="AK18" i="6"/>
  <c r="N19" i="6"/>
  <c r="AJ19" i="6"/>
  <c r="AK19" i="6"/>
  <c r="N20" i="6"/>
  <c r="AJ20" i="6"/>
  <c r="AK20" i="6"/>
  <c r="N21" i="6"/>
  <c r="AJ21" i="6"/>
  <c r="AK21" i="6"/>
  <c r="N22" i="6"/>
  <c r="AJ22" i="6"/>
  <c r="AK22" i="6"/>
  <c r="N23" i="6"/>
  <c r="AJ23" i="6"/>
  <c r="AK23" i="6"/>
  <c r="N24" i="6"/>
  <c r="AJ24" i="6"/>
  <c r="AK24" i="6"/>
  <c r="N25" i="6"/>
  <c r="AJ25" i="6"/>
  <c r="AK25" i="6"/>
  <c r="N26" i="6"/>
  <c r="AJ26" i="6"/>
  <c r="AK26" i="6"/>
  <c r="N27" i="6"/>
  <c r="AJ27" i="6"/>
  <c r="AK27" i="6"/>
  <c r="N28" i="6"/>
  <c r="AJ28" i="6"/>
  <c r="AK28" i="6"/>
  <c r="N29" i="6"/>
  <c r="AJ29" i="6"/>
  <c r="AK29" i="6"/>
  <c r="N30" i="6"/>
  <c r="AJ30" i="6"/>
  <c r="AK30" i="6"/>
  <c r="N31" i="6"/>
  <c r="AJ31" i="6"/>
  <c r="AK31" i="6"/>
  <c r="N32" i="6"/>
  <c r="AJ32" i="6"/>
  <c r="AK32" i="6"/>
  <c r="N33" i="6"/>
  <c r="AJ33" i="6"/>
  <c r="AK33" i="6"/>
  <c r="N34" i="6"/>
  <c r="AJ34" i="6"/>
  <c r="AK34" i="6"/>
  <c r="N35" i="6"/>
  <c r="AJ35" i="6"/>
  <c r="AK35" i="6"/>
  <c r="N36" i="6"/>
  <c r="AJ36" i="6"/>
  <c r="AK36" i="6"/>
  <c r="N37" i="6"/>
  <c r="AJ37" i="6"/>
  <c r="AK37" i="6"/>
  <c r="N38" i="6"/>
  <c r="AJ38" i="6"/>
  <c r="AK38" i="6"/>
  <c r="N39" i="6"/>
  <c r="AJ39" i="6"/>
  <c r="AK39" i="6"/>
  <c r="N40" i="6"/>
  <c r="AJ40" i="6"/>
  <c r="AK40" i="6"/>
  <c r="N41" i="6"/>
  <c r="AJ41" i="6"/>
  <c r="AK41" i="6"/>
  <c r="N42" i="6"/>
  <c r="AJ42" i="6"/>
  <c r="AK42" i="6"/>
  <c r="N43" i="6"/>
  <c r="AJ43" i="6"/>
  <c r="AK43" i="6"/>
  <c r="N44" i="6"/>
  <c r="AJ44" i="6"/>
  <c r="AK44" i="6"/>
  <c r="N45" i="6"/>
  <c r="AJ45" i="6"/>
  <c r="AK45" i="6"/>
  <c r="N46" i="6"/>
  <c r="AJ46" i="6"/>
  <c r="AK46" i="6"/>
  <c r="N47" i="6"/>
  <c r="AJ47" i="6"/>
  <c r="AK47" i="6"/>
  <c r="N48" i="6"/>
  <c r="AJ48" i="6"/>
  <c r="AK48" i="6"/>
  <c r="N49" i="6"/>
  <c r="AJ49" i="6"/>
  <c r="AK49" i="6"/>
  <c r="N50" i="6"/>
  <c r="AJ50" i="6"/>
  <c r="AK50" i="6"/>
  <c r="N51" i="6"/>
  <c r="AJ51" i="6"/>
  <c r="AK51" i="6"/>
  <c r="N55" i="6"/>
  <c r="AJ55" i="6"/>
  <c r="AK55" i="6"/>
  <c r="N60" i="6"/>
  <c r="AJ60" i="6"/>
  <c r="AK60" i="6"/>
  <c r="L63" i="6"/>
  <c r="N63" i="6"/>
  <c r="L64" i="6"/>
  <c r="N64" i="6"/>
  <c r="N65" i="6"/>
  <c r="L66" i="6"/>
  <c r="L67" i="6"/>
  <c r="L68" i="6"/>
  <c r="L69" i="6"/>
  <c r="L70" i="6"/>
  <c r="N5" i="29"/>
  <c r="AB5" i="29"/>
  <c r="AC5" i="29"/>
  <c r="AF5" i="29"/>
  <c r="AG5" i="29"/>
  <c r="N6" i="29"/>
  <c r="AB6" i="29"/>
  <c r="AC6" i="29"/>
  <c r="AF6" i="29"/>
  <c r="AG6" i="29"/>
  <c r="N7" i="29"/>
  <c r="AB7" i="29"/>
  <c r="AC7" i="29"/>
  <c r="AF7" i="29"/>
  <c r="AG7" i="29"/>
  <c r="N8" i="29"/>
  <c r="AB8" i="29"/>
  <c r="AC8" i="29"/>
  <c r="AF8" i="29"/>
  <c r="AG8" i="29"/>
  <c r="N9" i="29"/>
  <c r="AB9" i="29"/>
  <c r="AC9" i="29"/>
  <c r="AF9" i="29"/>
  <c r="AG9" i="29"/>
  <c r="N10" i="29"/>
  <c r="AB10" i="29"/>
  <c r="AC10" i="29"/>
  <c r="AF10" i="29"/>
  <c r="AG10" i="29"/>
  <c r="N11" i="29"/>
  <c r="AB11" i="29"/>
  <c r="AC11" i="29"/>
  <c r="AF11" i="29"/>
  <c r="AG11" i="29"/>
  <c r="N12" i="29"/>
  <c r="AB12" i="29"/>
  <c r="AC12" i="29"/>
  <c r="AF12" i="29"/>
  <c r="AG12" i="29"/>
  <c r="N13" i="29"/>
  <c r="AB13" i="29"/>
  <c r="AC13" i="29"/>
  <c r="AF13" i="29"/>
  <c r="AG13" i="29"/>
  <c r="N14" i="29"/>
  <c r="AB14" i="29"/>
  <c r="AC14" i="29"/>
  <c r="AF14" i="29"/>
  <c r="AG14" i="29"/>
  <c r="N15" i="29"/>
  <c r="AB15" i="29"/>
  <c r="AC15" i="29"/>
  <c r="AF15" i="29"/>
  <c r="AG15" i="29"/>
  <c r="N16" i="29"/>
  <c r="AB16" i="29"/>
  <c r="AC16" i="29"/>
  <c r="AF16" i="29"/>
  <c r="AG16" i="29"/>
  <c r="N17" i="29"/>
  <c r="AB17" i="29"/>
  <c r="AC17" i="29"/>
  <c r="AF17" i="29"/>
  <c r="AG17" i="29"/>
  <c r="N18" i="29"/>
  <c r="AB18" i="29"/>
  <c r="AC18" i="29"/>
  <c r="AF18" i="29"/>
  <c r="AG18" i="29"/>
  <c r="N19" i="29"/>
  <c r="AB19" i="29"/>
  <c r="AC19" i="29"/>
  <c r="AF19" i="29"/>
  <c r="AG19" i="29"/>
  <c r="N20" i="29"/>
  <c r="AB20" i="29"/>
  <c r="AC20" i="29"/>
  <c r="AF20" i="29"/>
  <c r="AG20" i="29"/>
  <c r="N21" i="29"/>
  <c r="AB21" i="29"/>
  <c r="AC21" i="29"/>
  <c r="AF21" i="29"/>
  <c r="AG21" i="29"/>
  <c r="N22" i="29"/>
  <c r="AB22" i="29"/>
  <c r="AC22" i="29"/>
  <c r="AF22" i="29"/>
  <c r="AG22" i="29"/>
  <c r="N23" i="29"/>
  <c r="AB23" i="29"/>
  <c r="AC23" i="29"/>
  <c r="AF23" i="29"/>
  <c r="AG23" i="29"/>
  <c r="N24" i="29"/>
  <c r="AB24" i="29"/>
  <c r="AC24" i="29"/>
  <c r="AF24" i="29"/>
  <c r="AG24" i="29"/>
  <c r="N25" i="29"/>
  <c r="AB25" i="29"/>
  <c r="AC25" i="29"/>
  <c r="AF25" i="29"/>
  <c r="AG25" i="29"/>
  <c r="N26" i="29"/>
  <c r="AB26" i="29"/>
  <c r="AC26" i="29"/>
  <c r="AF26" i="29"/>
  <c r="AG26" i="29"/>
  <c r="N27" i="29"/>
  <c r="AB27" i="29"/>
  <c r="AC27" i="29"/>
  <c r="AF27" i="29"/>
  <c r="AG27" i="29"/>
  <c r="N28" i="29"/>
  <c r="AB28" i="29"/>
  <c r="AC28" i="29"/>
  <c r="AF28" i="29"/>
  <c r="AG28" i="29"/>
  <c r="N29" i="29"/>
  <c r="AB29" i="29"/>
  <c r="AC29" i="29"/>
  <c r="AF29" i="29"/>
  <c r="AG29" i="29"/>
  <c r="N30" i="29"/>
  <c r="AB30" i="29"/>
  <c r="AC30" i="29"/>
  <c r="AF30" i="29"/>
  <c r="AG30" i="29"/>
  <c r="N31" i="29"/>
  <c r="AB31" i="29"/>
  <c r="AC31" i="29"/>
  <c r="AF31" i="29"/>
  <c r="AG31" i="29"/>
  <c r="N32" i="29"/>
  <c r="AB32" i="29"/>
  <c r="AC32" i="29"/>
  <c r="AF32" i="29"/>
  <c r="AG32" i="29"/>
  <c r="N33" i="29"/>
  <c r="AB33" i="29"/>
  <c r="AC33" i="29"/>
  <c r="AF33" i="29"/>
  <c r="AG33" i="29"/>
  <c r="N34" i="29"/>
  <c r="AB34" i="29"/>
  <c r="AC34" i="29"/>
  <c r="AF34" i="29"/>
  <c r="AG34" i="29"/>
  <c r="N35" i="29"/>
  <c r="AB35" i="29"/>
  <c r="AC35" i="29"/>
  <c r="AF35" i="29"/>
  <c r="AG35" i="29"/>
  <c r="N36" i="29"/>
  <c r="AB36" i="29"/>
  <c r="AC36" i="29"/>
  <c r="AF36" i="29"/>
  <c r="AG36" i="29"/>
  <c r="N37" i="29"/>
  <c r="AB37" i="29"/>
  <c r="AC37" i="29"/>
  <c r="AF37" i="29"/>
  <c r="AG37" i="29"/>
  <c r="N38" i="29"/>
  <c r="AB38" i="29"/>
  <c r="AC38" i="29"/>
  <c r="AF38" i="29"/>
  <c r="AG38" i="29"/>
  <c r="N39" i="29"/>
  <c r="AB39" i="29"/>
  <c r="AC39" i="29"/>
  <c r="AF39" i="29"/>
  <c r="AG39" i="29"/>
  <c r="N40" i="29"/>
  <c r="AB40" i="29"/>
  <c r="AC40" i="29"/>
  <c r="AF40" i="29"/>
  <c r="AG40" i="29"/>
  <c r="N41" i="29"/>
  <c r="AB41" i="29"/>
  <c r="AC41" i="29"/>
  <c r="AF41" i="29"/>
  <c r="AG41" i="29"/>
  <c r="N42" i="29"/>
  <c r="AB42" i="29"/>
  <c r="AC42" i="29"/>
  <c r="AF42" i="29"/>
  <c r="AG42" i="29"/>
  <c r="N43" i="29"/>
  <c r="AB43" i="29"/>
  <c r="AC43" i="29"/>
  <c r="AF43" i="29"/>
  <c r="AG43" i="29"/>
  <c r="N44" i="29"/>
  <c r="AB44" i="29"/>
  <c r="AC44" i="29"/>
  <c r="AF44" i="29"/>
  <c r="AG44" i="29"/>
  <c r="N45" i="29"/>
  <c r="AB45" i="29"/>
  <c r="AC45" i="29"/>
  <c r="AF45" i="29"/>
  <c r="AG45" i="29"/>
  <c r="N46" i="29"/>
  <c r="AB46" i="29"/>
  <c r="AC46" i="29"/>
  <c r="AF46" i="29"/>
  <c r="AG46" i="29"/>
  <c r="N47" i="29"/>
  <c r="AB47" i="29"/>
  <c r="AC47" i="29"/>
  <c r="AF47" i="29"/>
  <c r="AG47" i="29"/>
  <c r="N48" i="29"/>
  <c r="AB48" i="29"/>
  <c r="AC48" i="29"/>
  <c r="AF48" i="29"/>
  <c r="AG48" i="29"/>
  <c r="N49" i="29"/>
  <c r="AB49" i="29"/>
  <c r="AC49" i="29"/>
  <c r="AF49" i="29"/>
  <c r="AG49" i="29"/>
  <c r="N50" i="29"/>
  <c r="AB50" i="29"/>
  <c r="AC50" i="29"/>
  <c r="AF50" i="29"/>
  <c r="AG50" i="29"/>
  <c r="N51" i="29"/>
  <c r="AB51" i="29"/>
  <c r="AC51" i="29"/>
  <c r="AF51" i="29"/>
  <c r="AG51" i="29"/>
  <c r="N57" i="29"/>
  <c r="AB57" i="29"/>
  <c r="AC57" i="29"/>
  <c r="AF57" i="29"/>
  <c r="AG57" i="29"/>
  <c r="N58" i="29"/>
  <c r="AB58" i="29"/>
  <c r="AC58" i="29"/>
  <c r="AF58" i="29"/>
  <c r="AG58" i="29"/>
  <c r="N59" i="29"/>
  <c r="AB59" i="29"/>
  <c r="AC59" i="29"/>
  <c r="AF59" i="29"/>
  <c r="AG59" i="29"/>
  <c r="N60" i="29"/>
  <c r="AB60" i="29"/>
  <c r="AC60" i="29"/>
  <c r="AF60" i="29"/>
  <c r="AG60" i="29"/>
  <c r="N61" i="29"/>
  <c r="AB61" i="29"/>
  <c r="AC61" i="29"/>
  <c r="AF61" i="29"/>
  <c r="AG61" i="29"/>
  <c r="N62" i="29"/>
  <c r="AB62" i="29"/>
  <c r="AC62" i="29"/>
  <c r="AF62" i="29"/>
  <c r="AG62" i="29"/>
  <c r="N63" i="29"/>
  <c r="AB63" i="29"/>
  <c r="AC63" i="29"/>
  <c r="AF63" i="29"/>
  <c r="AG63" i="29"/>
  <c r="N64" i="29"/>
  <c r="AB64" i="29"/>
  <c r="AC64" i="29"/>
  <c r="AF64" i="29"/>
  <c r="AG64" i="29"/>
  <c r="N65" i="29"/>
  <c r="AB65" i="29"/>
  <c r="AC65" i="29"/>
  <c r="AF65" i="29"/>
  <c r="AG65" i="29"/>
  <c r="N66" i="29"/>
  <c r="AB66" i="29"/>
  <c r="AC66" i="29"/>
  <c r="AF66" i="29"/>
  <c r="AG66" i="29"/>
  <c r="N67" i="29"/>
  <c r="AB67" i="29"/>
  <c r="AC67" i="29"/>
  <c r="AF67" i="29"/>
  <c r="AG67" i="29"/>
  <c r="N68" i="29"/>
  <c r="AB68" i="29"/>
  <c r="AC68" i="29"/>
  <c r="AF68" i="29"/>
  <c r="AG68" i="29"/>
  <c r="N69" i="29"/>
  <c r="AB69" i="29"/>
  <c r="AC69" i="29"/>
  <c r="AF69" i="29"/>
  <c r="AG69" i="29"/>
  <c r="N70" i="29"/>
  <c r="AB70" i="29"/>
  <c r="AC70" i="29"/>
  <c r="AF70" i="29"/>
  <c r="AG70" i="29"/>
  <c r="N71" i="29"/>
  <c r="AB71" i="29"/>
  <c r="AC71" i="29"/>
  <c r="AF71" i="29"/>
  <c r="AG71" i="29"/>
  <c r="N72" i="29"/>
  <c r="AB72" i="29"/>
  <c r="AC72" i="29"/>
  <c r="AF72" i="29"/>
  <c r="AG72" i="29"/>
  <c r="N73" i="29"/>
  <c r="AB73" i="29"/>
  <c r="AC73" i="29"/>
  <c r="AF73" i="29"/>
  <c r="AG73" i="29"/>
  <c r="N74" i="29"/>
  <c r="AB74" i="29"/>
  <c r="AC74" i="29"/>
  <c r="AF74" i="29"/>
  <c r="AG74" i="29"/>
  <c r="N75" i="29"/>
  <c r="AB75" i="29"/>
  <c r="AC75" i="29"/>
  <c r="AF75" i="29"/>
  <c r="AG75" i="29"/>
  <c r="N76" i="29"/>
  <c r="AB76" i="29"/>
  <c r="AC76" i="29"/>
  <c r="AF76" i="29"/>
  <c r="AG76" i="29"/>
  <c r="N77" i="29"/>
  <c r="AB77" i="29"/>
  <c r="AC77" i="29"/>
  <c r="AF77" i="29"/>
  <c r="AG77" i="29"/>
  <c r="N78" i="29"/>
  <c r="AB78" i="29"/>
  <c r="AC78" i="29"/>
  <c r="AF78" i="29"/>
  <c r="AG78" i="29"/>
  <c r="N79" i="29"/>
  <c r="AB79" i="29"/>
  <c r="AC79" i="29"/>
  <c r="AF79" i="29"/>
  <c r="AG79" i="29"/>
  <c r="N80" i="29"/>
  <c r="AB80" i="29"/>
  <c r="AC80" i="29"/>
  <c r="AF80" i="29"/>
  <c r="AG80" i="29"/>
  <c r="N81" i="29"/>
  <c r="AB81" i="29"/>
  <c r="AC81" i="29"/>
  <c r="AF81" i="29"/>
  <c r="AG81" i="29"/>
  <c r="N82" i="29"/>
  <c r="AB82" i="29"/>
  <c r="AC82" i="29"/>
  <c r="AF82" i="29"/>
  <c r="AG82" i="29"/>
  <c r="N83" i="29"/>
  <c r="AB83" i="29"/>
  <c r="AC83" i="29"/>
  <c r="AF83" i="29"/>
  <c r="AG83" i="29"/>
  <c r="N84" i="29"/>
  <c r="AB84" i="29"/>
  <c r="AC84" i="29"/>
  <c r="AF84" i="29"/>
  <c r="AG84" i="29"/>
  <c r="N85" i="29"/>
  <c r="AB85" i="29"/>
  <c r="AC85" i="29"/>
  <c r="AF85" i="29"/>
  <c r="AG85" i="29"/>
  <c r="N86" i="29"/>
  <c r="AB86" i="29"/>
  <c r="AC86" i="29"/>
  <c r="AF86" i="29"/>
  <c r="AG86" i="29"/>
  <c r="N87" i="29"/>
  <c r="AB87" i="29"/>
  <c r="AC87" i="29"/>
  <c r="AF87" i="29"/>
  <c r="AG87" i="29"/>
  <c r="N88" i="29"/>
  <c r="AB88" i="29"/>
  <c r="AC88" i="29"/>
  <c r="AF88" i="29"/>
  <c r="AG88" i="29"/>
  <c r="N89" i="29"/>
  <c r="AB89" i="29"/>
  <c r="AC89" i="29"/>
  <c r="AF89" i="29"/>
  <c r="AG89" i="29"/>
  <c r="N90" i="29"/>
  <c r="AB90" i="29"/>
  <c r="AC90" i="29"/>
  <c r="AF90" i="29"/>
  <c r="AG90" i="29"/>
  <c r="N91" i="29"/>
  <c r="AB91" i="29"/>
  <c r="AC91" i="29"/>
  <c r="AF91" i="29"/>
  <c r="AG91" i="29"/>
  <c r="N92" i="29"/>
  <c r="AB92" i="29"/>
  <c r="AC92" i="29"/>
  <c r="AF92" i="29"/>
  <c r="AG92" i="29"/>
  <c r="N93" i="29"/>
  <c r="AB93" i="29"/>
  <c r="AC93" i="29"/>
  <c r="AF93" i="29"/>
  <c r="AG93" i="29"/>
  <c r="N94" i="29"/>
  <c r="AB94" i="29"/>
  <c r="AC94" i="29"/>
  <c r="AF94" i="29"/>
  <c r="AG94" i="29"/>
  <c r="N95" i="29"/>
  <c r="AB95" i="29"/>
  <c r="AC95" i="29"/>
  <c r="AF95" i="29"/>
  <c r="AG95" i="29"/>
  <c r="N96" i="29"/>
  <c r="AB96" i="29"/>
  <c r="AC96" i="29"/>
  <c r="AF96" i="29"/>
  <c r="AG96" i="29"/>
  <c r="N97" i="29"/>
  <c r="AB97" i="29"/>
  <c r="AC97" i="29"/>
  <c r="AF97" i="29"/>
  <c r="AG97" i="29"/>
  <c r="N98" i="29"/>
  <c r="AB98" i="29"/>
  <c r="AC98" i="29"/>
  <c r="AF98" i="29"/>
  <c r="AG98" i="29"/>
  <c r="N99" i="29"/>
  <c r="AB99" i="29"/>
  <c r="AC99" i="29"/>
  <c r="AF99" i="29"/>
  <c r="AG99" i="29"/>
  <c r="N100" i="29"/>
  <c r="AB100" i="29"/>
  <c r="AC100" i="29"/>
  <c r="AF100" i="29"/>
  <c r="AG100" i="29"/>
  <c r="N101" i="29"/>
  <c r="AB101" i="29"/>
  <c r="AC101" i="29"/>
  <c r="AF101" i="29"/>
  <c r="AG101" i="29"/>
  <c r="N102" i="29"/>
  <c r="AB102" i="29"/>
  <c r="AC102" i="29"/>
  <c r="AF102" i="29"/>
  <c r="AG102" i="29"/>
  <c r="N103" i="29"/>
  <c r="AB103" i="29"/>
  <c r="AC103" i="29"/>
  <c r="AF103" i="29"/>
  <c r="AG103" i="29"/>
  <c r="N5" i="7"/>
  <c r="T5" i="7"/>
  <c r="AJ5" i="7"/>
  <c r="AK5" i="7"/>
  <c r="AL5" i="7"/>
  <c r="AM5" i="7"/>
  <c r="N6" i="7"/>
  <c r="T6" i="7"/>
  <c r="AJ6" i="7"/>
  <c r="AK6" i="7"/>
  <c r="AL6" i="7"/>
  <c r="AM6" i="7"/>
  <c r="N7" i="7"/>
  <c r="T7" i="7"/>
  <c r="AJ7" i="7"/>
  <c r="AK7" i="7"/>
  <c r="AL7" i="7"/>
  <c r="AM7" i="7"/>
  <c r="N8" i="7"/>
  <c r="T8" i="7"/>
  <c r="AJ8" i="7"/>
  <c r="AK8" i="7"/>
  <c r="AL8" i="7"/>
  <c r="AM8" i="7"/>
  <c r="N9" i="7"/>
  <c r="T9" i="7"/>
  <c r="AJ9" i="7"/>
  <c r="AK9" i="7"/>
  <c r="AL9" i="7"/>
  <c r="AM9" i="7"/>
  <c r="N10" i="7"/>
  <c r="T10" i="7"/>
  <c r="AJ10" i="7"/>
  <c r="AK10" i="7"/>
  <c r="AL10" i="7"/>
  <c r="AM10" i="7"/>
  <c r="N11" i="7"/>
  <c r="T11" i="7"/>
  <c r="AJ11" i="7"/>
  <c r="AK11" i="7"/>
  <c r="AL11" i="7"/>
  <c r="AM11" i="7"/>
  <c r="N12" i="7"/>
  <c r="T12" i="7"/>
  <c r="AJ12" i="7"/>
  <c r="AK12" i="7"/>
  <c r="AL12" i="7"/>
  <c r="AM12" i="7"/>
  <c r="N13" i="7"/>
  <c r="T13" i="7"/>
  <c r="AJ13" i="7"/>
  <c r="AK13" i="7"/>
  <c r="AL13" i="7"/>
  <c r="AM13" i="7"/>
  <c r="N14" i="7"/>
  <c r="T14" i="7"/>
  <c r="AJ14" i="7"/>
  <c r="AK14" i="7"/>
  <c r="AL14" i="7"/>
  <c r="AM14" i="7"/>
  <c r="N15" i="7"/>
  <c r="T15" i="7"/>
  <c r="AJ15" i="7"/>
  <c r="AK15" i="7"/>
  <c r="AL15" i="7"/>
  <c r="AM15" i="7"/>
  <c r="N16" i="7"/>
  <c r="T16" i="7"/>
  <c r="AJ16" i="7"/>
  <c r="AK16" i="7"/>
  <c r="AL16" i="7"/>
  <c r="AM16" i="7"/>
  <c r="N17" i="7"/>
  <c r="T17" i="7"/>
  <c r="AJ17" i="7"/>
  <c r="AK17" i="7"/>
  <c r="AL17" i="7"/>
  <c r="AM17" i="7"/>
  <c r="N18" i="7"/>
  <c r="T18" i="7"/>
  <c r="AJ18" i="7"/>
  <c r="AK18" i="7"/>
  <c r="AL18" i="7"/>
  <c r="AM18" i="7"/>
  <c r="N19" i="7"/>
  <c r="T19" i="7"/>
  <c r="AJ19" i="7"/>
  <c r="AK19" i="7"/>
  <c r="AL19" i="7"/>
  <c r="AM19" i="7"/>
  <c r="N20" i="7"/>
  <c r="T20" i="7"/>
  <c r="AJ20" i="7"/>
  <c r="AK20" i="7"/>
  <c r="AL20" i="7"/>
  <c r="AM20" i="7"/>
  <c r="N21" i="7"/>
  <c r="T21" i="7"/>
  <c r="AJ21" i="7"/>
  <c r="AK21" i="7"/>
  <c r="AL21" i="7"/>
  <c r="AM21" i="7"/>
  <c r="N22" i="7"/>
  <c r="T22" i="7"/>
  <c r="AJ22" i="7"/>
  <c r="AK22" i="7"/>
  <c r="AL22" i="7"/>
  <c r="AM22" i="7"/>
  <c r="N23" i="7"/>
  <c r="T23" i="7"/>
  <c r="AJ23" i="7"/>
  <c r="AK23" i="7"/>
  <c r="AL23" i="7"/>
  <c r="AM23" i="7"/>
  <c r="N24" i="7"/>
  <c r="T24" i="7"/>
  <c r="AJ24" i="7"/>
  <c r="AK24" i="7"/>
  <c r="AL24" i="7"/>
  <c r="AM24" i="7"/>
  <c r="N25" i="7"/>
  <c r="T25" i="7"/>
  <c r="AJ25" i="7"/>
  <c r="AK25" i="7"/>
  <c r="AL25" i="7"/>
  <c r="AM25" i="7"/>
  <c r="N26" i="7"/>
  <c r="T26" i="7"/>
  <c r="AJ26" i="7"/>
  <c r="AK26" i="7"/>
  <c r="AL26" i="7"/>
  <c r="AM26" i="7"/>
  <c r="N27" i="7"/>
  <c r="T27" i="7"/>
  <c r="AJ27" i="7"/>
  <c r="AK27" i="7"/>
  <c r="AL27" i="7"/>
  <c r="AM27" i="7"/>
  <c r="N28" i="7"/>
  <c r="T28" i="7"/>
  <c r="AJ28" i="7"/>
  <c r="AK28" i="7"/>
  <c r="AL28" i="7"/>
  <c r="AM28" i="7"/>
  <c r="N29" i="7"/>
  <c r="T29" i="7"/>
  <c r="AJ29" i="7"/>
  <c r="AK29" i="7"/>
  <c r="AL29" i="7"/>
  <c r="AM29" i="7"/>
  <c r="N30" i="7"/>
  <c r="T30" i="7"/>
  <c r="AJ30" i="7"/>
  <c r="AK30" i="7"/>
  <c r="AL30" i="7"/>
  <c r="AM30" i="7"/>
  <c r="N31" i="7"/>
  <c r="T31" i="7"/>
  <c r="AJ31" i="7"/>
  <c r="AK31" i="7"/>
  <c r="AL31" i="7"/>
  <c r="AM31" i="7"/>
  <c r="N32" i="7"/>
  <c r="T32" i="7"/>
  <c r="AJ32" i="7"/>
  <c r="AK32" i="7"/>
  <c r="AL32" i="7"/>
  <c r="AM32" i="7"/>
  <c r="N33" i="7"/>
  <c r="T33" i="7"/>
  <c r="AJ33" i="7"/>
  <c r="AK33" i="7"/>
  <c r="AL33" i="7"/>
  <c r="AM33" i="7"/>
  <c r="N34" i="7"/>
  <c r="T34" i="7"/>
  <c r="AJ34" i="7"/>
  <c r="AK34" i="7"/>
  <c r="AL34" i="7"/>
  <c r="AM34" i="7"/>
  <c r="N35" i="7"/>
  <c r="T35" i="7"/>
  <c r="AJ35" i="7"/>
  <c r="AK35" i="7"/>
  <c r="AL35" i="7"/>
  <c r="AM35" i="7"/>
  <c r="N36" i="7"/>
  <c r="T36" i="7"/>
  <c r="AJ36" i="7"/>
  <c r="AK36" i="7"/>
  <c r="AL36" i="7"/>
  <c r="AM36" i="7"/>
  <c r="N37" i="7"/>
  <c r="T37" i="7"/>
  <c r="AJ37" i="7"/>
  <c r="AK37" i="7"/>
  <c r="AL37" i="7"/>
  <c r="AM37" i="7"/>
  <c r="N38" i="7"/>
  <c r="T38" i="7"/>
  <c r="AJ38" i="7"/>
  <c r="AK38" i="7"/>
  <c r="AL38" i="7"/>
  <c r="AM38" i="7"/>
  <c r="N39" i="7"/>
  <c r="T39" i="7"/>
  <c r="AJ39" i="7"/>
  <c r="AK39" i="7"/>
  <c r="AL39" i="7"/>
  <c r="AM39" i="7"/>
  <c r="N40" i="7"/>
  <c r="T40" i="7"/>
  <c r="AJ40" i="7"/>
  <c r="AK40" i="7"/>
  <c r="AL40" i="7"/>
  <c r="AM40" i="7"/>
  <c r="N41" i="7"/>
  <c r="T41" i="7"/>
  <c r="AJ41" i="7"/>
  <c r="AK41" i="7"/>
  <c r="AL41" i="7"/>
  <c r="AM41" i="7"/>
  <c r="N42" i="7"/>
  <c r="T42" i="7"/>
  <c r="AJ42" i="7"/>
  <c r="AK42" i="7"/>
  <c r="AL42" i="7"/>
  <c r="AM42" i="7"/>
  <c r="N43" i="7"/>
  <c r="T43" i="7"/>
  <c r="AJ43" i="7"/>
  <c r="AK43" i="7"/>
  <c r="AL43" i="7"/>
  <c r="AM43" i="7"/>
  <c r="N44" i="7"/>
  <c r="T44" i="7"/>
  <c r="AJ44" i="7"/>
  <c r="AK44" i="7"/>
  <c r="AL44" i="7"/>
  <c r="AM44" i="7"/>
  <c r="N45" i="7"/>
  <c r="T45" i="7"/>
  <c r="AJ45" i="7"/>
  <c r="AK45" i="7"/>
  <c r="AL45" i="7"/>
  <c r="AM45" i="7"/>
  <c r="N46" i="7"/>
  <c r="T46" i="7"/>
  <c r="AJ46" i="7"/>
  <c r="AK46" i="7"/>
  <c r="AL46" i="7"/>
  <c r="AM46" i="7"/>
  <c r="N47" i="7"/>
  <c r="T47" i="7"/>
  <c r="AJ47" i="7"/>
  <c r="AK47" i="7"/>
  <c r="AL47" i="7"/>
  <c r="AM47" i="7"/>
  <c r="N48" i="7"/>
  <c r="T48" i="7"/>
  <c r="AJ48" i="7"/>
  <c r="AK48" i="7"/>
  <c r="AL48" i="7"/>
  <c r="AM48" i="7"/>
  <c r="N49" i="7"/>
  <c r="T49" i="7"/>
  <c r="AJ49" i="7"/>
  <c r="AK49" i="7"/>
  <c r="AL49" i="7"/>
  <c r="AM49" i="7"/>
  <c r="N50" i="7"/>
  <c r="T50" i="7"/>
  <c r="AJ50" i="7"/>
  <c r="AK50" i="7"/>
  <c r="AL50" i="7"/>
  <c r="AM50" i="7"/>
  <c r="N51" i="7"/>
  <c r="T51" i="7"/>
  <c r="AJ51" i="7"/>
  <c r="AK51" i="7"/>
  <c r="AL51" i="7"/>
  <c r="AM51" i="7"/>
  <c r="N53" i="7"/>
  <c r="T53" i="7"/>
  <c r="AJ53" i="7"/>
  <c r="AK53" i="7"/>
  <c r="AL53" i="7"/>
  <c r="AM53" i="7"/>
  <c r="N58" i="7"/>
  <c r="AE58" i="7"/>
  <c r="AF58" i="7"/>
  <c r="AJ58" i="7"/>
  <c r="AK58" i="7"/>
  <c r="N5" i="8"/>
  <c r="T5" i="8"/>
  <c r="AE5" i="8"/>
  <c r="AF5" i="8"/>
  <c r="AG5" i="8"/>
  <c r="AJ5" i="8"/>
  <c r="AK5" i="8"/>
  <c r="AL5" i="8"/>
  <c r="AM5" i="8"/>
  <c r="AO5" i="8"/>
  <c r="AP5" i="8"/>
  <c r="N6" i="8"/>
  <c r="T6" i="8"/>
  <c r="AE6" i="8"/>
  <c r="AF6" i="8"/>
  <c r="AG6" i="8"/>
  <c r="AJ6" i="8"/>
  <c r="AK6" i="8"/>
  <c r="AL6" i="8"/>
  <c r="AM6" i="8"/>
  <c r="AO6" i="8"/>
  <c r="AP6" i="8"/>
  <c r="N7" i="8"/>
  <c r="T7" i="8"/>
  <c r="AE7" i="8"/>
  <c r="AF7" i="8"/>
  <c r="AG7" i="8"/>
  <c r="AJ7" i="8"/>
  <c r="AK7" i="8"/>
  <c r="AL7" i="8"/>
  <c r="AM7" i="8"/>
  <c r="AO7" i="8"/>
  <c r="AP7" i="8"/>
  <c r="N8" i="8"/>
  <c r="T8" i="8"/>
  <c r="AE8" i="8"/>
  <c r="AF8" i="8"/>
  <c r="AG8" i="8"/>
  <c r="AJ8" i="8"/>
  <c r="AK8" i="8"/>
  <c r="AL8" i="8"/>
  <c r="AM8" i="8"/>
  <c r="AO8" i="8"/>
  <c r="AP8" i="8"/>
  <c r="N9" i="8"/>
  <c r="T9" i="8"/>
  <c r="AE9" i="8"/>
  <c r="AF9" i="8"/>
  <c r="AG9" i="8"/>
  <c r="AJ9" i="8"/>
  <c r="AK9" i="8"/>
  <c r="AL9" i="8"/>
  <c r="AM9" i="8"/>
  <c r="AO9" i="8"/>
  <c r="AP9" i="8"/>
  <c r="N10" i="8"/>
  <c r="T10" i="8"/>
  <c r="AE10" i="8"/>
  <c r="AF10" i="8"/>
  <c r="AG10" i="8"/>
  <c r="AJ10" i="8"/>
  <c r="AK10" i="8"/>
  <c r="AL10" i="8"/>
  <c r="AM10" i="8"/>
  <c r="AO10" i="8"/>
  <c r="AP10" i="8"/>
  <c r="N11" i="8"/>
  <c r="T11" i="8"/>
  <c r="AE11" i="8"/>
  <c r="AF11" i="8"/>
  <c r="AG11" i="8"/>
  <c r="AJ11" i="8"/>
  <c r="AK11" i="8"/>
  <c r="AL11" i="8"/>
  <c r="AM11" i="8"/>
  <c r="AO11" i="8"/>
  <c r="AP11" i="8"/>
  <c r="N12" i="8"/>
  <c r="T12" i="8"/>
  <c r="AE12" i="8"/>
  <c r="AF12" i="8"/>
  <c r="AG12" i="8"/>
  <c r="AJ12" i="8"/>
  <c r="AK12" i="8"/>
  <c r="AL12" i="8"/>
  <c r="AM12" i="8"/>
  <c r="AO12" i="8"/>
  <c r="AP12" i="8"/>
  <c r="N13" i="8"/>
  <c r="T13" i="8"/>
  <c r="AE13" i="8"/>
  <c r="AF13" i="8"/>
  <c r="AG13" i="8"/>
  <c r="AJ13" i="8"/>
  <c r="AK13" i="8"/>
  <c r="AL13" i="8"/>
  <c r="AM13" i="8"/>
  <c r="AO13" i="8"/>
  <c r="AP13" i="8"/>
  <c r="N14" i="8"/>
  <c r="T14" i="8"/>
  <c r="AE14" i="8"/>
  <c r="AF14" i="8"/>
  <c r="AG14" i="8"/>
  <c r="AJ14" i="8"/>
  <c r="AK14" i="8"/>
  <c r="AL14" i="8"/>
  <c r="AM14" i="8"/>
  <c r="AO14" i="8"/>
  <c r="AP14" i="8"/>
  <c r="N15" i="8"/>
  <c r="T15" i="8"/>
  <c r="AE15" i="8"/>
  <c r="AF15" i="8"/>
  <c r="AG15" i="8"/>
  <c r="AJ15" i="8"/>
  <c r="AK15" i="8"/>
  <c r="AL15" i="8"/>
  <c r="AM15" i="8"/>
  <c r="AO15" i="8"/>
  <c r="AP15" i="8"/>
  <c r="N16" i="8"/>
  <c r="T16" i="8"/>
  <c r="AE16" i="8"/>
  <c r="AF16" i="8"/>
  <c r="AG16" i="8"/>
  <c r="AJ16" i="8"/>
  <c r="AK16" i="8"/>
  <c r="AL16" i="8"/>
  <c r="AM16" i="8"/>
  <c r="AO16" i="8"/>
  <c r="AP16" i="8"/>
  <c r="N17" i="8"/>
  <c r="T17" i="8"/>
  <c r="AE17" i="8"/>
  <c r="AF17" i="8"/>
  <c r="AG17" i="8"/>
  <c r="AJ17" i="8"/>
  <c r="AK17" i="8"/>
  <c r="AL17" i="8"/>
  <c r="AM17" i="8"/>
  <c r="AO17" i="8"/>
  <c r="AP17" i="8"/>
  <c r="N18" i="8"/>
  <c r="T18" i="8"/>
  <c r="AE18" i="8"/>
  <c r="AF18" i="8"/>
  <c r="AG18" i="8"/>
  <c r="AJ18" i="8"/>
  <c r="AK18" i="8"/>
  <c r="AL18" i="8"/>
  <c r="AM18" i="8"/>
  <c r="AO18" i="8"/>
  <c r="AP18" i="8"/>
  <c r="N19" i="8"/>
  <c r="T19" i="8"/>
  <c r="AE19" i="8"/>
  <c r="AF19" i="8"/>
  <c r="AG19" i="8"/>
  <c r="AJ19" i="8"/>
  <c r="AK19" i="8"/>
  <c r="AL19" i="8"/>
  <c r="AM19" i="8"/>
  <c r="AO19" i="8"/>
  <c r="AP19" i="8"/>
  <c r="N20" i="8"/>
  <c r="T20" i="8"/>
  <c r="AE20" i="8"/>
  <c r="AF20" i="8"/>
  <c r="AG20" i="8"/>
  <c r="AJ20" i="8"/>
  <c r="AK20" i="8"/>
  <c r="AL20" i="8"/>
  <c r="AM20" i="8"/>
  <c r="AO20" i="8"/>
  <c r="AP20" i="8"/>
  <c r="N21" i="8"/>
  <c r="T21" i="8"/>
  <c r="AE21" i="8"/>
  <c r="AF21" i="8"/>
  <c r="AG21" i="8"/>
  <c r="AJ21" i="8"/>
  <c r="AK21" i="8"/>
  <c r="AL21" i="8"/>
  <c r="AM21" i="8"/>
  <c r="AO21" i="8"/>
  <c r="AP21" i="8"/>
  <c r="N22" i="8"/>
  <c r="T22" i="8"/>
  <c r="AE22" i="8"/>
  <c r="AF22" i="8"/>
  <c r="AG22" i="8"/>
  <c r="AJ22" i="8"/>
  <c r="AK22" i="8"/>
  <c r="AL22" i="8"/>
  <c r="AM22" i="8"/>
  <c r="AO22" i="8"/>
  <c r="AP22" i="8"/>
  <c r="N23" i="8"/>
  <c r="T23" i="8"/>
  <c r="AE23" i="8"/>
  <c r="AF23" i="8"/>
  <c r="AG23" i="8"/>
  <c r="AJ23" i="8"/>
  <c r="AK23" i="8"/>
  <c r="AL23" i="8"/>
  <c r="AM23" i="8"/>
  <c r="AO23" i="8"/>
  <c r="AP23" i="8"/>
  <c r="N24" i="8"/>
  <c r="T24" i="8"/>
  <c r="AE24" i="8"/>
  <c r="AF24" i="8"/>
  <c r="AG24" i="8"/>
  <c r="AJ24" i="8"/>
  <c r="AK24" i="8"/>
  <c r="AL24" i="8"/>
  <c r="AM24" i="8"/>
  <c r="AO24" i="8"/>
  <c r="AP24" i="8"/>
  <c r="N25" i="8"/>
  <c r="T25" i="8"/>
  <c r="AE25" i="8"/>
  <c r="AF25" i="8"/>
  <c r="AG25" i="8"/>
  <c r="AJ25" i="8"/>
  <c r="AK25" i="8"/>
  <c r="AL25" i="8"/>
  <c r="AM25" i="8"/>
  <c r="AO25" i="8"/>
  <c r="AP25" i="8"/>
  <c r="N26" i="8"/>
  <c r="T26" i="8"/>
  <c r="AE26" i="8"/>
  <c r="AF26" i="8"/>
  <c r="AG26" i="8"/>
  <c r="AJ26" i="8"/>
  <c r="AK26" i="8"/>
  <c r="AL26" i="8"/>
  <c r="AM26" i="8"/>
  <c r="AO26" i="8"/>
  <c r="AP26" i="8"/>
  <c r="N27" i="8"/>
  <c r="T27" i="8"/>
  <c r="AE27" i="8"/>
  <c r="AF27" i="8"/>
  <c r="AG27" i="8"/>
  <c r="AJ27" i="8"/>
  <c r="AK27" i="8"/>
  <c r="AL27" i="8"/>
  <c r="AM27" i="8"/>
  <c r="AO27" i="8"/>
  <c r="AP27" i="8"/>
  <c r="N28" i="8"/>
  <c r="T28" i="8"/>
  <c r="AE28" i="8"/>
  <c r="AF28" i="8"/>
  <c r="AG28" i="8"/>
  <c r="AJ28" i="8"/>
  <c r="AK28" i="8"/>
  <c r="AL28" i="8"/>
  <c r="AM28" i="8"/>
  <c r="AO28" i="8"/>
  <c r="AP28" i="8"/>
  <c r="N29" i="8"/>
  <c r="T29" i="8"/>
  <c r="AE29" i="8"/>
  <c r="AF29" i="8"/>
  <c r="AG29" i="8"/>
  <c r="AJ29" i="8"/>
  <c r="AK29" i="8"/>
  <c r="AL29" i="8"/>
  <c r="AM29" i="8"/>
  <c r="AO29" i="8"/>
  <c r="AP29" i="8"/>
  <c r="N30" i="8"/>
  <c r="T30" i="8"/>
  <c r="AE30" i="8"/>
  <c r="AF30" i="8"/>
  <c r="AG30" i="8"/>
  <c r="AJ30" i="8"/>
  <c r="AK30" i="8"/>
  <c r="AL30" i="8"/>
  <c r="AM30" i="8"/>
  <c r="AO30" i="8"/>
  <c r="AP30" i="8"/>
  <c r="N31" i="8"/>
  <c r="T31" i="8"/>
  <c r="AE31" i="8"/>
  <c r="AF31" i="8"/>
  <c r="AG31" i="8"/>
  <c r="AJ31" i="8"/>
  <c r="AK31" i="8"/>
  <c r="AL31" i="8"/>
  <c r="AM31" i="8"/>
  <c r="AO31" i="8"/>
  <c r="AP31" i="8"/>
  <c r="N32" i="8"/>
  <c r="T32" i="8"/>
  <c r="AE32" i="8"/>
  <c r="AF32" i="8"/>
  <c r="AG32" i="8"/>
  <c r="AJ32" i="8"/>
  <c r="AK32" i="8"/>
  <c r="AL32" i="8"/>
  <c r="AM32" i="8"/>
  <c r="AO32" i="8"/>
  <c r="AP32" i="8"/>
  <c r="N33" i="8"/>
  <c r="T33" i="8"/>
  <c r="AE33" i="8"/>
  <c r="AF33" i="8"/>
  <c r="AG33" i="8"/>
  <c r="AJ33" i="8"/>
  <c r="AK33" i="8"/>
  <c r="AL33" i="8"/>
  <c r="AM33" i="8"/>
  <c r="AO33" i="8"/>
  <c r="AP33" i="8"/>
  <c r="N34" i="8"/>
  <c r="T34" i="8"/>
  <c r="AE34" i="8"/>
  <c r="AF34" i="8"/>
  <c r="AG34" i="8"/>
  <c r="AJ34" i="8"/>
  <c r="AK34" i="8"/>
  <c r="AL34" i="8"/>
  <c r="AM34" i="8"/>
  <c r="AO34" i="8"/>
  <c r="AP34" i="8"/>
  <c r="N35" i="8"/>
  <c r="T35" i="8"/>
  <c r="AE35" i="8"/>
  <c r="AF35" i="8"/>
  <c r="AG35" i="8"/>
  <c r="AJ35" i="8"/>
  <c r="AK35" i="8"/>
  <c r="AL35" i="8"/>
  <c r="AM35" i="8"/>
  <c r="AO35" i="8"/>
  <c r="AP35" i="8"/>
  <c r="N36" i="8"/>
  <c r="T36" i="8"/>
  <c r="AE36" i="8"/>
  <c r="AF36" i="8"/>
  <c r="AG36" i="8"/>
  <c r="AJ36" i="8"/>
  <c r="AK36" i="8"/>
  <c r="AL36" i="8"/>
  <c r="AM36" i="8"/>
  <c r="AO36" i="8"/>
  <c r="AP36" i="8"/>
  <c r="N37" i="8"/>
  <c r="T37" i="8"/>
  <c r="AE37" i="8"/>
  <c r="AF37" i="8"/>
  <c r="AG37" i="8"/>
  <c r="AJ37" i="8"/>
  <c r="AK37" i="8"/>
  <c r="AL37" i="8"/>
  <c r="AM37" i="8"/>
  <c r="AO37" i="8"/>
  <c r="AP37" i="8"/>
  <c r="N38" i="8"/>
  <c r="T38" i="8"/>
  <c r="AE38" i="8"/>
  <c r="AF38" i="8"/>
  <c r="AG38" i="8"/>
  <c r="AJ38" i="8"/>
  <c r="AK38" i="8"/>
  <c r="AL38" i="8"/>
  <c r="AM38" i="8"/>
  <c r="AO38" i="8"/>
  <c r="AP38" i="8"/>
  <c r="N39" i="8"/>
  <c r="T39" i="8"/>
  <c r="AE39" i="8"/>
  <c r="AF39" i="8"/>
  <c r="AG39" i="8"/>
  <c r="AJ39" i="8"/>
  <c r="AK39" i="8"/>
  <c r="AL39" i="8"/>
  <c r="AM39" i="8"/>
  <c r="AO39" i="8"/>
  <c r="AP39" i="8"/>
  <c r="N40" i="8"/>
  <c r="T40" i="8"/>
  <c r="AE40" i="8"/>
  <c r="AF40" i="8"/>
  <c r="AG40" i="8"/>
  <c r="AJ40" i="8"/>
  <c r="AK40" i="8"/>
  <c r="AL40" i="8"/>
  <c r="AM40" i="8"/>
  <c r="AO40" i="8"/>
  <c r="AP40" i="8"/>
  <c r="N41" i="8"/>
  <c r="T41" i="8"/>
  <c r="AE41" i="8"/>
  <c r="AF41" i="8"/>
  <c r="AG41" i="8"/>
  <c r="AJ41" i="8"/>
  <c r="AK41" i="8"/>
  <c r="AL41" i="8"/>
  <c r="AM41" i="8"/>
  <c r="AO41" i="8"/>
  <c r="AP41" i="8"/>
  <c r="N42" i="8"/>
  <c r="T42" i="8"/>
  <c r="AE42" i="8"/>
  <c r="AF42" i="8"/>
  <c r="AG42" i="8"/>
  <c r="AJ42" i="8"/>
  <c r="AK42" i="8"/>
  <c r="AL42" i="8"/>
  <c r="AM42" i="8"/>
  <c r="AO42" i="8"/>
  <c r="AP42" i="8"/>
  <c r="N43" i="8"/>
  <c r="T43" i="8"/>
  <c r="AE43" i="8"/>
  <c r="AF43" i="8"/>
  <c r="AG43" i="8"/>
  <c r="AJ43" i="8"/>
  <c r="AK43" i="8"/>
  <c r="AL43" i="8"/>
  <c r="AM43" i="8"/>
  <c r="AO43" i="8"/>
  <c r="AP43" i="8"/>
  <c r="N44" i="8"/>
  <c r="T44" i="8"/>
  <c r="AE44" i="8"/>
  <c r="AF44" i="8"/>
  <c r="AG44" i="8"/>
  <c r="AJ44" i="8"/>
  <c r="AK44" i="8"/>
  <c r="AL44" i="8"/>
  <c r="AM44" i="8"/>
  <c r="AO44" i="8"/>
  <c r="AP44" i="8"/>
  <c r="N45" i="8"/>
  <c r="T45" i="8"/>
  <c r="AE45" i="8"/>
  <c r="AF45" i="8"/>
  <c r="AG45" i="8"/>
  <c r="AJ45" i="8"/>
  <c r="AK45" i="8"/>
  <c r="AL45" i="8"/>
  <c r="AM45" i="8"/>
  <c r="AO45" i="8"/>
  <c r="AP45" i="8"/>
  <c r="N46" i="8"/>
  <c r="T46" i="8"/>
  <c r="AE46" i="8"/>
  <c r="AF46" i="8"/>
  <c r="AG46" i="8"/>
  <c r="AJ46" i="8"/>
  <c r="AK46" i="8"/>
  <c r="AL46" i="8"/>
  <c r="AM46" i="8"/>
  <c r="AO46" i="8"/>
  <c r="AP46" i="8"/>
  <c r="N47" i="8"/>
  <c r="T47" i="8"/>
  <c r="AE47" i="8"/>
  <c r="AF47" i="8"/>
  <c r="AG47" i="8"/>
  <c r="AJ47" i="8"/>
  <c r="AK47" i="8"/>
  <c r="AL47" i="8"/>
  <c r="AM47" i="8"/>
  <c r="AO47" i="8"/>
  <c r="AP47" i="8"/>
  <c r="N48" i="8"/>
  <c r="T48" i="8"/>
  <c r="AE48" i="8"/>
  <c r="AF48" i="8"/>
  <c r="AG48" i="8"/>
  <c r="AJ48" i="8"/>
  <c r="AK48" i="8"/>
  <c r="AL48" i="8"/>
  <c r="AM48" i="8"/>
  <c r="AO48" i="8"/>
  <c r="AP48" i="8"/>
  <c r="N49" i="8"/>
  <c r="T49" i="8"/>
  <c r="AE49" i="8"/>
  <c r="AF49" i="8"/>
  <c r="AG49" i="8"/>
  <c r="AJ49" i="8"/>
  <c r="AK49" i="8"/>
  <c r="AL49" i="8"/>
  <c r="AM49" i="8"/>
  <c r="AO49" i="8"/>
  <c r="AP49" i="8"/>
  <c r="N50" i="8"/>
  <c r="T50" i="8"/>
  <c r="AE50" i="8"/>
  <c r="AF50" i="8"/>
  <c r="AG50" i="8"/>
  <c r="AJ50" i="8"/>
  <c r="AK50" i="8"/>
  <c r="AL50" i="8"/>
  <c r="AM50" i="8"/>
  <c r="AO50" i="8"/>
  <c r="AP50" i="8"/>
  <c r="N51" i="8"/>
  <c r="T51" i="8"/>
  <c r="AE51" i="8"/>
  <c r="AF51" i="8"/>
  <c r="AG51" i="8"/>
  <c r="AJ51" i="8"/>
  <c r="AK51" i="8"/>
  <c r="AL51" i="8"/>
  <c r="AM51" i="8"/>
  <c r="AO51" i="8"/>
  <c r="AP51" i="8"/>
  <c r="N53" i="8"/>
  <c r="T53" i="8"/>
  <c r="AE53" i="8"/>
  <c r="AF53" i="8"/>
  <c r="AG53" i="8"/>
  <c r="AJ53" i="8"/>
  <c r="AK53" i="8"/>
  <c r="AL53" i="8"/>
  <c r="AM53" i="8"/>
  <c r="AO53" i="8"/>
  <c r="AP53" i="8"/>
  <c r="AO55" i="8"/>
  <c r="AP55" i="8"/>
  <c r="AE58" i="8"/>
  <c r="AF58" i="8"/>
  <c r="N5" i="9"/>
  <c r="T5" i="9"/>
  <c r="AE5" i="9"/>
  <c r="AF5" i="9"/>
  <c r="AG5" i="9"/>
  <c r="AJ5" i="9"/>
  <c r="AK5" i="9"/>
  <c r="AL5" i="9"/>
  <c r="AM5" i="9"/>
  <c r="AO5" i="9"/>
  <c r="AP5" i="9"/>
  <c r="N6" i="9"/>
  <c r="T6" i="9"/>
  <c r="AE6" i="9"/>
  <c r="AF6" i="9"/>
  <c r="AG6" i="9"/>
  <c r="AJ6" i="9"/>
  <c r="AK6" i="9"/>
  <c r="AL6" i="9"/>
  <c r="AM6" i="9"/>
  <c r="AO6" i="9"/>
  <c r="AP6" i="9"/>
  <c r="N7" i="9"/>
  <c r="T7" i="9"/>
  <c r="AE7" i="9"/>
  <c r="AF7" i="9"/>
  <c r="AG7" i="9"/>
  <c r="AJ7" i="9"/>
  <c r="AK7" i="9"/>
  <c r="AL7" i="9"/>
  <c r="AM7" i="9"/>
  <c r="AO7" i="9"/>
  <c r="AP7" i="9"/>
  <c r="N8" i="9"/>
  <c r="T8" i="9"/>
  <c r="AE8" i="9"/>
  <c r="AF8" i="9"/>
  <c r="AG8" i="9"/>
  <c r="AJ8" i="9"/>
  <c r="AK8" i="9"/>
  <c r="AL8" i="9"/>
  <c r="AM8" i="9"/>
  <c r="AO8" i="9"/>
  <c r="AP8" i="9"/>
  <c r="N9" i="9"/>
  <c r="T9" i="9"/>
  <c r="AE9" i="9"/>
  <c r="AF9" i="9"/>
  <c r="AG9" i="9"/>
  <c r="AJ9" i="9"/>
  <c r="AK9" i="9"/>
  <c r="AL9" i="9"/>
  <c r="AM9" i="9"/>
  <c r="AO9" i="9"/>
  <c r="AP9" i="9"/>
  <c r="N10" i="9"/>
  <c r="T10" i="9"/>
  <c r="AE10" i="9"/>
  <c r="AF10" i="9"/>
  <c r="AG10" i="9"/>
  <c r="AJ10" i="9"/>
  <c r="AK10" i="9"/>
  <c r="AL10" i="9"/>
  <c r="AM10" i="9"/>
  <c r="AO10" i="9"/>
  <c r="AP10" i="9"/>
  <c r="N11" i="9"/>
  <c r="T11" i="9"/>
  <c r="AE11" i="9"/>
  <c r="AF11" i="9"/>
  <c r="AG11" i="9"/>
  <c r="AJ11" i="9"/>
  <c r="AK11" i="9"/>
  <c r="AL11" i="9"/>
  <c r="AM11" i="9"/>
  <c r="AO11" i="9"/>
  <c r="AP11" i="9"/>
  <c r="N12" i="9"/>
  <c r="T12" i="9"/>
  <c r="AE12" i="9"/>
  <c r="AF12" i="9"/>
  <c r="AG12" i="9"/>
  <c r="AJ12" i="9"/>
  <c r="AK12" i="9"/>
  <c r="AL12" i="9"/>
  <c r="AM12" i="9"/>
  <c r="AO12" i="9"/>
  <c r="AP12" i="9"/>
  <c r="N13" i="9"/>
  <c r="T13" i="9"/>
  <c r="AE13" i="9"/>
  <c r="AF13" i="9"/>
  <c r="AG13" i="9"/>
  <c r="AJ13" i="9"/>
  <c r="AK13" i="9"/>
  <c r="AL13" i="9"/>
  <c r="AM13" i="9"/>
  <c r="AO13" i="9"/>
  <c r="AP13" i="9"/>
  <c r="N14" i="9"/>
  <c r="T14" i="9"/>
  <c r="AE14" i="9"/>
  <c r="AF14" i="9"/>
  <c r="AG14" i="9"/>
  <c r="AJ14" i="9"/>
  <c r="AK14" i="9"/>
  <c r="AL14" i="9"/>
  <c r="AM14" i="9"/>
  <c r="AO14" i="9"/>
  <c r="AP14" i="9"/>
  <c r="N15" i="9"/>
  <c r="T15" i="9"/>
  <c r="AE15" i="9"/>
  <c r="AF15" i="9"/>
  <c r="AG15" i="9"/>
  <c r="AJ15" i="9"/>
  <c r="AK15" i="9"/>
  <c r="AL15" i="9"/>
  <c r="AM15" i="9"/>
  <c r="AO15" i="9"/>
  <c r="AP15" i="9"/>
  <c r="N16" i="9"/>
  <c r="T16" i="9"/>
  <c r="AE16" i="9"/>
  <c r="AF16" i="9"/>
  <c r="AG16" i="9"/>
  <c r="AJ16" i="9"/>
  <c r="AK16" i="9"/>
  <c r="AL16" i="9"/>
  <c r="AM16" i="9"/>
  <c r="AO16" i="9"/>
  <c r="AP16" i="9"/>
  <c r="N17" i="9"/>
  <c r="T17" i="9"/>
  <c r="AE17" i="9"/>
  <c r="AF17" i="9"/>
  <c r="AG17" i="9"/>
  <c r="AJ17" i="9"/>
  <c r="AK17" i="9"/>
  <c r="AL17" i="9"/>
  <c r="AM17" i="9"/>
  <c r="AO17" i="9"/>
  <c r="AP17" i="9"/>
  <c r="N18" i="9"/>
  <c r="T18" i="9"/>
  <c r="AE18" i="9"/>
  <c r="AF18" i="9"/>
  <c r="AG18" i="9"/>
  <c r="AJ18" i="9"/>
  <c r="AK18" i="9"/>
  <c r="AL18" i="9"/>
  <c r="AM18" i="9"/>
  <c r="AO18" i="9"/>
  <c r="AP18" i="9"/>
  <c r="N19" i="9"/>
  <c r="T19" i="9"/>
  <c r="AE19" i="9"/>
  <c r="AF19" i="9"/>
  <c r="AG19" i="9"/>
  <c r="AJ19" i="9"/>
  <c r="AK19" i="9"/>
  <c r="AL19" i="9"/>
  <c r="AM19" i="9"/>
  <c r="AO19" i="9"/>
  <c r="AP19" i="9"/>
  <c r="N20" i="9"/>
  <c r="T20" i="9"/>
  <c r="AE20" i="9"/>
  <c r="AF20" i="9"/>
  <c r="AG20" i="9"/>
  <c r="AJ20" i="9"/>
  <c r="AK20" i="9"/>
  <c r="AL20" i="9"/>
  <c r="AM20" i="9"/>
  <c r="AO20" i="9"/>
  <c r="AP20" i="9"/>
  <c r="N21" i="9"/>
  <c r="T21" i="9"/>
  <c r="AE21" i="9"/>
  <c r="AF21" i="9"/>
  <c r="AG21" i="9"/>
  <c r="AJ21" i="9"/>
  <c r="AK21" i="9"/>
  <c r="AL21" i="9"/>
  <c r="AM21" i="9"/>
  <c r="AO21" i="9"/>
  <c r="AP21" i="9"/>
  <c r="N22" i="9"/>
  <c r="T22" i="9"/>
  <c r="AE22" i="9"/>
  <c r="AF22" i="9"/>
  <c r="AG22" i="9"/>
  <c r="AJ22" i="9"/>
  <c r="AK22" i="9"/>
  <c r="AL22" i="9"/>
  <c r="AM22" i="9"/>
  <c r="AO22" i="9"/>
  <c r="AP22" i="9"/>
  <c r="N23" i="9"/>
  <c r="T23" i="9"/>
  <c r="AE23" i="9"/>
  <c r="AF23" i="9"/>
  <c r="AG23" i="9"/>
  <c r="AJ23" i="9"/>
  <c r="AK23" i="9"/>
  <c r="AL23" i="9"/>
  <c r="AM23" i="9"/>
  <c r="AO23" i="9"/>
  <c r="AP23" i="9"/>
  <c r="N24" i="9"/>
  <c r="T24" i="9"/>
  <c r="AE24" i="9"/>
  <c r="AF24" i="9"/>
  <c r="AG24" i="9"/>
  <c r="AJ24" i="9"/>
  <c r="AK24" i="9"/>
  <c r="AL24" i="9"/>
  <c r="AM24" i="9"/>
  <c r="AO24" i="9"/>
  <c r="AP24" i="9"/>
  <c r="N25" i="9"/>
  <c r="T25" i="9"/>
  <c r="AE25" i="9"/>
  <c r="AF25" i="9"/>
  <c r="AG25" i="9"/>
  <c r="AJ25" i="9"/>
  <c r="AK25" i="9"/>
  <c r="AL25" i="9"/>
  <c r="AM25" i="9"/>
  <c r="AO25" i="9"/>
  <c r="AP25" i="9"/>
  <c r="N26" i="9"/>
  <c r="T26" i="9"/>
  <c r="AE26" i="9"/>
  <c r="AF26" i="9"/>
  <c r="AG26" i="9"/>
  <c r="AJ26" i="9"/>
  <c r="AK26" i="9"/>
  <c r="AL26" i="9"/>
  <c r="AM26" i="9"/>
  <c r="AO26" i="9"/>
  <c r="AP26" i="9"/>
  <c r="N27" i="9"/>
  <c r="T27" i="9"/>
  <c r="AE27" i="9"/>
  <c r="AF27" i="9"/>
  <c r="AG27" i="9"/>
  <c r="AJ27" i="9"/>
  <c r="AK27" i="9"/>
  <c r="AL27" i="9"/>
  <c r="AM27" i="9"/>
  <c r="AO27" i="9"/>
  <c r="AP27" i="9"/>
  <c r="N28" i="9"/>
  <c r="T28" i="9"/>
  <c r="AE28" i="9"/>
  <c r="AF28" i="9"/>
  <c r="AG28" i="9"/>
  <c r="AJ28" i="9"/>
  <c r="AK28" i="9"/>
  <c r="AL28" i="9"/>
  <c r="AM28" i="9"/>
  <c r="AO28" i="9"/>
  <c r="AP28" i="9"/>
  <c r="N29" i="9"/>
  <c r="T29" i="9"/>
  <c r="AE29" i="9"/>
  <c r="AF29" i="9"/>
  <c r="AG29" i="9"/>
  <c r="AJ29" i="9"/>
  <c r="AK29" i="9"/>
  <c r="AL29" i="9"/>
  <c r="AM29" i="9"/>
  <c r="AO29" i="9"/>
  <c r="AP29" i="9"/>
  <c r="N30" i="9"/>
  <c r="T30" i="9"/>
  <c r="AE30" i="9"/>
  <c r="AF30" i="9"/>
  <c r="AG30" i="9"/>
  <c r="AJ30" i="9"/>
  <c r="AK30" i="9"/>
  <c r="AL30" i="9"/>
  <c r="AM30" i="9"/>
  <c r="AO30" i="9"/>
  <c r="AP30" i="9"/>
  <c r="N31" i="9"/>
  <c r="T31" i="9"/>
  <c r="AE31" i="9"/>
  <c r="AF31" i="9"/>
  <c r="AG31" i="9"/>
  <c r="AJ31" i="9"/>
  <c r="AK31" i="9"/>
  <c r="AL31" i="9"/>
  <c r="AM31" i="9"/>
  <c r="AO31" i="9"/>
  <c r="AP31" i="9"/>
  <c r="N32" i="9"/>
  <c r="T32" i="9"/>
  <c r="AE32" i="9"/>
  <c r="AF32" i="9"/>
  <c r="AG32" i="9"/>
  <c r="AJ32" i="9"/>
  <c r="AK32" i="9"/>
  <c r="AL32" i="9"/>
  <c r="AM32" i="9"/>
  <c r="AO32" i="9"/>
  <c r="AP32" i="9"/>
  <c r="N33" i="9"/>
  <c r="T33" i="9"/>
  <c r="AE33" i="9"/>
  <c r="AF33" i="9"/>
  <c r="AG33" i="9"/>
  <c r="AJ33" i="9"/>
  <c r="AK33" i="9"/>
  <c r="AL33" i="9"/>
  <c r="AM33" i="9"/>
  <c r="AO33" i="9"/>
  <c r="AP33" i="9"/>
  <c r="N34" i="9"/>
  <c r="T34" i="9"/>
  <c r="AE34" i="9"/>
  <c r="AF34" i="9"/>
  <c r="AG34" i="9"/>
  <c r="AJ34" i="9"/>
  <c r="AK34" i="9"/>
  <c r="AL34" i="9"/>
  <c r="AM34" i="9"/>
  <c r="AO34" i="9"/>
  <c r="AP34" i="9"/>
  <c r="N35" i="9"/>
  <c r="T35" i="9"/>
  <c r="AE35" i="9"/>
  <c r="AF35" i="9"/>
  <c r="AG35" i="9"/>
  <c r="AJ35" i="9"/>
  <c r="AK35" i="9"/>
  <c r="AL35" i="9"/>
  <c r="AM35" i="9"/>
  <c r="AO35" i="9"/>
  <c r="AP35" i="9"/>
  <c r="N36" i="9"/>
  <c r="T36" i="9"/>
  <c r="AE36" i="9"/>
  <c r="AF36" i="9"/>
  <c r="AG36" i="9"/>
  <c r="AJ36" i="9"/>
  <c r="AK36" i="9"/>
  <c r="AL36" i="9"/>
  <c r="AM36" i="9"/>
  <c r="AO36" i="9"/>
  <c r="AP36" i="9"/>
  <c r="N37" i="9"/>
  <c r="T37" i="9"/>
  <c r="AE37" i="9"/>
  <c r="AF37" i="9"/>
  <c r="AG37" i="9"/>
  <c r="AJ37" i="9"/>
  <c r="AK37" i="9"/>
  <c r="AL37" i="9"/>
  <c r="AM37" i="9"/>
  <c r="AO37" i="9"/>
  <c r="AP37" i="9"/>
  <c r="N38" i="9"/>
  <c r="T38" i="9"/>
  <c r="AE38" i="9"/>
  <c r="AF38" i="9"/>
  <c r="AG38" i="9"/>
  <c r="AJ38" i="9"/>
  <c r="AK38" i="9"/>
  <c r="AL38" i="9"/>
  <c r="AM38" i="9"/>
  <c r="AO38" i="9"/>
  <c r="AP38" i="9"/>
  <c r="N39" i="9"/>
  <c r="T39" i="9"/>
  <c r="AE39" i="9"/>
  <c r="AF39" i="9"/>
  <c r="AG39" i="9"/>
  <c r="AJ39" i="9"/>
  <c r="AK39" i="9"/>
  <c r="AL39" i="9"/>
  <c r="AM39" i="9"/>
  <c r="AO39" i="9"/>
  <c r="AP39" i="9"/>
  <c r="N40" i="9"/>
  <c r="T40" i="9"/>
  <c r="AE40" i="9"/>
  <c r="AF40" i="9"/>
  <c r="AG40" i="9"/>
  <c r="AJ40" i="9"/>
  <c r="AK40" i="9"/>
  <c r="AL40" i="9"/>
  <c r="AM40" i="9"/>
  <c r="AO40" i="9"/>
  <c r="AP40" i="9"/>
  <c r="N41" i="9"/>
  <c r="T41" i="9"/>
  <c r="AE41" i="9"/>
  <c r="AF41" i="9"/>
  <c r="AG41" i="9"/>
  <c r="AJ41" i="9"/>
  <c r="AK41" i="9"/>
  <c r="AL41" i="9"/>
  <c r="AM41" i="9"/>
  <c r="AO41" i="9"/>
  <c r="AP41" i="9"/>
  <c r="N42" i="9"/>
  <c r="T42" i="9"/>
  <c r="AE42" i="9"/>
  <c r="AF42" i="9"/>
  <c r="AG42" i="9"/>
  <c r="AJ42" i="9"/>
  <c r="AK42" i="9"/>
  <c r="AL42" i="9"/>
  <c r="AM42" i="9"/>
  <c r="AO42" i="9"/>
  <c r="AP42" i="9"/>
  <c r="N43" i="9"/>
  <c r="T43" i="9"/>
  <c r="AE43" i="9"/>
  <c r="AF43" i="9"/>
  <c r="AG43" i="9"/>
  <c r="AJ43" i="9"/>
  <c r="AK43" i="9"/>
  <c r="AL43" i="9"/>
  <c r="AM43" i="9"/>
  <c r="AO43" i="9"/>
  <c r="AP43" i="9"/>
  <c r="N44" i="9"/>
  <c r="T44" i="9"/>
  <c r="AE44" i="9"/>
  <c r="AF44" i="9"/>
  <c r="AG44" i="9"/>
  <c r="AJ44" i="9"/>
  <c r="AK44" i="9"/>
  <c r="AL44" i="9"/>
  <c r="AM44" i="9"/>
  <c r="AO44" i="9"/>
  <c r="AP44" i="9"/>
  <c r="N45" i="9"/>
  <c r="T45" i="9"/>
  <c r="AE45" i="9"/>
  <c r="AF45" i="9"/>
  <c r="AG45" i="9"/>
  <c r="AJ45" i="9"/>
  <c r="AK45" i="9"/>
  <c r="AL45" i="9"/>
  <c r="AM45" i="9"/>
  <c r="AO45" i="9"/>
  <c r="AP45" i="9"/>
  <c r="N46" i="9"/>
  <c r="T46" i="9"/>
  <c r="AE46" i="9"/>
  <c r="AF46" i="9"/>
  <c r="AG46" i="9"/>
  <c r="AJ46" i="9"/>
  <c r="AK46" i="9"/>
  <c r="AL46" i="9"/>
  <c r="AM46" i="9"/>
  <c r="AO46" i="9"/>
  <c r="AP46" i="9"/>
  <c r="N47" i="9"/>
  <c r="T47" i="9"/>
  <c r="AE47" i="9"/>
  <c r="AF47" i="9"/>
  <c r="AG47" i="9"/>
  <c r="AJ47" i="9"/>
  <c r="AK47" i="9"/>
  <c r="AL47" i="9"/>
  <c r="AM47" i="9"/>
  <c r="AO47" i="9"/>
  <c r="AP47" i="9"/>
  <c r="N48" i="9"/>
  <c r="T48" i="9"/>
  <c r="AE48" i="9"/>
  <c r="AF48" i="9"/>
  <c r="AG48" i="9"/>
  <c r="AJ48" i="9"/>
  <c r="AK48" i="9"/>
  <c r="AL48" i="9"/>
  <c r="AM48" i="9"/>
  <c r="AO48" i="9"/>
  <c r="AP48" i="9"/>
  <c r="N49" i="9"/>
  <c r="T49" i="9"/>
  <c r="AE49" i="9"/>
  <c r="AF49" i="9"/>
  <c r="AG49" i="9"/>
  <c r="AJ49" i="9"/>
  <c r="AK49" i="9"/>
  <c r="AL49" i="9"/>
  <c r="AM49" i="9"/>
  <c r="AO49" i="9"/>
  <c r="AP49" i="9"/>
  <c r="N50" i="9"/>
  <c r="T50" i="9"/>
  <c r="AE50" i="9"/>
  <c r="AF50" i="9"/>
  <c r="AG50" i="9"/>
  <c r="AJ50" i="9"/>
  <c r="AK50" i="9"/>
  <c r="AL50" i="9"/>
  <c r="AM50" i="9"/>
  <c r="AO50" i="9"/>
  <c r="AP50" i="9"/>
  <c r="N51" i="9"/>
  <c r="T51" i="9"/>
  <c r="AE51" i="9"/>
  <c r="AF51" i="9"/>
  <c r="AG51" i="9"/>
  <c r="AJ51" i="9"/>
  <c r="AK51" i="9"/>
  <c r="AL51" i="9"/>
  <c r="AM51" i="9"/>
  <c r="AO51" i="9"/>
  <c r="AP51" i="9"/>
  <c r="N53" i="9"/>
  <c r="T53" i="9"/>
  <c r="AE53" i="9"/>
  <c r="AF53" i="9"/>
  <c r="AG53" i="9"/>
  <c r="AJ53" i="9"/>
  <c r="AK53" i="9"/>
  <c r="AL53" i="9"/>
  <c r="AM53" i="9"/>
  <c r="AO53" i="9"/>
  <c r="AP53" i="9"/>
  <c r="AO55" i="9"/>
  <c r="AP55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Administrador</author>
  </authors>
  <commentList>
    <comment ref="C33" authorId="0" shapeId="0" xr:uid="{C0BA6E20-A5E2-4BB0-B705-3AFCE2172484}">
      <text>
        <r>
          <rPr>
            <sz val="9"/>
            <color indexed="81"/>
            <rFont val="Segoe UI"/>
            <family val="2"/>
          </rPr>
          <t>Econômico: CDE Covid TE; Financeiro: CDE Energia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A5D5CB6-193F-422F-AA8F-AE240EA7DE1B}" name="Conexão" type="7" refreshedVersion="7" background="1" saveData="1"/>
  <connection id="2" xr16:uid="{0FFD5DDF-1D03-4C86-8758-4C862D4EF206}" name="Conexão1" type="7" refreshedVersion="7" background="1" saveData="1"/>
  <connection id="3" xr16:uid="{52931A8B-E8EB-4017-873B-09C865CD9743}" name="Conexão2" type="7" refreshedVersion="7" background="1" saveData="1"/>
</connections>
</file>

<file path=xl/sharedStrings.xml><?xml version="1.0" encoding="utf-8"?>
<sst xmlns="http://schemas.openxmlformats.org/spreadsheetml/2006/main" count="21793" uniqueCount="1125">
  <si>
    <t>TipoMercado</t>
  </si>
  <si>
    <t>Subgrupo</t>
  </si>
  <si>
    <t>Modalidade</t>
  </si>
  <si>
    <t>Classe</t>
  </si>
  <si>
    <t>Subclasse</t>
  </si>
  <si>
    <t>Detalhe</t>
  </si>
  <si>
    <t>Agente</t>
  </si>
  <si>
    <t>Posto</t>
  </si>
  <si>
    <t>AnoMes</t>
  </si>
  <si>
    <t>D</t>
  </si>
  <si>
    <t>Daj</t>
  </si>
  <si>
    <t>TUSD_E</t>
  </si>
  <si>
    <t>TUSD_Eaj</t>
  </si>
  <si>
    <t>TE_E</t>
  </si>
  <si>
    <t>TE_Eaj</t>
  </si>
  <si>
    <t>UC</t>
  </si>
  <si>
    <t>OPÇÃO</t>
  </si>
  <si>
    <t>CóD. AUX.</t>
  </si>
  <si>
    <t>CóD. AUX. TUSD R$/kW</t>
  </si>
  <si>
    <t>CóD. AUX. TUSD R$/MWh</t>
  </si>
  <si>
    <t>CóD. AUX. TE R$/MWh</t>
  </si>
  <si>
    <t>Regular</t>
  </si>
  <si>
    <t>B1</t>
  </si>
  <si>
    <t>Convencional</t>
  </si>
  <si>
    <t>Residencial</t>
  </si>
  <si>
    <t>Não se aplica</t>
  </si>
  <si>
    <t>CATIVO</t>
  </si>
  <si>
    <t>Refaturamento - Regular</t>
  </si>
  <si>
    <t>Sistema de Compensação</t>
  </si>
  <si>
    <t>Residencial baixa renda – faixa 01</t>
  </si>
  <si>
    <t>Residencial baixa renda – faixa 02</t>
  </si>
  <si>
    <t>Residencial baixa renda – faixa 03</t>
  </si>
  <si>
    <t>Residencial baixa renda – faixa 04</t>
  </si>
  <si>
    <t>A4</t>
  </si>
  <si>
    <t>Verde</t>
  </si>
  <si>
    <t>Ponta</t>
  </si>
  <si>
    <t>Fora ponta</t>
  </si>
  <si>
    <t>Branca</t>
  </si>
  <si>
    <t>Intermediário</t>
  </si>
  <si>
    <t>B3</t>
  </si>
  <si>
    <t>Industrial</t>
  </si>
  <si>
    <t>Azul</t>
  </si>
  <si>
    <t>Comercial</t>
  </si>
  <si>
    <t>B2</t>
  </si>
  <si>
    <t>Rural</t>
  </si>
  <si>
    <t>Poder público</t>
  </si>
  <si>
    <t>B4</t>
  </si>
  <si>
    <t>Iluminação pública</t>
  </si>
  <si>
    <t>Iluminação pública – B4a</t>
  </si>
  <si>
    <t>Serviço público</t>
  </si>
  <si>
    <t>Água, esgoto e saneamento</t>
  </si>
  <si>
    <t>Consumo próprio</t>
  </si>
  <si>
    <t>Aquicultura</t>
  </si>
  <si>
    <t>IRRIG./AQUIC.</t>
  </si>
  <si>
    <t>IRRIG./AQUIC. PR</t>
  </si>
  <si>
    <t>TIPO ALERTA</t>
  </si>
  <si>
    <t>DETALHE ALERTA</t>
  </si>
  <si>
    <t>ABA</t>
  </si>
  <si>
    <t>LINHA</t>
  </si>
  <si>
    <t>COLUNA</t>
  </si>
  <si>
    <t>VARIÁVEL AUXILIAR</t>
  </si>
  <si>
    <t>SUBGRUPO</t>
  </si>
  <si>
    <t>MODALIDADE</t>
  </si>
  <si>
    <t>CLASSE</t>
  </si>
  <si>
    <t>SUBCLASSE</t>
  </si>
  <si>
    <t>DETALHE</t>
  </si>
  <si>
    <t>NOME UC</t>
  </si>
  <si>
    <t>POSTO</t>
  </si>
  <si>
    <t>UNIDADE</t>
  </si>
  <si>
    <t>SOMA MERCADO</t>
  </si>
  <si>
    <t>Energia horária</t>
  </si>
  <si>
    <t>MWh</t>
  </si>
  <si>
    <t>EP</t>
  </si>
  <si>
    <t>EFP</t>
  </si>
  <si>
    <t>Energia convencional</t>
  </si>
  <si>
    <t>E</t>
  </si>
  <si>
    <t>kW</t>
  </si>
  <si>
    <t>DP</t>
  </si>
  <si>
    <t>DFP</t>
  </si>
  <si>
    <t>APE</t>
  </si>
  <si>
    <t>Geração</t>
  </si>
  <si>
    <t>B</t>
  </si>
  <si>
    <t>TIPO 01</t>
  </si>
  <si>
    <t>TIPO 02</t>
  </si>
  <si>
    <t>EINT</t>
  </si>
  <si>
    <t>Energia convencional pré-pagamento</t>
  </si>
  <si>
    <t>Convencional pré-pagamento</t>
  </si>
  <si>
    <t>Cooperativa de eletrificação rural</t>
  </si>
  <si>
    <t>Serviço público de irrigação rural</t>
  </si>
  <si>
    <t>Iluminação pública – B4b</t>
  </si>
  <si>
    <t>CHAVE TUSD</t>
  </si>
  <si>
    <t>44287A4AzulNão se aplicaNão se aplicaNão se aplicaNão se aplicaFora ponta</t>
  </si>
  <si>
    <t>44317A4AzulNão se aplicaNão se aplicaNão se aplicaNão se aplicaFora ponta</t>
  </si>
  <si>
    <t>44348A4AzulNão se aplicaNão se aplicaNão se aplicaNão se aplicaFora ponta</t>
  </si>
  <si>
    <t>44378A4AzulNão se aplicaNão se aplicaNão se aplicaNão se aplicaFora ponta</t>
  </si>
  <si>
    <t>44409A4AzulNão se aplicaNão se aplicaNão se aplicaNão se aplicaFora ponta</t>
  </si>
  <si>
    <t>44440A4AzulNão se aplicaNão se aplicaNão se aplicaNão se aplicaFora ponta</t>
  </si>
  <si>
    <t>44470A4AzulNão se aplicaNão se aplicaNão se aplicaNão se aplicaFora ponta</t>
  </si>
  <si>
    <t>44501A4AzulNão se aplicaNão se aplicaNão se aplicaNão se aplicaFora ponta</t>
  </si>
  <si>
    <t>44531A4AzulNão se aplicaNão se aplicaNão se aplicaNão se aplicaFora ponta</t>
  </si>
  <si>
    <t>44562A4AzulNão se aplicaNão se aplicaNão se aplicaNão se aplicaFora ponta</t>
  </si>
  <si>
    <t>44593A4AzulNão se aplicaNão se aplicaNão se aplicaNão se aplicaFora ponta</t>
  </si>
  <si>
    <t>44621A4AzulNão se aplicaNão se aplicaNão se aplicaNão se aplicaFora ponta</t>
  </si>
  <si>
    <t>44287A4AzulNão se aplicaNão se aplicaNão se aplicaNão se aplicaPonta</t>
  </si>
  <si>
    <t>44317A4AzulNão se aplicaNão se aplicaNão se aplicaNão se aplicaPonta</t>
  </si>
  <si>
    <t>44348A4AzulNão se aplicaNão se aplicaNão se aplicaNão se aplicaPonta</t>
  </si>
  <si>
    <t>44378A4AzulNão se aplicaNão se aplicaNão se aplicaNão se aplicaPonta</t>
  </si>
  <si>
    <t>44409A4AzulNão se aplicaNão se aplicaNão se aplicaNão se aplicaPonta</t>
  </si>
  <si>
    <t>44440A4AzulNão se aplicaNão se aplicaNão se aplicaNão se aplicaPonta</t>
  </si>
  <si>
    <t>44470A4AzulNão se aplicaNão se aplicaNão se aplicaNão se aplicaPonta</t>
  </si>
  <si>
    <t>44501A4AzulNão se aplicaNão se aplicaNão se aplicaNão se aplicaPonta</t>
  </si>
  <si>
    <t>44531A4AzulNão se aplicaNão se aplicaNão se aplicaNão se aplicaPonta</t>
  </si>
  <si>
    <t>44562A4AzulNão se aplicaNão se aplicaNão se aplicaNão se aplicaPonta</t>
  </si>
  <si>
    <t>44593A4AzulNão se aplicaNão se aplicaNão se aplicaNão se aplicaPonta</t>
  </si>
  <si>
    <t>44621A4AzulNão se aplicaNão se aplicaNão se aplicaNão se aplicaPonta</t>
  </si>
  <si>
    <t>44287A4VerdeNão se aplicaNão se aplicaNão se aplicaNão se aplicaFora ponta</t>
  </si>
  <si>
    <t>44317A4VerdeNão se aplicaNão se aplicaNão se aplicaNão se aplicaFora ponta</t>
  </si>
  <si>
    <t>44348A4VerdeNão se aplicaNão se aplicaNão se aplicaNão se aplicaFora ponta</t>
  </si>
  <si>
    <t>44378A4VerdeNão se aplicaNão se aplicaNão se aplicaNão se aplicaFora ponta</t>
  </si>
  <si>
    <t>44409A4VerdeNão se aplicaNão se aplicaNão se aplicaNão se aplicaFora ponta</t>
  </si>
  <si>
    <t>44440A4VerdeNão se aplicaNão se aplicaNão se aplicaNão se aplicaFora ponta</t>
  </si>
  <si>
    <t>44470A4VerdeNão se aplicaNão se aplicaNão se aplicaNão se aplicaFora ponta</t>
  </si>
  <si>
    <t>44501A4VerdeNão se aplicaNão se aplicaNão se aplicaNão se aplicaFora ponta</t>
  </si>
  <si>
    <t>44531A4VerdeNão se aplicaNão se aplicaNão se aplicaNão se aplicaFora ponta</t>
  </si>
  <si>
    <t>44562A4VerdeNão se aplicaNão se aplicaNão se aplicaNão se aplicaFora ponta</t>
  </si>
  <si>
    <t>44593A4VerdeNão se aplicaNão se aplicaNão se aplicaNão se aplicaFora ponta</t>
  </si>
  <si>
    <t>44621A4VerdeNão se aplicaNão se aplicaNão se aplicaNão se aplicaFora ponta</t>
  </si>
  <si>
    <t>44287A4VerdeNão se aplicaNão se aplicaNão se aplicaNão se aplicaNão se aplica</t>
  </si>
  <si>
    <t>44317A4VerdeNão se aplicaNão se aplicaNão se aplicaNão se aplicaNão se aplica</t>
  </si>
  <si>
    <t>44348A4VerdeNão se aplicaNão se aplicaNão se aplicaNão se aplicaNão se aplica</t>
  </si>
  <si>
    <t>44378A4VerdeNão se aplicaNão se aplicaNão se aplicaNão se aplicaNão se aplica</t>
  </si>
  <si>
    <t>44409A4VerdeNão se aplicaNão se aplicaNão se aplicaNão se aplicaNão se aplica</t>
  </si>
  <si>
    <t>44440A4VerdeNão se aplicaNão se aplicaNão se aplicaNão se aplicaNão se aplica</t>
  </si>
  <si>
    <t>44470A4VerdeNão se aplicaNão se aplicaNão se aplicaNão se aplicaNão se aplica</t>
  </si>
  <si>
    <t>44501A4VerdeNão se aplicaNão se aplicaNão se aplicaNão se aplicaNão se aplica</t>
  </si>
  <si>
    <t>44531A4VerdeNão se aplicaNão se aplicaNão se aplicaNão se aplicaNão se aplica</t>
  </si>
  <si>
    <t>44562A4VerdeNão se aplicaNão se aplicaNão se aplicaNão se aplicaNão se aplica</t>
  </si>
  <si>
    <t>44593A4VerdeNão se aplicaNão se aplicaNão se aplicaNão se aplicaNão se aplica</t>
  </si>
  <si>
    <t>44621A4VerdeNão se aplicaNão se aplicaNão se aplicaNão se aplicaNão se aplica</t>
  </si>
  <si>
    <t>44287A4VerdeNão se aplicaNão se aplicaNão se aplicaNão se aplicaPonta</t>
  </si>
  <si>
    <t>44317A4VerdeNão se aplicaNão se aplicaNão se aplicaNão se aplicaPonta</t>
  </si>
  <si>
    <t>44348A4VerdeNão se aplicaNão se aplicaNão se aplicaNão se aplicaPonta</t>
  </si>
  <si>
    <t>44378A4VerdeNão se aplicaNão se aplicaNão se aplicaNão se aplicaPonta</t>
  </si>
  <si>
    <t>44409A4VerdeNão se aplicaNão se aplicaNão se aplicaNão se aplicaPonta</t>
  </si>
  <si>
    <t>44440A4VerdeNão se aplicaNão se aplicaNão se aplicaNão se aplicaPonta</t>
  </si>
  <si>
    <t>44470A4VerdeNão se aplicaNão se aplicaNão se aplicaNão se aplicaPonta</t>
  </si>
  <si>
    <t>44501A4VerdeNão se aplicaNão se aplicaNão se aplicaNão se aplicaPonta</t>
  </si>
  <si>
    <t>44531A4VerdeNão se aplicaNão se aplicaNão se aplicaNão se aplicaPonta</t>
  </si>
  <si>
    <t>44562A4VerdeNão se aplicaNão se aplicaNão se aplicaNão se aplicaPonta</t>
  </si>
  <si>
    <t>44593A4VerdeNão se aplicaNão se aplicaNão se aplicaNão se aplicaPonta</t>
  </si>
  <si>
    <t>44621A4VerdeNão se aplicaNão se aplicaNão se aplicaNão se aplicaPonta</t>
  </si>
  <si>
    <t>44287B1BrancaResidencialResidencialNão se aplicaNão se aplicaFora ponta</t>
  </si>
  <si>
    <t>44317B1BrancaResidencialResidencialNão se aplicaNão se aplicaFora ponta</t>
  </si>
  <si>
    <t>44348B1BrancaResidencialResidencialNão se aplicaNão se aplicaFora ponta</t>
  </si>
  <si>
    <t>44378B1BrancaResidencialResidencialNão se aplicaNão se aplicaFora ponta</t>
  </si>
  <si>
    <t>44409B1BrancaResidencialResidencialNão se aplicaNão se aplicaFora ponta</t>
  </si>
  <si>
    <t>44440B1BrancaResidencialResidencialNão se aplicaNão se aplicaFora ponta</t>
  </si>
  <si>
    <t>44470B1BrancaResidencialResidencialNão se aplicaNão se aplicaFora ponta</t>
  </si>
  <si>
    <t>44501B1BrancaResidencialResidencialNão se aplicaNão se aplicaFora ponta</t>
  </si>
  <si>
    <t>44531B1BrancaResidencialResidencialNão se aplicaNão se aplicaFora ponta</t>
  </si>
  <si>
    <t>44562B1BrancaResidencialResidencialNão se aplicaNão se aplicaFora ponta</t>
  </si>
  <si>
    <t>44593B1BrancaResidencialResidencialNão se aplicaNão se aplicaFora ponta</t>
  </si>
  <si>
    <t>44621B1BrancaResidencialResidencialNão se aplicaNão se aplicaFora ponta</t>
  </si>
  <si>
    <t>44287B1BrancaResidencialResidencialNão se aplicaNão se aplicaIntermediário</t>
  </si>
  <si>
    <t>44317B1BrancaResidencialResidencialNão se aplicaNão se aplicaIntermediário</t>
  </si>
  <si>
    <t>44348B1BrancaResidencialResidencialNão se aplicaNão se aplicaIntermediário</t>
  </si>
  <si>
    <t>44378B1BrancaResidencialResidencialNão se aplicaNão se aplicaIntermediário</t>
  </si>
  <si>
    <t>44409B1BrancaResidencialResidencialNão se aplicaNão se aplicaIntermediário</t>
  </si>
  <si>
    <t>44440B1BrancaResidencialResidencialNão se aplicaNão se aplicaIntermediário</t>
  </si>
  <si>
    <t>44470B1BrancaResidencialResidencialNão se aplicaNão se aplicaIntermediário</t>
  </si>
  <si>
    <t>44501B1BrancaResidencialResidencialNão se aplicaNão se aplicaIntermediário</t>
  </si>
  <si>
    <t>44531B1BrancaResidencialResidencialNão se aplicaNão se aplicaIntermediário</t>
  </si>
  <si>
    <t>44562B1BrancaResidencialResidencialNão se aplicaNão se aplicaIntermediário</t>
  </si>
  <si>
    <t>44593B1BrancaResidencialResidencialNão se aplicaNão se aplicaIntermediário</t>
  </si>
  <si>
    <t>44621B1BrancaResidencialResidencialNão se aplicaNão se aplicaIntermediário</t>
  </si>
  <si>
    <t>44287B1BrancaResidencialResidencialNão se aplicaNão se aplicaPonta</t>
  </si>
  <si>
    <t>44317B1BrancaResidencialResidencialNão se aplicaNão se aplicaPonta</t>
  </si>
  <si>
    <t>44348B1BrancaResidencialResidencialNão se aplicaNão se aplicaPonta</t>
  </si>
  <si>
    <t>44378B1BrancaResidencialResidencialNão se aplicaNão se aplicaPonta</t>
  </si>
  <si>
    <t>44409B1BrancaResidencialResidencialNão se aplicaNão se aplicaPonta</t>
  </si>
  <si>
    <t>44440B1BrancaResidencialResidencialNão se aplicaNão se aplicaPonta</t>
  </si>
  <si>
    <t>44470B1BrancaResidencialResidencialNão se aplicaNão se aplicaPonta</t>
  </si>
  <si>
    <t>44501B1BrancaResidencialResidencialNão se aplicaNão se aplicaPonta</t>
  </si>
  <si>
    <t>44531B1BrancaResidencialResidencialNão se aplicaNão se aplicaPonta</t>
  </si>
  <si>
    <t>44562B1BrancaResidencialResidencialNão se aplicaNão se aplicaPonta</t>
  </si>
  <si>
    <t>44593B1BrancaResidencialResidencialNão se aplicaNão se aplicaPonta</t>
  </si>
  <si>
    <t>44621B1BrancaResidencialResidencialNão se aplicaNão se aplicaPonta</t>
  </si>
  <si>
    <t>44287B1ConvencionalResidencialResidencialNão se aplicaNão se aplicaNão se aplica</t>
  </si>
  <si>
    <t>44317B1ConvencionalResidencialResidencialNão se aplicaNão se aplicaNão se aplica</t>
  </si>
  <si>
    <t>44348B1ConvencionalResidencialResidencialNão se aplicaNão se aplicaNão se aplica</t>
  </si>
  <si>
    <t>44378B1ConvencionalResidencialResidencialNão se aplicaNão se aplicaNão se aplica</t>
  </si>
  <si>
    <t>44409B1ConvencionalResidencialResidencialNão se aplicaNão se aplicaNão se aplica</t>
  </si>
  <si>
    <t>44440B1ConvencionalResidencialResidencialNão se aplicaNão se aplicaNão se aplica</t>
  </si>
  <si>
    <t>44470B1ConvencionalResidencialResidencialNão se aplicaNão se aplicaNão se aplica</t>
  </si>
  <si>
    <t>44501B1ConvencionalResidencialResidencialNão se aplicaNão se aplicaNão se aplica</t>
  </si>
  <si>
    <t>44531B1ConvencionalResidencialResidencialNão se aplicaNão se aplicaNão se aplica</t>
  </si>
  <si>
    <t>44562B1ConvencionalResidencialResidencialNão se aplicaNão se aplicaNão se aplica</t>
  </si>
  <si>
    <t>44593B1ConvencionalResidencialResidencialNão se aplicaNão se aplicaNão se aplica</t>
  </si>
  <si>
    <t>44621B1ConvencionalResidencialResidencialNão se aplicaNão se aplicaNão se aplica</t>
  </si>
  <si>
    <t>44287B1ConvencionalResidencialResidencial baixa renda – faixa 01Não se aplicaNão se aplicaNão se aplica</t>
  </si>
  <si>
    <t>44317B1ConvencionalResidencialResidencial baixa renda – faixa 01Não se aplicaNão se aplicaNão se aplica</t>
  </si>
  <si>
    <t>44348B1ConvencionalResidencialResidencial baixa renda – faixa 01Não se aplicaNão se aplicaNão se aplica</t>
  </si>
  <si>
    <t>44378B1ConvencionalResidencialResidencial baixa renda – faixa 01Não se aplicaNão se aplicaNão se aplica</t>
  </si>
  <si>
    <t>44409B1ConvencionalResidencialResidencial baixa renda – faixa 01Não se aplicaNão se aplicaNão se aplica</t>
  </si>
  <si>
    <t>44440B1ConvencionalResidencialResidencial baixa renda – faixa 01Não se aplicaNão se aplicaNão se aplica</t>
  </si>
  <si>
    <t>44470B1ConvencionalResidencialResidencial baixa renda – faixa 01Não se aplicaNão se aplicaNão se aplica</t>
  </si>
  <si>
    <t>44501B1ConvencionalResidencialResidencial baixa renda – faixa 01Não se aplicaNão se aplicaNão se aplica</t>
  </si>
  <si>
    <t>44531B1ConvencionalResidencialResidencial baixa renda – faixa 01Não se aplicaNão se aplicaNão se aplica</t>
  </si>
  <si>
    <t>44562B1ConvencionalResidencialResidencial baixa renda – faixa 01Não se aplicaNão se aplicaNão se aplica</t>
  </si>
  <si>
    <t>44593B1ConvencionalResidencialResidencial baixa renda – faixa 01Não se aplicaNão se aplicaNão se aplica</t>
  </si>
  <si>
    <t>44621B1ConvencionalResidencialResidencial baixa renda – faixa 01Não se aplicaNão se aplicaNão se aplica</t>
  </si>
  <si>
    <t>44287B1ConvencionalResidencialResidencial baixa renda – faixa 02Não se aplicaNão se aplicaNão se aplica</t>
  </si>
  <si>
    <t>44317B1ConvencionalResidencialResidencial baixa renda – faixa 02Não se aplicaNão se aplicaNão se aplica</t>
  </si>
  <si>
    <t>44348B1ConvencionalResidencialResidencial baixa renda – faixa 02Não se aplicaNão se aplicaNão se aplica</t>
  </si>
  <si>
    <t>44378B1ConvencionalResidencialResidencial baixa renda – faixa 02Não se aplicaNão se aplicaNão se aplica</t>
  </si>
  <si>
    <t>44409B1ConvencionalResidencialResidencial baixa renda – faixa 02Não se aplicaNão se aplicaNão se aplica</t>
  </si>
  <si>
    <t>44440B1ConvencionalResidencialResidencial baixa renda – faixa 02Não se aplicaNão se aplicaNão se aplica</t>
  </si>
  <si>
    <t>44470B1ConvencionalResidencialResidencial baixa renda – faixa 02Não se aplicaNão se aplicaNão se aplica</t>
  </si>
  <si>
    <t>44501B1ConvencionalResidencialResidencial baixa renda – faixa 02Não se aplicaNão se aplicaNão se aplica</t>
  </si>
  <si>
    <t>44531B1ConvencionalResidencialResidencial baixa renda – faixa 02Não se aplicaNão se aplicaNão se aplica</t>
  </si>
  <si>
    <t>44562B1ConvencionalResidencialResidencial baixa renda – faixa 02Não se aplicaNão se aplicaNão se aplica</t>
  </si>
  <si>
    <t>44593B1ConvencionalResidencialResidencial baixa renda – faixa 02Não se aplicaNão se aplicaNão se aplica</t>
  </si>
  <si>
    <t>44621B1ConvencionalResidencialResidencial baixa renda – faixa 02Não se aplicaNão se aplicaNão se aplica</t>
  </si>
  <si>
    <t>44287B1ConvencionalResidencialResidencial baixa renda – faixa 03Não se aplicaNão se aplicaNão se aplica</t>
  </si>
  <si>
    <t>44317B1ConvencionalResidencialResidencial baixa renda – faixa 03Não se aplicaNão se aplicaNão se aplica</t>
  </si>
  <si>
    <t>44348B1ConvencionalResidencialResidencial baixa renda – faixa 03Não se aplicaNão se aplicaNão se aplica</t>
  </si>
  <si>
    <t>44378B1ConvencionalResidencialResidencial baixa renda – faixa 03Não se aplicaNão se aplicaNão se aplica</t>
  </si>
  <si>
    <t>44409B1ConvencionalResidencialResidencial baixa renda – faixa 03Não se aplicaNão se aplicaNão se aplica</t>
  </si>
  <si>
    <t>44440B1ConvencionalResidencialResidencial baixa renda – faixa 03Não se aplicaNão se aplicaNão se aplica</t>
  </si>
  <si>
    <t>44470B1ConvencionalResidencialResidencial baixa renda – faixa 03Não se aplicaNão se aplicaNão se aplica</t>
  </si>
  <si>
    <t>44501B1ConvencionalResidencialResidencial baixa renda – faixa 03Não se aplicaNão se aplicaNão se aplica</t>
  </si>
  <si>
    <t>44531B1ConvencionalResidencialResidencial baixa renda – faixa 03Não se aplicaNão se aplicaNão se aplica</t>
  </si>
  <si>
    <t>44562B1ConvencionalResidencialResidencial baixa renda – faixa 03Não se aplicaNão se aplicaNão se aplica</t>
  </si>
  <si>
    <t>44593B1ConvencionalResidencialResidencial baixa renda – faixa 03Não se aplicaNão se aplicaNão se aplica</t>
  </si>
  <si>
    <t>44621B1ConvencionalResidencialResidencial baixa renda – faixa 03Não se aplicaNão se aplicaNão se aplica</t>
  </si>
  <si>
    <t>44287B1ConvencionalResidencialResidencial baixa renda – faixa 04Não se aplicaNão se aplicaNão se aplica</t>
  </si>
  <si>
    <t>44317B1ConvencionalResidencialResidencial baixa renda – faixa 04Não se aplicaNão se aplicaNão se aplica</t>
  </si>
  <si>
    <t>44348B1ConvencionalResidencialResidencial baixa renda – faixa 04Não se aplicaNão se aplicaNão se aplica</t>
  </si>
  <si>
    <t>44378B1ConvencionalResidencialResidencial baixa renda – faixa 04Não se aplicaNão se aplicaNão se aplica</t>
  </si>
  <si>
    <t>44409B1ConvencionalResidencialResidencial baixa renda – faixa 04Não se aplicaNão se aplicaNão se aplica</t>
  </si>
  <si>
    <t>44440B1ConvencionalResidencialResidencial baixa renda – faixa 04Não se aplicaNão se aplicaNão se aplica</t>
  </si>
  <si>
    <t>44470B1ConvencionalResidencialResidencial baixa renda – faixa 04Não se aplicaNão se aplicaNão se aplica</t>
  </si>
  <si>
    <t>44501B1ConvencionalResidencialResidencial baixa renda – faixa 04Não se aplicaNão se aplicaNão se aplica</t>
  </si>
  <si>
    <t>44531B1ConvencionalResidencialResidencial baixa renda – faixa 04Não se aplicaNão se aplicaNão se aplica</t>
  </si>
  <si>
    <t>44562B1ConvencionalResidencialResidencial baixa renda – faixa 04Não se aplicaNão se aplicaNão se aplica</t>
  </si>
  <si>
    <t>44593B1ConvencionalResidencialResidencial baixa renda – faixa 04Não se aplicaNão se aplicaNão se aplica</t>
  </si>
  <si>
    <t>44621B1ConvencionalResidencialResidencial baixa renda – faixa 04Não se aplicaNão se aplicaNão se aplica</t>
  </si>
  <si>
    <t>44287B2ConvencionalRuralNão se aplicaNão se aplicaNão se aplicaNão se aplica</t>
  </si>
  <si>
    <t>44317B2ConvencionalRuralNão se aplicaNão se aplicaNão se aplicaNão se aplica</t>
  </si>
  <si>
    <t>44348B2ConvencionalRuralNão se aplicaNão se aplicaNão se aplicaNão se aplica</t>
  </si>
  <si>
    <t>44378B2ConvencionalRuralNão se aplicaNão se aplicaNão se aplicaNão se aplica</t>
  </si>
  <si>
    <t>44409B2ConvencionalRuralNão se aplicaNão se aplicaNão se aplicaNão se aplica</t>
  </si>
  <si>
    <t>44470B2ConvencionalRuralNão se aplicaNão se aplicaNão se aplicaNão se aplica</t>
  </si>
  <si>
    <t>44562B2ConvencionalRuralNão se aplicaNão se aplicaNão se aplicaNão se aplica</t>
  </si>
  <si>
    <t>44621B2ConvencionalRuralNão se aplicaNão se aplicaNão se aplicaNão se aplica</t>
  </si>
  <si>
    <t>44440B2ConvencionalRuralNão se aplicaNão se aplicaNão se aplicaNão se aplica</t>
  </si>
  <si>
    <t>44501B2ConvencionalRuralNão se aplicaNão se aplicaNão se aplicaNão se aplica</t>
  </si>
  <si>
    <t>44531B2ConvencionalRuralNão se aplicaNão se aplicaNão se aplicaNão se aplica</t>
  </si>
  <si>
    <t>44593B2ConvencionalRuralNão se aplicaNão se aplicaNão se aplicaNão se aplica</t>
  </si>
  <si>
    <t>44287B3ConvencionalNão se aplicaNão se aplicaNão se aplicaNão se aplicaNão se aplica</t>
  </si>
  <si>
    <t>44317B3ConvencionalNão se aplicaNão se aplicaNão se aplicaNão se aplicaNão se aplica</t>
  </si>
  <si>
    <t>44348B3ConvencionalNão se aplicaNão se aplicaNão se aplicaNão se aplicaNão se aplica</t>
  </si>
  <si>
    <t>44378B3ConvencionalNão se aplicaNão se aplicaNão se aplicaNão se aplicaNão se aplica</t>
  </si>
  <si>
    <t>44409B3ConvencionalNão se aplicaNão se aplicaNão se aplicaNão se aplicaNão se aplica</t>
  </si>
  <si>
    <t>44440B3ConvencionalNão se aplicaNão se aplicaNão se aplicaNão se aplicaNão se aplica</t>
  </si>
  <si>
    <t>44470B3ConvencionalNão se aplicaNão se aplicaNão se aplicaNão se aplicaNão se aplica</t>
  </si>
  <si>
    <t>44501B3ConvencionalNão se aplicaNão se aplicaNão se aplicaNão se aplicaNão se aplica</t>
  </si>
  <si>
    <t>44531B3ConvencionalNão se aplicaNão se aplicaNão se aplicaNão se aplicaNão se aplica</t>
  </si>
  <si>
    <t>44562B3ConvencionalNão se aplicaNão se aplicaNão se aplicaNão se aplicaNão se aplica</t>
  </si>
  <si>
    <t>44593B3ConvencionalNão se aplicaNão se aplicaNão se aplicaNão se aplicaNão se aplica</t>
  </si>
  <si>
    <t>44621B3ConvencionalNão se aplicaNão se aplicaNão se aplicaNão se aplicaNão se aplica</t>
  </si>
  <si>
    <t>44287B4ConvencionalIluminação públicaIluminação pública – B4aNão se aplicaNão se aplicaNão se aplica</t>
  </si>
  <si>
    <t>44317B4ConvencionalIluminação públicaIluminação pública – B4aNão se aplicaNão se aplicaNão se aplica</t>
  </si>
  <si>
    <t>44348B4ConvencionalIluminação públicaIluminação pública – B4aNão se aplicaNão se aplicaNão se aplica</t>
  </si>
  <si>
    <t>44378B4ConvencionalIluminação públicaIluminação pública – B4aNão se aplicaNão se aplicaNão se aplica</t>
  </si>
  <si>
    <t>44409B4ConvencionalIluminação públicaIluminação pública – B4aNão se aplicaNão se aplicaNão se aplica</t>
  </si>
  <si>
    <t>44440B4ConvencionalIluminação públicaIluminação pública – B4aNão se aplicaNão se aplicaNão se aplica</t>
  </si>
  <si>
    <t>44470B4ConvencionalIluminação públicaIluminação pública – B4aNão se aplicaNão se aplicaNão se aplica</t>
  </si>
  <si>
    <t>44501B4ConvencionalIluminação públicaIluminação pública – B4aNão se aplicaNão se aplicaNão se aplica</t>
  </si>
  <si>
    <t>44531B4ConvencionalIluminação públicaIluminação pública – B4aNão se aplicaNão se aplicaNão se aplica</t>
  </si>
  <si>
    <t>44562B4ConvencionalIluminação públicaIluminação pública – B4aNão se aplicaNão se aplicaNão se aplica</t>
  </si>
  <si>
    <t>44593B4ConvencionalIluminação públicaIluminação pública – B4aNão se aplicaNão se aplicaNão se aplica</t>
  </si>
  <si>
    <t>44621B4ConvencionalIluminação públicaIluminação pública – B4aNão se aplicaNão se aplicaNão se aplica</t>
  </si>
  <si>
    <t>CHAVE TE</t>
  </si>
  <si>
    <t>44287A4Energia horáriaNão se aplicaNão se aplicaNão se aplicaNão se aplicaFora ponta</t>
  </si>
  <si>
    <t>44317A4Energia horáriaNão se aplicaNão se aplicaNão se aplicaNão se aplicaFora ponta</t>
  </si>
  <si>
    <t>44348A4Energia horáriaNão se aplicaNão se aplicaNão se aplicaNão se aplicaFora ponta</t>
  </si>
  <si>
    <t>44378A4Energia horáriaNão se aplicaNão se aplicaNão se aplicaNão se aplicaFora ponta</t>
  </si>
  <si>
    <t>44409A4Energia horáriaNão se aplicaNão se aplicaNão se aplicaNão se aplicaFora ponta</t>
  </si>
  <si>
    <t>44440A4Energia horáriaNão se aplicaNão se aplicaNão se aplicaNão se aplicaFora ponta</t>
  </si>
  <si>
    <t>44470A4Energia horáriaNão se aplicaNão se aplicaNão se aplicaNão se aplicaFora ponta</t>
  </si>
  <si>
    <t>44501A4Energia horáriaNão se aplicaNão se aplicaNão se aplicaNão se aplicaFora ponta</t>
  </si>
  <si>
    <t>44531A4Energia horáriaNão se aplicaNão se aplicaNão se aplicaNão se aplicaFora ponta</t>
  </si>
  <si>
    <t>44562A4Energia horáriaNão se aplicaNão se aplicaNão se aplicaNão se aplicaFora ponta</t>
  </si>
  <si>
    <t>44593A4Energia horáriaNão se aplicaNão se aplicaNão se aplicaNão se aplicaFora ponta</t>
  </si>
  <si>
    <t>44621A4Energia horáriaNão se aplicaNão se aplicaNão se aplicaNão se aplicaFora ponta</t>
  </si>
  <si>
    <t>44287A4Energia horáriaNão se aplicaNão se aplicaNão se aplicaNão se aplicaPonta</t>
  </si>
  <si>
    <t>44317A4Energia horáriaNão se aplicaNão se aplicaNão se aplicaNão se aplicaPonta</t>
  </si>
  <si>
    <t>44348A4Energia horáriaNão se aplicaNão se aplicaNão se aplicaNão se aplicaPonta</t>
  </si>
  <si>
    <t>44378A4Energia horáriaNão se aplicaNão se aplicaNão se aplicaNão se aplicaPonta</t>
  </si>
  <si>
    <t>44409A4Energia horáriaNão se aplicaNão se aplicaNão se aplicaNão se aplicaPonta</t>
  </si>
  <si>
    <t>44440A4Energia horáriaNão se aplicaNão se aplicaNão se aplicaNão se aplicaPonta</t>
  </si>
  <si>
    <t>44470A4Energia horáriaNão se aplicaNão se aplicaNão se aplicaNão se aplicaPonta</t>
  </si>
  <si>
    <t>44501A4Energia horáriaNão se aplicaNão se aplicaNão se aplicaNão se aplicaPonta</t>
  </si>
  <si>
    <t>44531A4Energia horáriaNão se aplicaNão se aplicaNão se aplicaNão se aplicaPonta</t>
  </si>
  <si>
    <t>44562A4Energia horáriaNão se aplicaNão se aplicaNão se aplicaNão se aplicaPonta</t>
  </si>
  <si>
    <t>44593A4Energia horáriaNão se aplicaNão se aplicaNão se aplicaNão se aplicaPonta</t>
  </si>
  <si>
    <t>44621A4Energia horáriaNão se aplicaNão se aplicaNão se aplicaNão se aplicaPonta</t>
  </si>
  <si>
    <t>CUIDADO</t>
  </si>
  <si>
    <t>Desculpe, mas não foi encontrado posto Não se aplica, modalidade Energia horária, subgrupo A4 no banco de regras.</t>
  </si>
  <si>
    <t>Mercado_Receita</t>
  </si>
  <si>
    <t>S</t>
  </si>
  <si>
    <t>44287B1Energia horáriaResidencialResidencialNão se aplicaNão se aplicaFora ponta</t>
  </si>
  <si>
    <t>44317B1Energia horáriaResidencialResidencialNão se aplicaNão se aplicaFora ponta</t>
  </si>
  <si>
    <t>44348B1Energia horáriaResidencialResidencialNão se aplicaNão se aplicaFora ponta</t>
  </si>
  <si>
    <t>44378B1Energia horáriaResidencialResidencialNão se aplicaNão se aplicaFora ponta</t>
  </si>
  <si>
    <t>44409B1Energia horáriaResidencialResidencialNão se aplicaNão se aplicaFora ponta</t>
  </si>
  <si>
    <t>44440B1Energia horáriaResidencialResidencialNão se aplicaNão se aplicaFora ponta</t>
  </si>
  <si>
    <t>44470B1Energia horáriaResidencialResidencialNão se aplicaNão se aplicaFora ponta</t>
  </si>
  <si>
    <t>44501B1Energia horáriaResidencialResidencialNão se aplicaNão se aplicaFora ponta</t>
  </si>
  <si>
    <t>44531B1Energia horáriaResidencialResidencialNão se aplicaNão se aplicaFora ponta</t>
  </si>
  <si>
    <t>44562B1Energia horáriaResidencialResidencialNão se aplicaNão se aplicaFora ponta</t>
  </si>
  <si>
    <t>44593B1Energia horáriaResidencialResidencialNão se aplicaNão se aplicaFora ponta</t>
  </si>
  <si>
    <t>44621B1Energia horáriaResidencialResidencialNão se aplicaNão se aplicaFora ponta</t>
  </si>
  <si>
    <t>44287B1Energia horáriaResidencialResidencialNão se aplicaNão se aplicaIntermediário</t>
  </si>
  <si>
    <t>44317B1Energia horáriaResidencialResidencialNão se aplicaNão se aplicaIntermediário</t>
  </si>
  <si>
    <t>44348B1Energia horáriaResidencialResidencialNão se aplicaNão se aplicaIntermediário</t>
  </si>
  <si>
    <t>44378B1Energia horáriaResidencialResidencialNão se aplicaNão se aplicaIntermediário</t>
  </si>
  <si>
    <t>44409B1Energia horáriaResidencialResidencialNão se aplicaNão se aplicaIntermediário</t>
  </si>
  <si>
    <t>44440B1Energia horáriaResidencialResidencialNão se aplicaNão se aplicaIntermediário</t>
  </si>
  <si>
    <t>44470B1Energia horáriaResidencialResidencialNão se aplicaNão se aplicaIntermediário</t>
  </si>
  <si>
    <t>44501B1Energia horáriaResidencialResidencialNão se aplicaNão se aplicaIntermediário</t>
  </si>
  <si>
    <t>44531B1Energia horáriaResidencialResidencialNão se aplicaNão se aplicaIntermediário</t>
  </si>
  <si>
    <t>44562B1Energia horáriaResidencialResidencialNão se aplicaNão se aplicaIntermediário</t>
  </si>
  <si>
    <t>44593B1Energia horáriaResidencialResidencialNão se aplicaNão se aplicaIntermediário</t>
  </si>
  <si>
    <t>44621B1Energia horáriaResidencialResidencialNão se aplicaNão se aplicaIntermediário</t>
  </si>
  <si>
    <t>44287B1Energia horáriaResidencialResidencialNão se aplicaNão se aplicaPonta</t>
  </si>
  <si>
    <t>44317B1Energia horáriaResidencialResidencialNão se aplicaNão se aplicaPonta</t>
  </si>
  <si>
    <t>44348B1Energia horáriaResidencialResidencialNão se aplicaNão se aplicaPonta</t>
  </si>
  <si>
    <t>44378B1Energia horáriaResidencialResidencialNão se aplicaNão se aplicaPonta</t>
  </si>
  <si>
    <t>44409B1Energia horáriaResidencialResidencialNão se aplicaNão se aplicaPonta</t>
  </si>
  <si>
    <t>44440B1Energia horáriaResidencialResidencialNão se aplicaNão se aplicaPonta</t>
  </si>
  <si>
    <t>44470B1Energia horáriaResidencialResidencialNão se aplicaNão se aplicaPonta</t>
  </si>
  <si>
    <t>44501B1Energia horáriaResidencialResidencialNão se aplicaNão se aplicaPonta</t>
  </si>
  <si>
    <t>44531B1Energia horáriaResidencialResidencialNão se aplicaNão se aplicaPonta</t>
  </si>
  <si>
    <t>44562B1Energia horáriaResidencialResidencialNão se aplicaNão se aplicaPonta</t>
  </si>
  <si>
    <t>44593B1Energia horáriaResidencialResidencialNão se aplicaNão se aplicaPonta</t>
  </si>
  <si>
    <t>44621B1Energia horáriaResidencialResidencialNão se aplicaNão se aplicaPonta</t>
  </si>
  <si>
    <t>44287B1Energia convencionalResidencialResidencialNão se aplicaNão se aplicaNão se aplica</t>
  </si>
  <si>
    <t>44317B1Energia convencionalResidencialResidencialNão se aplicaNão se aplicaNão se aplica</t>
  </si>
  <si>
    <t>44348B1Energia convencionalResidencialResidencialNão se aplicaNão se aplicaNão se aplica</t>
  </si>
  <si>
    <t>44378B1Energia convencionalResidencialResidencialNão se aplicaNão se aplicaNão se aplica</t>
  </si>
  <si>
    <t>44409B1Energia convencionalResidencialResidencialNão se aplicaNão se aplicaNão se aplica</t>
  </si>
  <si>
    <t>44440B1Energia convencionalResidencialResidencialNão se aplicaNão se aplicaNão se aplica</t>
  </si>
  <si>
    <t>44470B1Energia convencionalResidencialResidencialNão se aplicaNão se aplicaNão se aplica</t>
  </si>
  <si>
    <t>44501B1Energia convencionalResidencialResidencialNão se aplicaNão se aplicaNão se aplica</t>
  </si>
  <si>
    <t>44531B1Energia convencionalResidencialResidencialNão se aplicaNão se aplicaNão se aplica</t>
  </si>
  <si>
    <t>44562B1Energia convencionalResidencialResidencialNão se aplicaNão se aplicaNão se aplica</t>
  </si>
  <si>
    <t>44593B1Energia convencionalResidencialResidencialNão se aplicaNão se aplicaNão se aplica</t>
  </si>
  <si>
    <t>44621B1Energia convencionalResidencialResidencialNão se aplicaNão se aplicaNão se aplica</t>
  </si>
  <si>
    <t>44287B1Energia convencionalResidencialResidencial baixa renda – faixa 01Não se aplicaNão se aplicaNão se aplica</t>
  </si>
  <si>
    <t>44317B1Energia convencionalResidencialResidencial baixa renda – faixa 01Não se aplicaNão se aplicaNão se aplica</t>
  </si>
  <si>
    <t>44348B1Energia convencionalResidencialResidencial baixa renda – faixa 01Não se aplicaNão se aplicaNão se aplica</t>
  </si>
  <si>
    <t>44378B1Energia convencionalResidencialResidencial baixa renda – faixa 01Não se aplicaNão se aplicaNão se aplica</t>
  </si>
  <si>
    <t>44409B1Energia convencionalResidencialResidencial baixa renda – faixa 01Não se aplicaNão se aplicaNão se aplica</t>
  </si>
  <si>
    <t>44440B1Energia convencionalResidencialResidencial baixa renda – faixa 01Não se aplicaNão se aplicaNão se aplica</t>
  </si>
  <si>
    <t>44470B1Energia convencionalResidencialResidencial baixa renda – faixa 01Não se aplicaNão se aplicaNão se aplica</t>
  </si>
  <si>
    <t>44501B1Energia convencionalResidencialResidencial baixa renda – faixa 01Não se aplicaNão se aplicaNão se aplica</t>
  </si>
  <si>
    <t>44531B1Energia convencionalResidencialResidencial baixa renda – faixa 01Não se aplicaNão se aplicaNão se aplica</t>
  </si>
  <si>
    <t>44562B1Energia convencionalResidencialResidencial baixa renda – faixa 01Não se aplicaNão se aplicaNão se aplica</t>
  </si>
  <si>
    <t>44593B1Energia convencionalResidencialResidencial baixa renda – faixa 01Não se aplicaNão se aplicaNão se aplica</t>
  </si>
  <si>
    <t>44621B1Energia convencionalResidencialResidencial baixa renda – faixa 01Não se aplicaNão se aplicaNão se aplica</t>
  </si>
  <si>
    <t>44287B1Energia convencionalResidencialResidencial baixa renda – faixa 02Não se aplicaNão se aplicaNão se aplica</t>
  </si>
  <si>
    <t>44317B1Energia convencionalResidencialResidencial baixa renda – faixa 02Não se aplicaNão se aplicaNão se aplica</t>
  </si>
  <si>
    <t>44348B1Energia convencionalResidencialResidencial baixa renda – faixa 02Não se aplicaNão se aplicaNão se aplica</t>
  </si>
  <si>
    <t>44378B1Energia convencionalResidencialResidencial baixa renda – faixa 02Não se aplicaNão se aplicaNão se aplica</t>
  </si>
  <si>
    <t>44409B1Energia convencionalResidencialResidencial baixa renda – faixa 02Não se aplicaNão se aplicaNão se aplica</t>
  </si>
  <si>
    <t>44440B1Energia convencionalResidencialResidencial baixa renda – faixa 02Não se aplicaNão se aplicaNão se aplica</t>
  </si>
  <si>
    <t>44470B1Energia convencionalResidencialResidencial baixa renda – faixa 02Não se aplicaNão se aplicaNão se aplica</t>
  </si>
  <si>
    <t>44501B1Energia convencionalResidencialResidencial baixa renda – faixa 02Não se aplicaNão se aplicaNão se aplica</t>
  </si>
  <si>
    <t>44531B1Energia convencionalResidencialResidencial baixa renda – faixa 02Não se aplicaNão se aplicaNão se aplica</t>
  </si>
  <si>
    <t>44562B1Energia convencionalResidencialResidencial baixa renda – faixa 02Não se aplicaNão se aplicaNão se aplica</t>
  </si>
  <si>
    <t>44593B1Energia convencionalResidencialResidencial baixa renda – faixa 02Não se aplicaNão se aplicaNão se aplica</t>
  </si>
  <si>
    <t>44621B1Energia convencionalResidencialResidencial baixa renda – faixa 02Não se aplicaNão se aplicaNão se aplica</t>
  </si>
  <si>
    <t>44287B1Energia convencionalResidencialResidencial baixa renda – faixa 03Não se aplicaNão se aplicaNão se aplica</t>
  </si>
  <si>
    <t>44317B1Energia convencionalResidencialResidencial baixa renda – faixa 03Não se aplicaNão se aplicaNão se aplica</t>
  </si>
  <si>
    <t>44348B1Energia convencionalResidencialResidencial baixa renda – faixa 03Não se aplicaNão se aplicaNão se aplica</t>
  </si>
  <si>
    <t>44378B1Energia convencionalResidencialResidencial baixa renda – faixa 03Não se aplicaNão se aplicaNão se aplica</t>
  </si>
  <si>
    <t>44409B1Energia convencionalResidencialResidencial baixa renda – faixa 03Não se aplicaNão se aplicaNão se aplica</t>
  </si>
  <si>
    <t>44440B1Energia convencionalResidencialResidencial baixa renda – faixa 03Não se aplicaNão se aplicaNão se aplica</t>
  </si>
  <si>
    <t>44470B1Energia convencionalResidencialResidencial baixa renda – faixa 03Não se aplicaNão se aplicaNão se aplica</t>
  </si>
  <si>
    <t>44501B1Energia convencionalResidencialResidencial baixa renda – faixa 03Não se aplicaNão se aplicaNão se aplica</t>
  </si>
  <si>
    <t>44531B1Energia convencionalResidencialResidencial baixa renda – faixa 03Não se aplicaNão se aplicaNão se aplica</t>
  </si>
  <si>
    <t>44562B1Energia convencionalResidencialResidencial baixa renda – faixa 03Não se aplicaNão se aplicaNão se aplica</t>
  </si>
  <si>
    <t>44593B1Energia convencionalResidencialResidencial baixa renda – faixa 03Não se aplicaNão se aplicaNão se aplica</t>
  </si>
  <si>
    <t>44621B1Energia convencionalResidencialResidencial baixa renda – faixa 03Não se aplicaNão se aplicaNão se aplica</t>
  </si>
  <si>
    <t>44287B1Energia convencionalResidencialResidencial baixa renda – faixa 04Não se aplicaNão se aplicaNão se aplica</t>
  </si>
  <si>
    <t>44317B1Energia convencionalResidencialResidencial baixa renda – faixa 04Não se aplicaNão se aplicaNão se aplica</t>
  </si>
  <si>
    <t>44348B1Energia convencionalResidencialResidencial baixa renda – faixa 04Não se aplicaNão se aplicaNão se aplica</t>
  </si>
  <si>
    <t>44378B1Energia convencionalResidencialResidencial baixa renda – faixa 04Não se aplicaNão se aplicaNão se aplica</t>
  </si>
  <si>
    <t>44409B1Energia convencionalResidencialResidencial baixa renda – faixa 04Não se aplicaNão se aplicaNão se aplica</t>
  </si>
  <si>
    <t>44440B1Energia convencionalResidencialResidencial baixa renda – faixa 04Não se aplicaNão se aplicaNão se aplica</t>
  </si>
  <si>
    <t>44470B1Energia convencionalResidencialResidencial baixa renda – faixa 04Não se aplicaNão se aplicaNão se aplica</t>
  </si>
  <si>
    <t>44501B1Energia convencionalResidencialResidencial baixa renda – faixa 04Não se aplicaNão se aplicaNão se aplica</t>
  </si>
  <si>
    <t>44531B1Energia convencionalResidencialResidencial baixa renda – faixa 04Não se aplicaNão se aplicaNão se aplica</t>
  </si>
  <si>
    <t>44562B1Energia convencionalResidencialResidencial baixa renda – faixa 04Não se aplicaNão se aplicaNão se aplica</t>
  </si>
  <si>
    <t>44593B1Energia convencionalResidencialResidencial baixa renda – faixa 04Não se aplicaNão se aplicaNão se aplica</t>
  </si>
  <si>
    <t>44621B1Energia convencionalResidencialResidencial baixa renda – faixa 04Não se aplicaNão se aplicaNão se aplica</t>
  </si>
  <si>
    <t>44287B2Energia convencionalRuralNão se aplicaNão se aplicaNão se aplicaNão se aplica</t>
  </si>
  <si>
    <t>44317B2Energia convencionalRuralNão se aplicaNão se aplicaNão se aplicaNão se aplica</t>
  </si>
  <si>
    <t>44348B2Energia convencionalRuralNão se aplicaNão se aplicaNão se aplicaNão se aplica</t>
  </si>
  <si>
    <t>44378B2Energia convencionalRuralNão se aplicaNão se aplicaNão se aplicaNão se aplica</t>
  </si>
  <si>
    <t>44409B2Energia convencionalRuralNão se aplicaNão se aplicaNão se aplicaNão se aplica</t>
  </si>
  <si>
    <t>44470B2Energia convencionalRuralNão se aplicaNão se aplicaNão se aplicaNão se aplica</t>
  </si>
  <si>
    <t>44562B2Energia convencionalRuralNão se aplicaNão se aplicaNão se aplicaNão se aplica</t>
  </si>
  <si>
    <t>44621B2Energia convencionalRuralNão se aplicaNão se aplicaNão se aplicaNão se aplica</t>
  </si>
  <si>
    <t>44440B2Energia convencionalRuralNão se aplicaNão se aplicaNão se aplicaNão se aplica</t>
  </si>
  <si>
    <t>44501B2Energia convencionalRuralNão se aplicaNão se aplicaNão se aplicaNão se aplica</t>
  </si>
  <si>
    <t>44531B2Energia convencionalRuralNão se aplicaNão se aplicaNão se aplicaNão se aplica</t>
  </si>
  <si>
    <t>44593B2Energia convencionalRuralNão se aplicaNão se aplicaNão se aplicaNão se aplica</t>
  </si>
  <si>
    <t>44287B3Energia convencionalNão se aplicaNão se aplicaNão se aplicaNão se aplicaNão se aplica</t>
  </si>
  <si>
    <t>44317B3Energia convencionalNão se aplicaNão se aplicaNão se aplicaNão se aplicaNão se aplica</t>
  </si>
  <si>
    <t>44348B3Energia convencionalNão se aplicaNão se aplicaNão se aplicaNão se aplicaNão se aplica</t>
  </si>
  <si>
    <t>44378B3Energia convencionalNão se aplicaNão se aplicaNão se aplicaNão se aplicaNão se aplica</t>
  </si>
  <si>
    <t>44409B3Energia convencionalNão se aplicaNão se aplicaNão se aplicaNão se aplicaNão se aplica</t>
  </si>
  <si>
    <t>44440B3Energia convencionalNão se aplicaNão se aplicaNão se aplicaNão se aplicaNão se aplica</t>
  </si>
  <si>
    <t>44470B3Energia convencionalNão se aplicaNão se aplicaNão se aplicaNão se aplicaNão se aplica</t>
  </si>
  <si>
    <t>44501B3Energia convencionalNão se aplicaNão se aplicaNão se aplicaNão se aplicaNão se aplica</t>
  </si>
  <si>
    <t>44531B3Energia convencionalNão se aplicaNão se aplicaNão se aplicaNão se aplicaNão se aplica</t>
  </si>
  <si>
    <t>44562B3Energia convencionalNão se aplicaNão se aplicaNão se aplicaNão se aplicaNão se aplica</t>
  </si>
  <si>
    <t>44593B3Energia convencionalNão se aplicaNão se aplicaNão se aplicaNão se aplicaNão se aplica</t>
  </si>
  <si>
    <t>44621B3Energia convencionalNão se aplicaNão se aplicaNão se aplicaNão se aplicaNão se aplica</t>
  </si>
  <si>
    <t>44287B4Energia convencionalIluminação públicaIluminação pública – B4aNão se aplicaNão se aplicaNão se aplica</t>
  </si>
  <si>
    <t>44317B4Energia convencionalIluminação públicaIluminação pública – B4aNão se aplicaNão se aplicaNão se aplica</t>
  </si>
  <si>
    <t>44348B4Energia convencionalIluminação públicaIluminação pública – B4aNão se aplicaNão se aplicaNão se aplica</t>
  </si>
  <si>
    <t>44378B4Energia convencionalIluminação públicaIluminação pública – B4aNão se aplicaNão se aplicaNão se aplica</t>
  </si>
  <si>
    <t>44409B4Energia convencionalIluminação públicaIluminação pública – B4aNão se aplicaNão se aplicaNão se aplica</t>
  </si>
  <si>
    <t>44440B4Energia convencionalIluminação públicaIluminação pública – B4aNão se aplicaNão se aplicaNão se aplica</t>
  </si>
  <si>
    <t>44470B4Energia convencionalIluminação públicaIluminação pública – B4aNão se aplicaNão se aplicaNão se aplica</t>
  </si>
  <si>
    <t>44501B4Energia convencionalIluminação públicaIluminação pública – B4aNão se aplicaNão se aplicaNão se aplica</t>
  </si>
  <si>
    <t>44531B4Energia convencionalIluminação públicaIluminação pública – B4aNão se aplicaNão se aplicaNão se aplica</t>
  </si>
  <si>
    <t>44562B4Energia convencionalIluminação públicaIluminação pública – B4aNão se aplicaNão se aplicaNão se aplica</t>
  </si>
  <si>
    <t>44593B4Energia convencionalIluminação públicaIluminação pública – B4aNão se aplicaNão se aplicaNão se aplica</t>
  </si>
  <si>
    <t>44621B4Energia convencionalIluminação públicaIluminação pública – B4aNão se aplicaNão se aplicaNão se aplica</t>
  </si>
  <si>
    <t>RECEITA VERIFICADA</t>
  </si>
  <si>
    <t>TUSD</t>
  </si>
  <si>
    <t>ENCARGO</t>
  </si>
  <si>
    <t>TFSEE</t>
  </si>
  <si>
    <t>P&amp;D</t>
  </si>
  <si>
    <t>ONS</t>
  </si>
  <si>
    <t>CCC</t>
  </si>
  <si>
    <t>CDE</t>
  </si>
  <si>
    <t>PROINFA</t>
  </si>
  <si>
    <t>LIMINAR 1</t>
  </si>
  <si>
    <t>SUBTOTAL</t>
  </si>
  <si>
    <t>FIO A</t>
  </si>
  <si>
    <t>TUSD RB</t>
  </si>
  <si>
    <t>TUSD FR</t>
  </si>
  <si>
    <t>CONEXAO T</t>
  </si>
  <si>
    <t>CONEXAO D</t>
  </si>
  <si>
    <t>CUSD</t>
  </si>
  <si>
    <t>TUSDG-T</t>
  </si>
  <si>
    <t>TUSDG-ONS</t>
  </si>
  <si>
    <t>FIO B</t>
  </si>
  <si>
    <t>DISTRIBUICAO</t>
  </si>
  <si>
    <t>Nao se aplica</t>
  </si>
  <si>
    <t>SUBSIDIO</t>
  </si>
  <si>
    <t>OUTROS</t>
  </si>
  <si>
    <t>PERDAS</t>
  </si>
  <si>
    <t>PERDAS TECNICAS</t>
  </si>
  <si>
    <t>PERDAS RB/ PERDAS D</t>
  </si>
  <si>
    <t>PERDAS NAO TECNICAS</t>
  </si>
  <si>
    <t>RI</t>
  </si>
  <si>
    <t>TE</t>
  </si>
  <si>
    <t>ESS/ERR</t>
  </si>
  <si>
    <t>CFURH</t>
  </si>
  <si>
    <t>ENERGIA</t>
  </si>
  <si>
    <t>ENERGIA REVENDA</t>
  </si>
  <si>
    <t>ITAIPU</t>
  </si>
  <si>
    <t>TUST ITAIPU</t>
  </si>
  <si>
    <t>TUST CI</t>
  </si>
  <si>
    <t>PERDAS RB/C</t>
  </si>
  <si>
    <t>TOTAL</t>
  </si>
  <si>
    <t>TIPO TARIFA</t>
  </si>
  <si>
    <t>GRUPO DE CUSTO</t>
  </si>
  <si>
    <t>CUSTO</t>
  </si>
  <si>
    <t>BASE ECONÔMICA</t>
  </si>
  <si>
    <t>BASE FINANCEIRA</t>
  </si>
  <si>
    <t>CVA</t>
  </si>
  <si>
    <t>Parâmetros de cálculo</t>
  </si>
  <si>
    <t>IRP ECONÔMICO (%)</t>
  </si>
  <si>
    <t>IRP FINANCEIRO (%)</t>
  </si>
  <si>
    <t>IGP-M (%)</t>
  </si>
  <si>
    <t>ALÍQUOTA P&amp;D (%)</t>
  </si>
  <si>
    <t>PROJEÇÃO MERC. (%)</t>
  </si>
  <si>
    <t>Perdas TOTAIS (MWh)</t>
  </si>
  <si>
    <t>Perdas Técnicas (MWh)</t>
  </si>
  <si>
    <t>Perdas Não Técnicas (MWh)</t>
  </si>
  <si>
    <t>Perdas na RB (sobre perdas na D) (MWh)</t>
  </si>
  <si>
    <t>Perdas na RB (sobre mercado cativo) (MWh)</t>
  </si>
  <si>
    <t>ENERGIA REQUERIDA (MWh)</t>
  </si>
  <si>
    <t>PROINFA (MWh)</t>
  </si>
  <si>
    <t>MIX COMPRA (R$/MWh)</t>
  </si>
  <si>
    <t>ENERGIA ECON. (R$)</t>
  </si>
  <si>
    <t>ENERGIA FIN. (R$)</t>
  </si>
  <si>
    <t>ENERGIA CVA (R$)</t>
  </si>
  <si>
    <t>RB FIN. (R$)</t>
  </si>
  <si>
    <t>RB CVA (R$)</t>
  </si>
  <si>
    <t>P&amp;D FIN. (R$)</t>
  </si>
  <si>
    <t>P&amp;D CVA (R$)</t>
  </si>
  <si>
    <t>VERSÃO</t>
  </si>
  <si>
    <t>Constante FAIXA 1 BR</t>
  </si>
  <si>
    <t>Constante FAIXA 2 BR</t>
  </si>
  <si>
    <t>Constante FAIXA 3 BR</t>
  </si>
  <si>
    <t>Constante FAIXA 4 BR</t>
  </si>
  <si>
    <t>Constante B2 Rural</t>
  </si>
  <si>
    <t>Constante B2 Cooperativas</t>
  </si>
  <si>
    <t>Constante B2 SPI</t>
  </si>
  <si>
    <t>Constante B3</t>
  </si>
  <si>
    <t>Constante B4a</t>
  </si>
  <si>
    <t>Constante B4b</t>
  </si>
  <si>
    <t>Constante PUB. FAIXA 1 BR</t>
  </si>
  <si>
    <t>Constante PUB. FAIXA 2 BR</t>
  </si>
  <si>
    <t>Constante PUB. FAIXA 3 BR</t>
  </si>
  <si>
    <t>Constante PUB. FAIXA 4 BR</t>
  </si>
  <si>
    <t>Constante PUB. B2 Rural</t>
  </si>
  <si>
    <t>Constante PUB. B2 Cooperativas</t>
  </si>
  <si>
    <t>Constante PUB. B2 SPI</t>
  </si>
  <si>
    <t>Conexão CONS. A1</t>
  </si>
  <si>
    <t>CDE ENERGIA ACR</t>
  </si>
  <si>
    <t>CDE Covid TUSD</t>
  </si>
  <si>
    <t>P&amp;D ECON. (R$)</t>
  </si>
  <si>
    <t>CUSTOS</t>
  </si>
  <si>
    <t>CDE Covid TE</t>
  </si>
  <si>
    <t>ABA Merc. Rec. TUSD (kW)</t>
  </si>
  <si>
    <t>ABA Merc. Rec. TUSD (MWh)</t>
  </si>
  <si>
    <t>ABA Merc. Rec. TE (MWh)</t>
  </si>
  <si>
    <t>ABA Merc. TUSD TUSD (kW)</t>
  </si>
  <si>
    <t>ABA Merc. TUSD TUSD (MWh)</t>
  </si>
  <si>
    <t>ABA Merc. TE TE (MWh)</t>
  </si>
  <si>
    <t>TESTE TUSD (kW)</t>
  </si>
  <si>
    <t>TESTE TUSD (MWh)</t>
  </si>
  <si>
    <t>TESTE TE (MWh)</t>
  </si>
  <si>
    <t>Resolução</t>
  </si>
  <si>
    <t>RESOLUÇÃO HOMOLOGATÓRIA Nº 2.866, DE 23 DE ABRIL DE 2021</t>
  </si>
  <si>
    <t>MERC.</t>
  </si>
  <si>
    <t>TR TUSD</t>
  </si>
  <si>
    <t>VAR AUX</t>
  </si>
  <si>
    <t>CUSTO REC. CAR.</t>
  </si>
  <si>
    <t>CUSTO REC. GER.</t>
  </si>
  <si>
    <t>CUSTO REC. DEM.</t>
  </si>
  <si>
    <t>CON. D/T</t>
  </si>
  <si>
    <t>COEF. AJ. BE</t>
  </si>
  <si>
    <t>TUSD BE</t>
  </si>
  <si>
    <t>CUSTO TEÓRICO</t>
  </si>
  <si>
    <t>COEF. AJ. BF</t>
  </si>
  <si>
    <t>(SUB)GRUPO</t>
  </si>
  <si>
    <t>TUSD (R$)</t>
  </si>
  <si>
    <t>TUSD (MWh)</t>
  </si>
  <si>
    <t>PNT (R$/MWh)</t>
  </si>
  <si>
    <t>VAR. AX01</t>
  </si>
  <si>
    <t>VAR. AX02</t>
  </si>
  <si>
    <t>TUSD BF</t>
  </si>
  <si>
    <t>COEF. AJ. CVA</t>
  </si>
  <si>
    <t>AUX. SUBS.</t>
  </si>
  <si>
    <t>TUSD CVA</t>
  </si>
  <si>
    <t>TR TE</t>
  </si>
  <si>
    <t>BASE TEÓRICA</t>
  </si>
  <si>
    <t>TE SUP.</t>
  </si>
  <si>
    <t>COEF. AJ. BE CDE S/ ACR</t>
  </si>
  <si>
    <t>COEF. AJ. BE CDE SÓ ACR</t>
  </si>
  <si>
    <t>TE BE</t>
  </si>
  <si>
    <t>TE BF</t>
  </si>
  <si>
    <t>TE CVA</t>
  </si>
  <si>
    <t>TOTAL ABAS</t>
  </si>
  <si>
    <t>AVALIAÇÃO</t>
  </si>
  <si>
    <t>Coeficientes de transição</t>
  </si>
  <si>
    <t>A2</t>
  </si>
  <si>
    <t>A3</t>
  </si>
  <si>
    <t>A3a</t>
  </si>
  <si>
    <t>AS</t>
  </si>
  <si>
    <t>Carga</t>
  </si>
  <si>
    <t>Ajustado para o passo 4 da transição. Não altere.</t>
  </si>
  <si>
    <t>TipoTarifa</t>
  </si>
  <si>
    <t>UP</t>
  </si>
  <si>
    <t>US</t>
  </si>
  <si>
    <t>UT</t>
  </si>
  <si>
    <t>AnoRef</t>
  </si>
  <si>
    <t>Evento</t>
  </si>
  <si>
    <t>Potência</t>
  </si>
  <si>
    <t>Ativa</t>
  </si>
  <si>
    <t>Energia</t>
  </si>
  <si>
    <t>CÓD.</t>
  </si>
  <si>
    <t>TUSD (R$/kW)</t>
  </si>
  <si>
    <t>TUSD (R$/MWh)</t>
  </si>
  <si>
    <t>TE (R$/MWh)</t>
  </si>
  <si>
    <t>TUSD (R$/kW) NOVA</t>
  </si>
  <si>
    <t>TUSD (R$/MWh) NOVA</t>
  </si>
  <si>
    <t>TE (R$/MWh) NOVA</t>
  </si>
  <si>
    <t>Empresa</t>
  </si>
  <si>
    <t>Ramo</t>
  </si>
  <si>
    <t>Tipo</t>
  </si>
  <si>
    <t>Unidade</t>
  </si>
  <si>
    <t>Percentual Desconto</t>
  </si>
  <si>
    <t>modalidade</t>
  </si>
  <si>
    <t>subgrupo</t>
  </si>
  <si>
    <t>classe</t>
  </si>
  <si>
    <t>subclasse</t>
  </si>
  <si>
    <t>detalhe</t>
  </si>
  <si>
    <t>Passo atual</t>
  </si>
  <si>
    <t>desconto 0 - 8</t>
  </si>
  <si>
    <t>RA0 ou RV - TUSD (kW)</t>
  </si>
  <si>
    <t>RA0 ou RV - TUSD (MWh)</t>
  </si>
  <si>
    <t>RA0 ou RV - TE (MWh)</t>
  </si>
  <si>
    <t>RA1 ou RRD - TUSD (kW)</t>
  </si>
  <si>
    <t>RA1 ou RRD - TUSD (MWh)</t>
  </si>
  <si>
    <t>RA1 ou RRD - TE (MWh)</t>
  </si>
  <si>
    <t>RA0 ou RV - TUSD</t>
  </si>
  <si>
    <t>RA1 ou RRD - TUSD</t>
  </si>
  <si>
    <t>VARIAÇÃO</t>
  </si>
  <si>
    <t>RA0 ou RV - TE</t>
  </si>
  <si>
    <t>RA1 ou RRD - TE</t>
  </si>
  <si>
    <t>RA0 ou RV</t>
  </si>
  <si>
    <t>RA1 ou RRD</t>
  </si>
  <si>
    <t>A</t>
  </si>
  <si>
    <t>A+B</t>
  </si>
  <si>
    <t>Rótulos de Linha</t>
  </si>
  <si>
    <t>Soma de RA0 ou RV - TUSD (kW)</t>
  </si>
  <si>
    <t>Soma de RA1 ou RRD - TUSD (kW)</t>
  </si>
  <si>
    <t>Soma de RA0 ou RV - TUSD (MWh)</t>
  </si>
  <si>
    <t>Soma de RA1 ou RRD - TUSD (MWh)</t>
  </si>
  <si>
    <t>Soma de RA0 ou RV - TE (MWh)</t>
  </si>
  <si>
    <t>Soma de RA1 ou RRD - TE (MWh)</t>
  </si>
  <si>
    <t>Soma de Variação TUSD</t>
  </si>
  <si>
    <t>Soma de Variação TE</t>
  </si>
  <si>
    <t>Soma de Variação</t>
  </si>
  <si>
    <t>SUBSIDIO kW - TV</t>
  </si>
  <si>
    <t>SUBSIDIO MWh - TV</t>
  </si>
  <si>
    <t>SUBSIDIO kW - TN</t>
  </si>
  <si>
    <t>SUBSIDIO MWh - TN</t>
  </si>
  <si>
    <t>TIPO</t>
  </si>
  <si>
    <t>SUBSIDIO BAIXA RENDA</t>
  </si>
  <si>
    <t>SUBSIDIO RURAL</t>
  </si>
  <si>
    <t>SUBSIDIO IRRIGANTE/AQUICULTOR</t>
  </si>
  <si>
    <t>SUBSIDIO ÁGUA, ESGOTO E SANEAMENTO</t>
  </si>
  <si>
    <t>R$ (TV)</t>
  </si>
  <si>
    <t>R$ (TN)</t>
  </si>
  <si>
    <t>SUBSIDIO CARGA FONTE INCENTIVADA</t>
  </si>
  <si>
    <t>SUBSIDIO GERAÇÃO FONTE INCENTIVADA</t>
  </si>
  <si>
    <t>SUBSIDIO DISTRIBUIÇÃO</t>
  </si>
  <si>
    <t>AJUSTE ABRACE</t>
  </si>
  <si>
    <t>(vazio)</t>
  </si>
  <si>
    <t>Soma de SUBSIDIO kW - TV</t>
  </si>
  <si>
    <t>Soma de SUBSIDIO MWh - TV</t>
  </si>
  <si>
    <t>Soma de SUBSIDIO kW - TN</t>
  </si>
  <si>
    <t>Soma de SUBSIDIO MWh - TN</t>
  </si>
  <si>
    <t>Soma de TOTAL TV</t>
  </si>
  <si>
    <t>Soma de TOTAL TN</t>
  </si>
  <si>
    <t>Azul1Serviço públicoÁgua, esgoto e saneamentoPlanilha CUSTOA4</t>
  </si>
  <si>
    <t>2021</t>
  </si>
  <si>
    <t>Planilha CUSTO</t>
  </si>
  <si>
    <t>Verde1Serviço públicoÁgua, esgoto e saneamentoPlanilha CUSTOA4</t>
  </si>
  <si>
    <t>Convencional 1Serviço públicoÁgua, esgoto e saneamentoPlanilha CUSTOA4</t>
  </si>
  <si>
    <t xml:space="preserve">Convencional </t>
  </si>
  <si>
    <t>Convencional1Serviço públicoÁgua, esgoto e saneamentoPlanilha CUSTOB3</t>
  </si>
  <si>
    <t>Branca1Serviço públicoÁgua, esgoto e saneamentoPlanilha CUSTOB3</t>
  </si>
  <si>
    <t>Convencional1RuralCooperativa de eletrificação ruralPlanilha CUSTOB2</t>
  </si>
  <si>
    <t>Branca 1RuralCooperativa de eletrificação ruralPlanilha CUSTOB2</t>
  </si>
  <si>
    <t xml:space="preserve">Branca </t>
  </si>
  <si>
    <t>Convencional1RuralNão se aplicaRuralB2</t>
  </si>
  <si>
    <t>Azul1RuralNão se aplicaPlanilha CustoA4</t>
  </si>
  <si>
    <t>Planilha Custo</t>
  </si>
  <si>
    <t>Verde1RuralNão se aplicaPlanilha CustoA4</t>
  </si>
  <si>
    <t>Convencional1RuralNão se aplicaPlanilha CustoA4</t>
  </si>
  <si>
    <t>Branca1RuralNão se aplicaRuralB2</t>
  </si>
  <si>
    <t>Convencional1RuralServiço público de irrigação ruralPlanilha CUSTOB2</t>
  </si>
  <si>
    <t>Branca 1RuralServiço público de irrigação ruralPlanilha CUSTOB2</t>
  </si>
  <si>
    <t>Chave</t>
  </si>
  <si>
    <t>Cod</t>
  </si>
  <si>
    <t>idagente</t>
  </si>
  <si>
    <t>IdUC</t>
  </si>
  <si>
    <t>SubClasse</t>
  </si>
  <si>
    <t>D0</t>
  </si>
  <si>
    <t>D1</t>
  </si>
  <si>
    <t>D2</t>
  </si>
  <si>
    <t>D3</t>
  </si>
  <si>
    <t>D4</t>
  </si>
  <si>
    <t>D5</t>
  </si>
  <si>
    <t>D6</t>
  </si>
  <si>
    <t>D7</t>
  </si>
  <si>
    <t>D8</t>
  </si>
  <si>
    <t>Passo_Atual</t>
  </si>
  <si>
    <t>TUSD kW R$</t>
  </si>
  <si>
    <t>TUSD MW R$</t>
  </si>
  <si>
    <t>TE MWh R$</t>
  </si>
  <si>
    <t>SUB TUSD kW R$</t>
  </si>
  <si>
    <t>SUB TUSD MW R$</t>
  </si>
  <si>
    <t>SUB TE MWh R$</t>
  </si>
  <si>
    <t>TABELA CONSISTÊNCIA</t>
  </si>
  <si>
    <t>A1</t>
  </si>
  <si>
    <t>TUSD kW COMP. PR. R$</t>
  </si>
  <si>
    <t>TUSD MWh COMP. PR. R$</t>
  </si>
  <si>
    <t>TE MWh COMP. PR. R$</t>
  </si>
  <si>
    <t>TUSD kW SUB. PR. R$</t>
  </si>
  <si>
    <t>TUSD MWh SUB. PR. R$</t>
  </si>
  <si>
    <t>TE MWh SUB. PR. R$</t>
  </si>
  <si>
    <t>TUSD kW EFT. PR. R$</t>
  </si>
  <si>
    <t>TUSD MWh EFT. PR. R$</t>
  </si>
  <si>
    <t>TE MWh EFT. PR. R$</t>
  </si>
  <si>
    <t>TUSD kW EFT. VR. R$</t>
  </si>
  <si>
    <t>TUSD MWh EFT. VR. R$</t>
  </si>
  <si>
    <t>TE MWh EFT. VR. R$</t>
  </si>
  <si>
    <t>TUSD kW SUB. VR. R$</t>
  </si>
  <si>
    <t>TUSD+TE MWh SUB. VR. R$</t>
  </si>
  <si>
    <t>EFT. TUSD kW</t>
  </si>
  <si>
    <t>EFT. TUSD MWh</t>
  </si>
  <si>
    <t>EFT. TE MWh</t>
  </si>
  <si>
    <t>SUB. TUSD kW</t>
  </si>
  <si>
    <t>SUB. TUSD+TE MWh</t>
  </si>
  <si>
    <t>PLANILHA</t>
  </si>
  <si>
    <t>ERRO DETECTADO</t>
  </si>
  <si>
    <t>TABELA 1 - TARIFAS DE APLICAÇÃO E BASE ECONÔMICA PARA O GRUPO A</t>
  </si>
  <si>
    <t>ACESSANTE</t>
  </si>
  <si>
    <t>TARIFAS DE APLICAÇÃO</t>
  </si>
  <si>
    <t>R$/kW</t>
  </si>
  <si>
    <t>R$/MWh</t>
  </si>
  <si>
    <t>P</t>
  </si>
  <si>
    <t>FP</t>
  </si>
  <si>
    <t>Azul APE</t>
  </si>
  <si>
    <t>NA</t>
  </si>
  <si>
    <t>Verde APE</t>
  </si>
  <si>
    <t>TABELA 2 - TARIFAS DE APLICAÇÃO E BASE ECONÔMICA PARA O GRUPO B</t>
  </si>
  <si>
    <t>BRANCA</t>
  </si>
  <si>
    <t>RESIDENCIAL</t>
  </si>
  <si>
    <t>INT</t>
  </si>
  <si>
    <t>PRÉ-PAGAMENTO</t>
  </si>
  <si>
    <t>BAIXA RENDA</t>
  </si>
  <si>
    <t>CONVENCIONAL</t>
  </si>
  <si>
    <t>RURAL</t>
  </si>
  <si>
    <t>NÃO SE APLICA</t>
  </si>
  <si>
    <t>COOPERATIVA DE ELETRIFICAÇÃO RURAL</t>
  </si>
  <si>
    <t>SERVIÇO PÚBLICO DE IRRIGAÇÃO RURAL</t>
  </si>
  <si>
    <t>ILUMINAÇÃO PÚBLICA</t>
  </si>
  <si>
    <t>ILUMINAÇÃO PÚBLICA – B4A</t>
  </si>
  <si>
    <t>ILUMINAÇÃO PÚBLICA – B4B</t>
  </si>
  <si>
    <t>GERAÇÃO</t>
  </si>
  <si>
    <t>TUSD BASE FINANCEIRA NOVA</t>
  </si>
  <si>
    <t>TUSD BASE FINANCEIRA VIGENTE</t>
  </si>
  <si>
    <t>A4Azul</t>
  </si>
  <si>
    <t>A4AzulNão se aplica</t>
  </si>
  <si>
    <t>A4AzulNão se aplicaNão se aplica</t>
  </si>
  <si>
    <t>A4AzulNão se aplicaNão se aplicaNão se aplica</t>
  </si>
  <si>
    <t>A4AzulNão se aplicaNão se aplicaNão se aplicaNão se aplica</t>
  </si>
  <si>
    <t>A4AzulNão se aplicaNão se aplicaNão se aplicaNão se aplicaDP</t>
  </si>
  <si>
    <t>A4AzulNão se aplicaNão se aplicaNão se aplicaNão se aplicaDFP</t>
  </si>
  <si>
    <t>A4AzulNão se aplicaNão se aplicaNão se aplicaNão se aplicaE</t>
  </si>
  <si>
    <t>A4AzulNão se aplicaNão se aplicaAPE</t>
  </si>
  <si>
    <t>A4AzulNão se aplicaNão se aplicaAPENão se aplica</t>
  </si>
  <si>
    <t>A4AzulNão se aplicaNão se aplicaAPENão se aplicaE</t>
  </si>
  <si>
    <t>A4Geração</t>
  </si>
  <si>
    <t>A4GeraçãoNão se aplica</t>
  </si>
  <si>
    <t>A4GeraçãoNão se aplicaNão se aplica</t>
  </si>
  <si>
    <t>A4GeraçãoNão se aplicaNão se aplicaNão se aplica</t>
  </si>
  <si>
    <t>A4GeraçãoNão se aplicaNão se aplicaNão se aplicaNão se aplica</t>
  </si>
  <si>
    <t>A4GeraçãoNão se aplicaNão se aplicaNão se aplicaNão se aplicaD</t>
  </si>
  <si>
    <t>A4Verde</t>
  </si>
  <si>
    <t>A4VerdeNão se aplica</t>
  </si>
  <si>
    <t>A4VerdeNão se aplicaNão se aplica</t>
  </si>
  <si>
    <t>A4VerdeNão se aplicaNão se aplicaNão se aplica</t>
  </si>
  <si>
    <t>A4VerdeNão se aplicaNão se aplicaNão se aplicaNão se aplica</t>
  </si>
  <si>
    <t>A4VerdeNão se aplicaNão se aplicaNão se aplicaNão se aplicaD</t>
  </si>
  <si>
    <t>A4VerdeNão se aplicaNão se aplicaNão se aplicaNão se aplicaEP</t>
  </si>
  <si>
    <t>A4VerdeNão se aplicaNão se aplicaNão se aplicaNão se aplicaEFP</t>
  </si>
  <si>
    <t>A4VerdeNão se aplicaNão se aplicaAPE</t>
  </si>
  <si>
    <t>A4VerdeNão se aplicaNão se aplicaAPENão se aplica</t>
  </si>
  <si>
    <t>A4VerdeNão se aplicaNão se aplicaAPENão se aplicaEP</t>
  </si>
  <si>
    <t>A4VerdeNão se aplicaNão se aplicaAPENão se aplicaEFP</t>
  </si>
  <si>
    <t>BGeração</t>
  </si>
  <si>
    <t>BGeraçãoNão se aplica</t>
  </si>
  <si>
    <t>BGeraçãoNão se aplicaNão se aplica</t>
  </si>
  <si>
    <t>BGeraçãoNão se aplicaNão se aplicaTIPO 01</t>
  </si>
  <si>
    <t>BGeraçãoNão se aplicaNão se aplicaTIPO 01Não se aplica</t>
  </si>
  <si>
    <t>BGeraçãoNão se aplicaNão se aplicaTIPO 01Não se aplicaD</t>
  </si>
  <si>
    <t>BGeraçãoNão se aplicaNão se aplicaTIPO 02</t>
  </si>
  <si>
    <t>BGeraçãoNão se aplicaNão se aplicaTIPO 02Não se aplica</t>
  </si>
  <si>
    <t>BGeraçãoNão se aplicaNão se aplicaTIPO 02Não se aplicaD</t>
  </si>
  <si>
    <t>B1Branca</t>
  </si>
  <si>
    <t>B1BrancaResidencial</t>
  </si>
  <si>
    <t>B1BrancaResidencialResidencial</t>
  </si>
  <si>
    <t>B1BrancaResidencialResidencialNão se aplica</t>
  </si>
  <si>
    <t>B1BrancaResidencialResidencialNão se aplicaNão se aplica</t>
  </si>
  <si>
    <t>B1BrancaResidencialResidencialNão se aplicaNão se aplicaEP</t>
  </si>
  <si>
    <t>B1BrancaResidencialResidencialNão se aplicaNão se aplicaEINT</t>
  </si>
  <si>
    <t>B1BrancaResidencialResidencialNão se aplicaNão se aplicaEFP</t>
  </si>
  <si>
    <t>B1Convencional</t>
  </si>
  <si>
    <t>B1ConvencionalResidencial</t>
  </si>
  <si>
    <t>B1ConvencionalResidencialResidencial</t>
  </si>
  <si>
    <t>B1ConvencionalResidencialResidencialNão se aplica</t>
  </si>
  <si>
    <t>B1ConvencionalResidencialResidencialNão se aplicaNão se aplica</t>
  </si>
  <si>
    <t>B1ConvencionalResidencialResidencialNão se aplicaNão se aplicaE</t>
  </si>
  <si>
    <t>B1ConvencionalResidencialResidencial baixa renda – faixa 01</t>
  </si>
  <si>
    <t>B1ConvencionalResidencialResidencial baixa renda – faixa 01Não se aplica</t>
  </si>
  <si>
    <t>B1ConvencionalResidencialResidencial baixa renda – faixa 01Não se aplicaNão se aplica</t>
  </si>
  <si>
    <t>B1ConvencionalResidencialResidencial baixa renda – faixa 01Não se aplicaNão se aplicaE</t>
  </si>
  <si>
    <t>B1ConvencionalResidencialResidencial baixa renda – faixa 02</t>
  </si>
  <si>
    <t>B1ConvencionalResidencialResidencial baixa renda – faixa 02Não se aplica</t>
  </si>
  <si>
    <t>B1ConvencionalResidencialResidencial baixa renda – faixa 02Não se aplicaNão se aplica</t>
  </si>
  <si>
    <t>B1ConvencionalResidencialResidencial baixa renda – faixa 02Não se aplicaNão se aplicaE</t>
  </si>
  <si>
    <t>B1ConvencionalResidencialResidencial baixa renda – faixa 03</t>
  </si>
  <si>
    <t>B1ConvencionalResidencialResidencial baixa renda – faixa 03Não se aplica</t>
  </si>
  <si>
    <t>B1ConvencionalResidencialResidencial baixa renda – faixa 03Não se aplicaNão se aplica</t>
  </si>
  <si>
    <t>B1ConvencionalResidencialResidencial baixa renda – faixa 03Não se aplicaNão se aplicaE</t>
  </si>
  <si>
    <t>B1ConvencionalResidencialResidencial baixa renda – faixa 04</t>
  </si>
  <si>
    <t>B1ConvencionalResidencialResidencial baixa renda – faixa 04Não se aplica</t>
  </si>
  <si>
    <t>B1ConvencionalResidencialResidencial baixa renda – faixa 04Não se aplicaNão se aplica</t>
  </si>
  <si>
    <t>B1ConvencionalResidencialResidencial baixa renda – faixa 04Não se aplicaNão se aplicaE</t>
  </si>
  <si>
    <t>B1Convencional pré-pagamento</t>
  </si>
  <si>
    <t>B1Convencional pré-pagamentoResidencial</t>
  </si>
  <si>
    <t>B1Convencional pré-pagamentoResidencialResidencial</t>
  </si>
  <si>
    <t>B1Convencional pré-pagamentoResidencialResidencialNão se aplica</t>
  </si>
  <si>
    <t>B1Convencional pré-pagamentoResidencialResidencialNão se aplicaNão se aplica</t>
  </si>
  <si>
    <t>B1Convencional pré-pagamentoResidencialResidencialNão se aplicaNão se aplicaE</t>
  </si>
  <si>
    <t>B1Convencional pré-pagamentoResidencialResidencial baixa renda – faixa 01</t>
  </si>
  <si>
    <t>B1Convencional pré-pagamentoResidencialResidencial baixa renda – faixa 01Não se aplica</t>
  </si>
  <si>
    <t>B1Convencional pré-pagamentoResidencialResidencial baixa renda – faixa 01Não se aplicaNão se aplica</t>
  </si>
  <si>
    <t>B1Convencional pré-pagamentoResidencialResidencial baixa renda – faixa 01Não se aplicaNão se aplicaE</t>
  </si>
  <si>
    <t>B1Convencional pré-pagamentoResidencialResidencial baixa renda – faixa 02</t>
  </si>
  <si>
    <t>B1Convencional pré-pagamentoResidencialResidencial baixa renda – faixa 02Não se aplica</t>
  </si>
  <si>
    <t>B1Convencional pré-pagamentoResidencialResidencial baixa renda – faixa 02Não se aplicaNão se aplica</t>
  </si>
  <si>
    <t>B1Convencional pré-pagamentoResidencialResidencial baixa renda – faixa 02Não se aplicaNão se aplicaE</t>
  </si>
  <si>
    <t>B1Convencional pré-pagamentoResidencialResidencial baixa renda – faixa 03</t>
  </si>
  <si>
    <t>B1Convencional pré-pagamentoResidencialResidencial baixa renda – faixa 03Não se aplica</t>
  </si>
  <si>
    <t>B1Convencional pré-pagamentoResidencialResidencial baixa renda – faixa 03Não se aplicaNão se aplica</t>
  </si>
  <si>
    <t>B1Convencional pré-pagamentoResidencialResidencial baixa renda – faixa 03Não se aplicaNão se aplicaE</t>
  </si>
  <si>
    <t>B1Convencional pré-pagamentoResidencialResidencial baixa renda – faixa 04</t>
  </si>
  <si>
    <t>B1Convencional pré-pagamentoResidencialResidencial baixa renda – faixa 04Não se aplica</t>
  </si>
  <si>
    <t>B1Convencional pré-pagamentoResidencialResidencial baixa renda – faixa 04Não se aplicaNão se aplica</t>
  </si>
  <si>
    <t>B1Convencional pré-pagamentoResidencialResidencial baixa renda – faixa 04Não se aplicaNão se aplicaE</t>
  </si>
  <si>
    <t>B2Branca</t>
  </si>
  <si>
    <t>B2BrancaRural</t>
  </si>
  <si>
    <t>B2BrancaRuralNão se aplica</t>
  </si>
  <si>
    <t>B2BrancaRuralNão se aplicaNão se aplica</t>
  </si>
  <si>
    <t>B2BrancaRuralNão se aplicaNão se aplicaNão se aplica</t>
  </si>
  <si>
    <t>B2BrancaRuralNão se aplicaNão se aplicaNão se aplicaEP</t>
  </si>
  <si>
    <t>B2BrancaRuralNão se aplicaNão se aplicaNão se aplicaEINT</t>
  </si>
  <si>
    <t>B2BrancaRuralNão se aplicaNão se aplicaNão se aplicaEFP</t>
  </si>
  <si>
    <t>B2Convencional</t>
  </si>
  <si>
    <t>B2ConvencionalRural</t>
  </si>
  <si>
    <t>B2ConvencionalRuralNão se aplica</t>
  </si>
  <si>
    <t>B2ConvencionalRuralNão se aplicaNão se aplica</t>
  </si>
  <si>
    <t>B2ConvencionalRuralNão se aplicaNão se aplicaNão se aplica</t>
  </si>
  <si>
    <t>B2ConvencionalRuralNão se aplicaNão se aplicaNão se aplicaE</t>
  </si>
  <si>
    <t>B2BrancaRuralCooperativa de eletrificação rural</t>
  </si>
  <si>
    <t>B2BrancaRuralCooperativa de eletrificação ruralNão se aplica</t>
  </si>
  <si>
    <t>B2BrancaRuralCooperativa de eletrificação ruralNão se aplicaNão se aplica</t>
  </si>
  <si>
    <t>B2BrancaRuralCooperativa de eletrificação ruralNão se aplicaNão se aplicaEP</t>
  </si>
  <si>
    <t>B2BrancaRuralCooperativa de eletrificação ruralNão se aplicaNão se aplicaEINT</t>
  </si>
  <si>
    <t>B2BrancaRuralCooperativa de eletrificação ruralNão se aplicaNão se aplicaEFP</t>
  </si>
  <si>
    <t>B2ConvencionalRuralCooperativa de eletrificação rural</t>
  </si>
  <si>
    <t>B2ConvencionalRuralCooperativa de eletrificação ruralNão se aplica</t>
  </si>
  <si>
    <t>B2ConvencionalRuralCooperativa de eletrificação ruralNão se aplicaNão se aplica</t>
  </si>
  <si>
    <t>B2ConvencionalRuralCooperativa de eletrificação ruralNão se aplicaNão se aplicaE</t>
  </si>
  <si>
    <t>B2BrancaRuralServiço público de irrigação rural</t>
  </si>
  <si>
    <t>B2BrancaRuralServiço público de irrigação ruralNão se aplica</t>
  </si>
  <si>
    <t>B2BrancaRuralServiço público de irrigação ruralNão se aplicaNão se aplica</t>
  </si>
  <si>
    <t>B2BrancaRuralServiço público de irrigação ruralNão se aplicaNão se aplicaEP</t>
  </si>
  <si>
    <t>B2BrancaRuralServiço público de irrigação ruralNão se aplicaNão se aplicaEINT</t>
  </si>
  <si>
    <t>B2BrancaRuralServiço público de irrigação ruralNão se aplicaNão se aplicaEFP</t>
  </si>
  <si>
    <t>B2ConvencionalRuralServiço público de irrigação rural</t>
  </si>
  <si>
    <t>B2ConvencionalRuralServiço público de irrigação ruralNão se aplica</t>
  </si>
  <si>
    <t>B2ConvencionalRuralServiço público de irrigação ruralNão se aplicaNão se aplica</t>
  </si>
  <si>
    <t>B2ConvencionalRuralServiço público de irrigação ruralNão se aplicaNão se aplicaE</t>
  </si>
  <si>
    <t>B2Convencional pré-pagamento</t>
  </si>
  <si>
    <t>B2Convencional pré-pagamentoRural</t>
  </si>
  <si>
    <t>B2Convencional pré-pagamentoRuralNão se aplica</t>
  </si>
  <si>
    <t>B2Convencional pré-pagamentoRuralNão se aplicaNão se aplica</t>
  </si>
  <si>
    <t>B2Convencional pré-pagamentoRuralNão se aplicaNão se aplicaNão se aplica</t>
  </si>
  <si>
    <t>B2Convencional pré-pagamentoRuralNão se aplicaNão se aplicaNão se aplicaE</t>
  </si>
  <si>
    <t>B2Convencional pré-pagamentoRuralCooperativa de eletrificação rural</t>
  </si>
  <si>
    <t>B2Convencional pré-pagamentoRuralCooperativa de eletrificação ruralNão se aplica</t>
  </si>
  <si>
    <t>B2Convencional pré-pagamentoRuralCooperativa de eletrificação ruralNão se aplicaNão se aplica</t>
  </si>
  <si>
    <t>B2Convencional pré-pagamentoRuralCooperativa de eletrificação ruralNão se aplicaNão se aplicaE</t>
  </si>
  <si>
    <t>B2Convencional pré-pagamentoRuralServiço público de irrigação rural</t>
  </si>
  <si>
    <t>B2Convencional pré-pagamentoRuralServiço público de irrigação ruralNão se aplica</t>
  </si>
  <si>
    <t>B2Convencional pré-pagamentoRuralServiço público de irrigação ruralNão se aplicaNão se aplica</t>
  </si>
  <si>
    <t>B2Convencional pré-pagamentoRuralServiço público de irrigação ruralNão se aplicaNão se aplicaE</t>
  </si>
  <si>
    <t>B3Branca</t>
  </si>
  <si>
    <t>B3BrancaNão se aplica</t>
  </si>
  <si>
    <t>B3BrancaNão se aplicaNão se aplica</t>
  </si>
  <si>
    <t>B3BrancaNão se aplicaNão se aplicaNão se aplica</t>
  </si>
  <si>
    <t>B3BrancaNão se aplicaNão se aplicaNão se aplicaNão se aplica</t>
  </si>
  <si>
    <t>B3BrancaNão se aplicaNão se aplicaNão se aplicaNão se aplicaEP</t>
  </si>
  <si>
    <t>B3BrancaNão se aplicaNão se aplicaNão se aplicaNão se aplicaEINT</t>
  </si>
  <si>
    <t>B3BrancaNão se aplicaNão se aplicaNão se aplicaNão se aplicaEFP</t>
  </si>
  <si>
    <t>B3Convencional</t>
  </si>
  <si>
    <t>B3ConvencionalNão se aplica</t>
  </si>
  <si>
    <t>B3ConvencionalNão se aplicaNão se aplica</t>
  </si>
  <si>
    <t>B3ConvencionalNão se aplicaNão se aplicaNão se aplica</t>
  </si>
  <si>
    <t>B3ConvencionalNão se aplicaNão se aplicaNão se aplicaNão se aplica</t>
  </si>
  <si>
    <t>B3ConvencionalNão se aplicaNão se aplicaNão se aplicaNão se aplicaE</t>
  </si>
  <si>
    <t>B3Convencional pré-pagamento</t>
  </si>
  <si>
    <t>B3Convencional pré-pagamentoNão se aplica</t>
  </si>
  <si>
    <t>B3Convencional pré-pagamentoNão se aplicaNão se aplica</t>
  </si>
  <si>
    <t>B3Convencional pré-pagamentoNão se aplicaNão se aplicaNão se aplica</t>
  </si>
  <si>
    <t>B3Convencional pré-pagamentoNão se aplicaNão se aplicaNão se aplicaNão se aplica</t>
  </si>
  <si>
    <t>B3Convencional pré-pagamentoNão se aplicaNão se aplicaNão se aplicaNão se aplicaE</t>
  </si>
  <si>
    <t>B4Convencional</t>
  </si>
  <si>
    <t>B4ConvencionalIluminação pública</t>
  </si>
  <si>
    <t>B4ConvencionalIluminação públicaIluminação pública – B4a</t>
  </si>
  <si>
    <t>B4ConvencionalIluminação públicaIluminação pública – B4aNão se aplica</t>
  </si>
  <si>
    <t>B4ConvencionalIluminação públicaIluminação pública – B4aNão se aplicaNão se aplica</t>
  </si>
  <si>
    <t>B4ConvencionalIluminação públicaIluminação pública – B4aNão se aplicaNão se aplicaE</t>
  </si>
  <si>
    <t>B4ConvencionalIluminação públicaIluminação pública – B4b</t>
  </si>
  <si>
    <t>B4ConvencionalIluminação públicaIluminação pública – B4bNão se aplica</t>
  </si>
  <si>
    <t>B4ConvencionalIluminação públicaIluminação pública – B4bNão se aplicaNão se aplica</t>
  </si>
  <si>
    <t>B4ConvencionalIluminação públicaIluminação pública – B4bNão se aplicaNão se aplicaE</t>
  </si>
  <si>
    <t>TE BASE FINANCEIRA NOVA</t>
  </si>
  <si>
    <t>TE BASE FINANCEIRA VIGENTE</t>
  </si>
  <si>
    <t>A4Energia horária</t>
  </si>
  <si>
    <t>A4Energia horáriaNão se aplica</t>
  </si>
  <si>
    <t>A4Energia horáriaNão se aplicaNão se aplica</t>
  </si>
  <si>
    <t>A4Energia horáriaNão se aplicaNão se aplicaNão se aplica</t>
  </si>
  <si>
    <t>A4Energia horáriaNão se aplicaNão se aplicaNão se aplicaNão se aplica</t>
  </si>
  <si>
    <t>A4Energia horáriaNão se aplicaNão se aplicaNão se aplicaNão se aplicaEP</t>
  </si>
  <si>
    <t>A4Energia horáriaNão se aplicaNão se aplicaNão se aplicaNão se aplicaEFP</t>
  </si>
  <si>
    <t>A4Energia convencional</t>
  </si>
  <si>
    <t>A4Energia convencionalNão se aplica</t>
  </si>
  <si>
    <t>A4Energia convencionalNão se aplicaNão se aplica</t>
  </si>
  <si>
    <t>A4Energia convencionalNão se aplicaNão se aplicaNão se aplica</t>
  </si>
  <si>
    <t>A4Energia convencionalNão se aplicaNão se aplicaNão se aplicaNão se aplica</t>
  </si>
  <si>
    <t>A4Energia convencionalNão se aplicaNão se aplicaNão se aplicaNão se aplicaE</t>
  </si>
  <si>
    <t>B1Energia horária</t>
  </si>
  <si>
    <t>B1Energia horáriaResidencial</t>
  </si>
  <si>
    <t>B1Energia horáriaResidencialResidencial</t>
  </si>
  <si>
    <t>B1Energia horáriaResidencialResidencialNão se aplica</t>
  </si>
  <si>
    <t>B1Energia horáriaResidencialResidencialNão se aplicaNão se aplica</t>
  </si>
  <si>
    <t>B1Energia horáriaResidencialResidencialNão se aplicaNão se aplicaEP</t>
  </si>
  <si>
    <t>B1Energia horáriaResidencialResidencialNão se aplicaNão se aplicaEINT</t>
  </si>
  <si>
    <t>B1Energia horáriaResidencialResidencialNão se aplicaNão se aplicaEFP</t>
  </si>
  <si>
    <t>B1Energia convencional</t>
  </si>
  <si>
    <t>B1Energia convencionalResidencial</t>
  </si>
  <si>
    <t>B1Energia convencionalResidencialResidencial</t>
  </si>
  <si>
    <t>B1Energia convencionalResidencialResidencialNão se aplica</t>
  </si>
  <si>
    <t>B1Energia convencionalResidencialResidencialNão se aplicaNão se aplica</t>
  </si>
  <si>
    <t>B1Energia convencionalResidencialResidencialNão se aplicaNão se aplicaE</t>
  </si>
  <si>
    <t>B1Energia convencionalResidencialResidencial baixa renda – faixa 01</t>
  </si>
  <si>
    <t>B1Energia convencionalResidencialResidencial baixa renda – faixa 01Não se aplica</t>
  </si>
  <si>
    <t>B1Energia convencionalResidencialResidencial baixa renda – faixa 01Não se aplicaNão se aplica</t>
  </si>
  <si>
    <t>B1Energia convencionalResidencialResidencial baixa renda – faixa 01Não se aplicaNão se aplicaE</t>
  </si>
  <si>
    <t>B1Energia convencionalResidencialResidencial baixa renda – faixa 02</t>
  </si>
  <si>
    <t>B1Energia convencionalResidencialResidencial baixa renda – faixa 02Não se aplica</t>
  </si>
  <si>
    <t>B1Energia convencionalResidencialResidencial baixa renda – faixa 02Não se aplicaNão se aplica</t>
  </si>
  <si>
    <t>B1Energia convencionalResidencialResidencial baixa renda – faixa 02Não se aplicaNão se aplicaE</t>
  </si>
  <si>
    <t>B1Energia convencionalResidencialResidencial baixa renda – faixa 03</t>
  </si>
  <si>
    <t>B1Energia convencionalResidencialResidencial baixa renda – faixa 03Não se aplica</t>
  </si>
  <si>
    <t>B1Energia convencionalResidencialResidencial baixa renda – faixa 03Não se aplicaNão se aplica</t>
  </si>
  <si>
    <t>B1Energia convencionalResidencialResidencial baixa renda – faixa 03Não se aplicaNão se aplicaE</t>
  </si>
  <si>
    <t>B1Energia convencionalResidencialResidencial baixa renda – faixa 04</t>
  </si>
  <si>
    <t>B1Energia convencionalResidencialResidencial baixa renda – faixa 04Não se aplica</t>
  </si>
  <si>
    <t>B1Energia convencionalResidencialResidencial baixa renda – faixa 04Não se aplicaNão se aplica</t>
  </si>
  <si>
    <t>B1Energia convencionalResidencialResidencial baixa renda – faixa 04Não se aplicaNão se aplicaE</t>
  </si>
  <si>
    <t>B1Energia convencional pré-pagamento</t>
  </si>
  <si>
    <t>B1Energia convencional pré-pagamentoResidencial</t>
  </si>
  <si>
    <t>B1Energia convencional pré-pagamentoResidencialResidencial</t>
  </si>
  <si>
    <t>B1Energia convencional pré-pagamentoResidencialResidencialNão se aplica</t>
  </si>
  <si>
    <t>B1Energia convencional pré-pagamentoResidencialResidencialNão se aplicaNão se aplica</t>
  </si>
  <si>
    <t>B1Energia convencional pré-pagamentoResidencialResidencialNão se aplicaNão se aplicaE</t>
  </si>
  <si>
    <t>B1Energia convencional pré-pagamentoResidencialResidencial baixa renda – faixa 01</t>
  </si>
  <si>
    <t>B1Energia convencional pré-pagamentoResidencialResidencial baixa renda – faixa 01Não se aplica</t>
  </si>
  <si>
    <t>B1Energia convencional pré-pagamentoResidencialResidencial baixa renda – faixa 01Não se aplicaNão se aplica</t>
  </si>
  <si>
    <t>B1Energia convencional pré-pagamentoResidencialResidencial baixa renda – faixa 01Não se aplicaNão se aplicaE</t>
  </si>
  <si>
    <t>B1Energia convencional pré-pagamentoResidencialResidencial baixa renda – faixa 02</t>
  </si>
  <si>
    <t>B1Energia convencional pré-pagamentoResidencialResidencial baixa renda – faixa 02Não se aplica</t>
  </si>
  <si>
    <t>B1Energia convencional pré-pagamentoResidencialResidencial baixa renda – faixa 02Não se aplicaNão se aplica</t>
  </si>
  <si>
    <t>B1Energia convencional pré-pagamentoResidencialResidencial baixa renda – faixa 02Não se aplicaNão se aplicaE</t>
  </si>
  <si>
    <t>B1Energia convencional pré-pagamentoResidencialResidencial baixa renda – faixa 03</t>
  </si>
  <si>
    <t>B1Energia convencional pré-pagamentoResidencialResidencial baixa renda – faixa 03Não se aplica</t>
  </si>
  <si>
    <t>B1Energia convencional pré-pagamentoResidencialResidencial baixa renda – faixa 03Não se aplicaNão se aplica</t>
  </si>
  <si>
    <t>B1Energia convencional pré-pagamentoResidencialResidencial baixa renda – faixa 03Não se aplicaNão se aplicaE</t>
  </si>
  <si>
    <t>B1Energia convencional pré-pagamentoResidencialResidencial baixa renda – faixa 04</t>
  </si>
  <si>
    <t>B1Energia convencional pré-pagamentoResidencialResidencial baixa renda – faixa 04Não se aplica</t>
  </si>
  <si>
    <t>B1Energia convencional pré-pagamentoResidencialResidencial baixa renda – faixa 04Não se aplicaNão se aplica</t>
  </si>
  <si>
    <t>B1Energia convencional pré-pagamentoResidencialResidencial baixa renda – faixa 04Não se aplicaNão se aplicaE</t>
  </si>
  <si>
    <t>B2Energia horária</t>
  </si>
  <si>
    <t>B2Energia horáriaRural</t>
  </si>
  <si>
    <t>B2Energia horáriaRuralNão se aplica</t>
  </si>
  <si>
    <t>B2Energia horáriaRuralNão se aplicaNão se aplica</t>
  </si>
  <si>
    <t>B2Energia horáriaRuralNão se aplicaNão se aplicaNão se aplica</t>
  </si>
  <si>
    <t>B2Energia horáriaRuralNão se aplicaNão se aplicaNão se aplicaEP</t>
  </si>
  <si>
    <t>B2Energia horáriaRuralNão se aplicaNão se aplicaNão se aplicaEINT</t>
  </si>
  <si>
    <t>B2Energia horáriaRuralNão se aplicaNão se aplicaNão se aplicaEFP</t>
  </si>
  <si>
    <t>B2Energia convencional</t>
  </si>
  <si>
    <t>B2Energia convencionalRural</t>
  </si>
  <si>
    <t>B2Energia convencionalRuralNão se aplica</t>
  </si>
  <si>
    <t>B2Energia convencionalRuralNão se aplicaNão se aplica</t>
  </si>
  <si>
    <t>B2Energia convencionalRuralNão se aplicaNão se aplicaNão se aplica</t>
  </si>
  <si>
    <t>B2Energia convencionalRuralNão se aplicaNão se aplicaNão se aplicaE</t>
  </si>
  <si>
    <t>B2Energia horáriaRuralCooperativa de eletrificação rural</t>
  </si>
  <si>
    <t>B2Energia horáriaRuralCooperativa de eletrificação ruralNão se aplica</t>
  </si>
  <si>
    <t>B2Energia horáriaRuralCooperativa de eletrificação ruralNão se aplicaNão se aplica</t>
  </si>
  <si>
    <t>B2Energia horáriaRuralCooperativa de eletrificação ruralNão se aplicaNão se aplicaEP</t>
  </si>
  <si>
    <t>B2Energia horáriaRuralCooperativa de eletrificação ruralNão se aplicaNão se aplicaEINT</t>
  </si>
  <si>
    <t>B2Energia horáriaRuralCooperativa de eletrificação ruralNão se aplicaNão se aplicaEFP</t>
  </si>
  <si>
    <t>B2Energia convencionalRuralCooperativa de eletrificação rural</t>
  </si>
  <si>
    <t>B2Energia convencionalRuralCooperativa de eletrificação ruralNão se aplica</t>
  </si>
  <si>
    <t>B2Energia convencionalRuralCooperativa de eletrificação ruralNão se aplicaNão se aplica</t>
  </si>
  <si>
    <t>B2Energia convencionalRuralCooperativa de eletrificação ruralNão se aplicaNão se aplicaE</t>
  </si>
  <si>
    <t>B2Energia horáriaRuralServiço público de irrigação rural</t>
  </si>
  <si>
    <t>B2Energia horáriaRuralServiço público de irrigação ruralNão se aplica</t>
  </si>
  <si>
    <t>B2Energia horáriaRuralServiço público de irrigação ruralNão se aplicaNão se aplica</t>
  </si>
  <si>
    <t>B2Energia horáriaRuralServiço público de irrigação ruralNão se aplicaNão se aplicaEP</t>
  </si>
  <si>
    <t>B2Energia horáriaRuralServiço público de irrigação ruralNão se aplicaNão se aplicaEINT</t>
  </si>
  <si>
    <t>B2Energia horáriaRuralServiço público de irrigação ruralNão se aplicaNão se aplicaEFP</t>
  </si>
  <si>
    <t>B2Energia convencionalRuralServiço público de irrigação rural</t>
  </si>
  <si>
    <t>B2Energia convencionalRuralServiço público de irrigação ruralNão se aplica</t>
  </si>
  <si>
    <t>B2Energia convencionalRuralServiço público de irrigação ruralNão se aplicaNão se aplica</t>
  </si>
  <si>
    <t>B2Energia convencionalRuralServiço público de irrigação ruralNão se aplicaNão se aplicaE</t>
  </si>
  <si>
    <t>B2Energia convencional pré-pagamento</t>
  </si>
  <si>
    <t>B2Energia convencional pré-pagamentoRural</t>
  </si>
  <si>
    <t>B2Energia convencional pré-pagamentoRuralNão se aplica</t>
  </si>
  <si>
    <t>B2Energia convencional pré-pagamentoRuralNão se aplicaNão se aplica</t>
  </si>
  <si>
    <t>B2Energia convencional pré-pagamentoRuralNão se aplicaNão se aplicaNão se aplica</t>
  </si>
  <si>
    <t>B2Energia convencional pré-pagamentoRuralNão se aplicaNão se aplicaNão se aplicaE</t>
  </si>
  <si>
    <t>B2Energia convencional pré-pagamentoRuralCooperativa de eletrificação rural</t>
  </si>
  <si>
    <t>B2Energia convencional pré-pagamentoRuralCooperativa de eletrificação ruralNão se aplica</t>
  </si>
  <si>
    <t>B2Energia convencional pré-pagamentoRuralCooperativa de eletrificação ruralNão se aplicaNão se aplica</t>
  </si>
  <si>
    <t>B2Energia convencional pré-pagamentoRuralCooperativa de eletrificação ruralNão se aplicaNão se aplicaE</t>
  </si>
  <si>
    <t>B2Energia convencional pré-pagamentoRuralServiço público de irrigação rural</t>
  </si>
  <si>
    <t>B2Energia convencional pré-pagamentoRuralServiço público de irrigação ruralNão se aplica</t>
  </si>
  <si>
    <t>B2Energia convencional pré-pagamentoRuralServiço público de irrigação ruralNão se aplicaNão se aplica</t>
  </si>
  <si>
    <t>B2Energia convencional pré-pagamentoRuralServiço público de irrigação ruralNão se aplicaNão se aplicaE</t>
  </si>
  <si>
    <t>B3Energia horária</t>
  </si>
  <si>
    <t>B3Energia horáriaNão se aplica</t>
  </si>
  <si>
    <t>B3Energia horáriaNão se aplicaNão se aplica</t>
  </si>
  <si>
    <t>B3Energia horáriaNão se aplicaNão se aplicaNão se aplica</t>
  </si>
  <si>
    <t>B3Energia horáriaNão se aplicaNão se aplicaNão se aplicaNão se aplica</t>
  </si>
  <si>
    <t>B3Energia horáriaNão se aplicaNão se aplicaNão se aplicaNão se aplicaEP</t>
  </si>
  <si>
    <t>B3Energia horáriaNão se aplicaNão se aplicaNão se aplicaNão se aplicaEINT</t>
  </si>
  <si>
    <t>B3Energia horáriaNão se aplicaNão se aplicaNão se aplicaNão se aplicaEFP</t>
  </si>
  <si>
    <t>B3Energia convencional</t>
  </si>
  <si>
    <t>B3Energia convencionalNão se aplica</t>
  </si>
  <si>
    <t>B3Energia convencionalNão se aplicaNão se aplica</t>
  </si>
  <si>
    <t>B3Energia convencionalNão se aplicaNão se aplicaNão se aplica</t>
  </si>
  <si>
    <t>B3Energia convencionalNão se aplicaNão se aplicaNão se aplicaNão se aplica</t>
  </si>
  <si>
    <t>B3Energia convencionalNão se aplicaNão se aplicaNão se aplicaNão se aplicaE</t>
  </si>
  <si>
    <t>B3Energia convencional pré-pagamento</t>
  </si>
  <si>
    <t>B3Energia convencional pré-pagamentoNão se aplica</t>
  </si>
  <si>
    <t>B3Energia convencional pré-pagamentoNão se aplicaNão se aplica</t>
  </si>
  <si>
    <t>B3Energia convencional pré-pagamentoNão se aplicaNão se aplicaNão se aplica</t>
  </si>
  <si>
    <t>B3Energia convencional pré-pagamentoNão se aplicaNão se aplicaNão se aplicaNão se aplica</t>
  </si>
  <si>
    <t>B3Energia convencional pré-pagamentoNão se aplicaNão se aplicaNão se aplicaNão se aplicaE</t>
  </si>
  <si>
    <t>B4Energia convencional</t>
  </si>
  <si>
    <t>B4Energia convencionalIluminação pública</t>
  </si>
  <si>
    <t>B4Energia convencionalIluminação públicaIluminação pública – B4a</t>
  </si>
  <si>
    <t>B4Energia convencionalIluminação públicaIluminação pública – B4aNão se aplica</t>
  </si>
  <si>
    <t>B4Energia convencionalIluminação públicaIluminação pública – B4aNão se aplicaNão se aplica</t>
  </si>
  <si>
    <t>B4Energia convencionalIluminação públicaIluminação pública – B4aNão se aplicaNão se aplicaE</t>
  </si>
  <si>
    <t>B4Energia convencionalIluminação públicaIluminação pública – B4b</t>
  </si>
  <si>
    <t>B4Energia convencionalIluminação públicaIluminação pública – B4bNão se aplica</t>
  </si>
  <si>
    <t>B4Energia convencionalIluminação públicaIluminação pública – B4bNão se aplicaNão se aplica</t>
  </si>
  <si>
    <t>B4Energia convencionalIluminação públicaIluminação pública – B4bNão se aplicaNão se aplicaE</t>
  </si>
  <si>
    <t>CUSTOS REGULATÓRIOS</t>
  </si>
  <si>
    <t>TOTAL RA0/RV</t>
  </si>
  <si>
    <t>TOTAL RA1/RRD</t>
  </si>
  <si>
    <t>TOTAL SUBGRUPO A0</t>
  </si>
  <si>
    <t>TOTAL SUBGRUPO A1</t>
  </si>
  <si>
    <t>TOTAL ANÁLISE A0</t>
  </si>
  <si>
    <t>TOTAL ANÁLISE A1</t>
  </si>
  <si>
    <t>CHAVE</t>
  </si>
  <si>
    <t>VAR. GLOBAL</t>
  </si>
  <si>
    <t>VAR. SELEÇÃO SUBG.</t>
  </si>
  <si>
    <t>VAR. SELEÇÃO MDT</t>
  </si>
  <si>
    <t>FRC</t>
  </si>
  <si>
    <t>OPERAÇÃO E MANUTENÇÃO - O&amp;M (R$)</t>
  </si>
  <si>
    <t>TAXA DE DEPRECIAÇÃO - D (%)</t>
  </si>
  <si>
    <t>PARCELA B REVISÃO (R$)</t>
  </si>
  <si>
    <t>CARGA TRIBUTÁRIA (%)</t>
  </si>
  <si>
    <t>WACC ANTES DOS TRIBUTOS (%)</t>
  </si>
  <si>
    <t>VALOR</t>
  </si>
  <si>
    <t>DESCRIÇÃO PARÂMETROS</t>
  </si>
  <si>
    <t>TUSD FIO B - FORA PONTA (R$/kW)</t>
  </si>
  <si>
    <t>K</t>
  </si>
  <si>
    <t>B4b</t>
  </si>
  <si>
    <t>B4a</t>
  </si>
  <si>
    <t>B2-IRRIGANTE</t>
  </si>
  <si>
    <t>B2-RURAL</t>
  </si>
  <si>
    <t>SUBGRUPO TARIFÁRIO</t>
  </si>
  <si>
    <t>Total TUSD</t>
  </si>
  <si>
    <t>Total TE</t>
  </si>
  <si>
    <t>TUSD_CDE_COVID</t>
  </si>
  <si>
    <t>TUSD_TFSEE</t>
  </si>
  <si>
    <t>TUSD_PeD</t>
  </si>
  <si>
    <t>TUSD_ONS</t>
  </si>
  <si>
    <t>TUSD_CCC</t>
  </si>
  <si>
    <t>TUSD_CDE</t>
  </si>
  <si>
    <t>TUSD_PROINFA</t>
  </si>
  <si>
    <t>Liminar1</t>
  </si>
  <si>
    <t>TUSD_RB</t>
  </si>
  <si>
    <t>TUSD_FR</t>
  </si>
  <si>
    <t>TUSD_CCT</t>
  </si>
  <si>
    <t>TUSD_CCD</t>
  </si>
  <si>
    <t>TUSD_CUSD</t>
  </si>
  <si>
    <t>TUSDG_T</t>
  </si>
  <si>
    <t>TUSDG_ONS</t>
  </si>
  <si>
    <t>TUSD_FioB</t>
  </si>
  <si>
    <t>TUSD Subsidio</t>
  </si>
  <si>
    <t>TUSD Outros</t>
  </si>
  <si>
    <t>TUSD_PT</t>
  </si>
  <si>
    <t>TUSD_Per_RB_D</t>
  </si>
  <si>
    <t>TUSD_PNT</t>
  </si>
  <si>
    <t>TUSD_RI</t>
  </si>
  <si>
    <t>TE_CDE_COVID</t>
  </si>
  <si>
    <t>TE_PeD</t>
  </si>
  <si>
    <t>TE_ESSERR</t>
  </si>
  <si>
    <t>TE_CFURH</t>
  </si>
  <si>
    <t>TE_ENERGIA</t>
  </si>
  <si>
    <t>TE_TRANSPORTE_ITAIPU</t>
  </si>
  <si>
    <t>TE_TUST_ITAIPU</t>
  </si>
  <si>
    <t>TE_TUST_CI</t>
  </si>
  <si>
    <t>TE Subsidio</t>
  </si>
  <si>
    <t>TE_Per_RB</t>
  </si>
  <si>
    <t>Baixa Renda</t>
  </si>
  <si>
    <t>Perdas</t>
  </si>
  <si>
    <t xml:space="preserve">TUSD </t>
  </si>
  <si>
    <t xml:space="preserve">TE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</si>
</sst>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0%_);[Red]\(#,##0.00%\)"/>
    <numFmt numFmtId="165" formatCode="#0.00%;[Red]#0.00%"/>
    <numFmt numFmtId="166" formatCode="0.00%_);[Red]\(0.00%\)"/>
    <numFmt numFmtId="167" formatCode="#,##0.00_ ;[Red]\-#,##0.00\ "/>
    <numFmt numFmtId="168" formatCode="#,##0.00;[Red]#,##0.00"/>
  </numFmts>
  <fonts count="11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8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9"/>
      <color indexed="81"/>
      <name val="Segoe UI"/>
      <family val="2"/>
    </font>
    <font>
      <b/>
      <sz val="11"/>
      <color theme="1"/>
      <name val="Calibri"/>
      <family val="2"/>
      <scheme val="minor"/>
    </font>
    <font>
      <sz val="8"/>
      <color theme="3" tint="-0.249977111117893"/>
      <name val="Arial"/>
      <family val="2"/>
    </font>
    <font>
      <b/>
      <sz val="8"/>
      <color theme="0"/>
      <name val="Arial"/>
      <family val="2"/>
    </font>
    <font>
      <sz val="8"/>
      <name val="Calibri"/>
      <family val="2"/>
      <scheme val="minor"/>
    </font>
    <font>
      <sz val="8"/>
      <color theme="1" tint="4.9989318521683403E-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indexed="65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theme="3" tint="-0.499984740745262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53">
    <xf numFmtId="0" fontId="0" fillId="0" borderId="0" xfId="0"/>
    <xf numFmtId="0" fontId="2" fillId="0" borderId="0" xfId="0" applyFont="1" applyAlignment="1">
      <alignment horizontal="center" vertical="center"/>
    </xf>
    <xf numFmtId="40" fontId="2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40" fontId="1" fillId="0" borderId="0" xfId="0" applyNumberFormat="1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4" fillId="0" borderId="1" xfId="0" applyFont="1" applyBorder="1" applyAlignment="1">
      <alignment horizontal="center" vertical="center"/>
    </xf>
    <xf numFmtId="17" fontId="4" fillId="0" borderId="1" xfId="0" applyNumberFormat="1" applyFont="1" applyBorder="1" applyAlignment="1">
      <alignment horizontal="center" vertical="center"/>
    </xf>
    <xf numFmtId="40" fontId="3" fillId="0" borderId="1" xfId="0" applyNumberFormat="1" applyFont="1" applyBorder="1" applyAlignment="1">
      <alignment vertical="center"/>
    </xf>
    <xf numFmtId="40" fontId="3" fillId="0" borderId="1" xfId="0" applyNumberFormat="1" applyFont="1" applyBorder="1" applyAlignment="1">
      <alignment horizontal="left" vertical="center"/>
    </xf>
    <xf numFmtId="40" fontId="3" fillId="0" borderId="1" xfId="0" applyNumberFormat="1" applyFont="1" applyBorder="1" applyAlignment="1">
      <alignment vertical="center"/>
    </xf>
    <xf numFmtId="40" fontId="3" fillId="0" borderId="1" xfId="0" applyNumberFormat="1" applyFont="1" applyBorder="1" applyAlignment="1">
      <alignment vertical="center"/>
    </xf>
    <xf numFmtId="0" fontId="3" fillId="0" borderId="0" xfId="0" applyFont="1"/>
    <xf numFmtId="40" fontId="3" fillId="0" borderId="0" xfId="0" applyNumberFormat="1" applyFont="1" applyAlignment="1">
      <alignment vertical="center"/>
    </xf>
    <xf numFmtId="0" fontId="3" fillId="0" borderId="1" xfId="0" applyFont="1" applyBorder="1" applyAlignment="1">
      <alignment vertical="center"/>
    </xf>
    <xf numFmtId="40" fontId="3" fillId="0" borderId="1" xfId="0" applyNumberFormat="1" applyFont="1" applyBorder="1" applyAlignment="1">
      <alignment vertical="center"/>
    </xf>
    <xf numFmtId="40" fontId="3" fillId="0" borderId="1" xfId="0" applyNumberFormat="1" applyFont="1" applyBorder="1" applyAlignment="1">
      <alignment vertical="center"/>
    </xf>
    <xf numFmtId="40" fontId="3" fillId="0" borderId="8" xfId="0" applyNumberFormat="1" applyFont="1" applyBorder="1" applyAlignment="1">
      <alignment vertical="center"/>
    </xf>
    <xf numFmtId="40" fontId="3" fillId="0" borderId="8" xfId="0" applyNumberFormat="1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40" fontId="3" fillId="0" borderId="1" xfId="0" applyNumberFormat="1" applyFont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40" fontId="3" fillId="0" borderId="8" xfId="0" applyNumberFormat="1" applyFont="1" applyBorder="1" applyAlignment="1">
      <alignment horizontal="left" vertical="center"/>
    </xf>
    <xf numFmtId="40" fontId="4" fillId="0" borderId="8" xfId="0" applyNumberFormat="1" applyFont="1" applyBorder="1" applyAlignment="1">
      <alignment horizontal="center" vertical="center"/>
    </xf>
    <xf numFmtId="40" fontId="3" fillId="0" borderId="9" xfId="0" applyNumberFormat="1" applyFont="1" applyBorder="1" applyAlignment="1">
      <alignment vertical="center"/>
    </xf>
    <xf numFmtId="40" fontId="4" fillId="0" borderId="9" xfId="0" applyNumberFormat="1" applyFont="1" applyBorder="1" applyAlignment="1">
      <alignment horizontal="center" vertical="center"/>
    </xf>
    <xf numFmtId="40" fontId="3" fillId="0" borderId="13" xfId="0" applyNumberFormat="1" applyFont="1" applyBorder="1" applyAlignment="1">
      <alignment vertical="center"/>
    </xf>
    <xf numFmtId="40" fontId="3" fillId="0" borderId="13" xfId="0" applyNumberFormat="1" applyFont="1" applyBorder="1" applyAlignment="1">
      <alignment horizontal="left" vertical="center"/>
    </xf>
    <xf numFmtId="0" fontId="4" fillId="0" borderId="9" xfId="0" applyFont="1" applyBorder="1" applyAlignment="1">
      <alignment horizontal="center" vertical="center"/>
    </xf>
    <xf numFmtId="0" fontId="3" fillId="0" borderId="9" xfId="0" applyFont="1" applyBorder="1" applyAlignment="1">
      <alignment vertical="center"/>
    </xf>
    <xf numFmtId="0" fontId="4" fillId="0" borderId="9" xfId="0" applyFont="1" applyBorder="1" applyAlignment="1">
      <alignment horizontal="center" vertical="center"/>
    </xf>
    <xf numFmtId="0" fontId="3" fillId="0" borderId="9" xfId="0" applyFont="1" applyBorder="1" applyAlignment="1">
      <alignment vertical="center"/>
    </xf>
    <xf numFmtId="40" fontId="3" fillId="0" borderId="13" xfId="0" applyNumberFormat="1" applyFont="1" applyBorder="1" applyAlignment="1">
      <alignment horizontal="left" vertical="center"/>
    </xf>
    <xf numFmtId="40" fontId="3" fillId="0" borderId="1" xfId="0" applyNumberFormat="1" applyFont="1" applyBorder="1" applyAlignment="1">
      <alignment vertical="center"/>
    </xf>
    <xf numFmtId="40" fontId="3" fillId="0" borderId="8" xfId="0" applyNumberFormat="1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40" fontId="3" fillId="0" borderId="13" xfId="0" applyNumberFormat="1" applyFont="1" applyBorder="1" applyAlignment="1">
      <alignment horizontal="center"/>
    </xf>
    <xf numFmtId="40" fontId="4" fillId="0" borderId="13" xfId="0" applyNumberFormat="1" applyFont="1" applyBorder="1" applyAlignment="1">
      <alignment horizontal="center" vertical="center"/>
    </xf>
    <xf numFmtId="40" fontId="3" fillId="0" borderId="13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0" fillId="0" borderId="10" xfId="0" applyBorder="1"/>
    <xf numFmtId="0" fontId="0" fillId="0" borderId="13" xfId="0" applyBorder="1"/>
    <xf numFmtId="0" fontId="2" fillId="0" borderId="13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40" fontId="1" fillId="0" borderId="13" xfId="0" applyNumberFormat="1" applyFont="1" applyBorder="1" applyAlignment="1">
      <alignment horizontal="center" vertical="center"/>
    </xf>
    <xf numFmtId="165" fontId="1" fillId="0" borderId="13" xfId="0" applyNumberFormat="1" applyFont="1" applyBorder="1" applyAlignment="1">
      <alignment horizontal="center" vertical="center"/>
    </xf>
    <xf numFmtId="0" fontId="3" fillId="0" borderId="0" xfId="0" pivotButton="1" applyFont="1"/>
    <xf numFmtId="40" fontId="3" fillId="0" borderId="0" xfId="0" applyNumberFormat="1" applyFont="1"/>
    <xf numFmtId="166" fontId="3" fillId="0" borderId="0" xfId="0" applyNumberFormat="1" applyFont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 indent="1"/>
    </xf>
    <xf numFmtId="0" fontId="3" fillId="0" borderId="0" xfId="0" applyFont="1" applyAlignment="1">
      <alignment horizontal="left" indent="2"/>
    </xf>
    <xf numFmtId="0" fontId="3" fillId="0" borderId="0" xfId="0" applyFont="1" applyAlignment="1">
      <alignment horizontal="left" indent="3"/>
    </xf>
    <xf numFmtId="0" fontId="3" fillId="0" borderId="0" xfId="0" applyFont="1" applyAlignment="1">
      <alignment horizontal="left" indent="4"/>
    </xf>
    <xf numFmtId="0" fontId="3" fillId="0" borderId="0" xfId="0" applyFont="1" applyAlignment="1">
      <alignment horizontal="left" indent="5"/>
    </xf>
    <xf numFmtId="0" fontId="3" fillId="0" borderId="0" xfId="0" applyFont="1" applyAlignment="1">
      <alignment horizontal="left" indent="6"/>
    </xf>
    <xf numFmtId="0" fontId="3" fillId="0" borderId="0" xfId="0" applyFont="1" applyAlignment="1">
      <alignment horizontal="left" indent="7"/>
    </xf>
    <xf numFmtId="14" fontId="3" fillId="0" borderId="0" xfId="0" applyNumberFormat="1" applyFont="1" applyAlignment="1">
      <alignment horizontal="left" indent="8"/>
    </xf>
    <xf numFmtId="0" fontId="3" fillId="0" borderId="13" xfId="0" applyFont="1" applyBorder="1"/>
    <xf numFmtId="0" fontId="4" fillId="0" borderId="13" xfId="0" applyFont="1" applyBorder="1"/>
    <xf numFmtId="40" fontId="1" fillId="2" borderId="0" xfId="0" applyNumberFormat="1" applyFont="1" applyFill="1" applyAlignment="1">
      <alignment horizontal="center" vertical="center"/>
    </xf>
    <xf numFmtId="14" fontId="2" fillId="0" borderId="13" xfId="0" applyNumberFormat="1" applyFont="1" applyBorder="1" applyAlignment="1">
      <alignment horizontal="center" vertical="center"/>
    </xf>
    <xf numFmtId="14" fontId="1" fillId="0" borderId="13" xfId="0" applyNumberFormat="1" applyFont="1" applyBorder="1" applyAlignment="1">
      <alignment horizontal="center" vertical="center"/>
    </xf>
    <xf numFmtId="40" fontId="3" fillId="0" borderId="13" xfId="0" applyNumberFormat="1" applyFont="1" applyBorder="1"/>
    <xf numFmtId="40" fontId="2" fillId="0" borderId="13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3" fillId="0" borderId="0" xfId="0" applyNumberFormat="1" applyFont="1"/>
    <xf numFmtId="0" fontId="3" fillId="0" borderId="13" xfId="0" applyFont="1" applyBorder="1" applyAlignment="1">
      <alignment vertical="center"/>
    </xf>
    <xf numFmtId="0" fontId="3" fillId="2" borderId="13" xfId="0" applyFont="1" applyFill="1" applyBorder="1" applyAlignment="1">
      <alignment horizontal="center"/>
    </xf>
    <xf numFmtId="40" fontId="3" fillId="2" borderId="13" xfId="0" applyNumberFormat="1" applyFont="1" applyFill="1" applyBorder="1" applyAlignment="1">
      <alignment horizontal="center" vertical="center"/>
    </xf>
    <xf numFmtId="167" fontId="3" fillId="0" borderId="0" xfId="0" applyNumberFormat="1" applyFont="1"/>
    <xf numFmtId="164" fontId="3" fillId="0" borderId="13" xfId="0" applyNumberFormat="1" applyFont="1" applyBorder="1" applyAlignment="1">
      <alignment vertical="center"/>
    </xf>
    <xf numFmtId="40" fontId="3" fillId="0" borderId="13" xfId="0" applyNumberFormat="1" applyFont="1" applyBorder="1" applyAlignment="1">
      <alignment horizontal="left" vertical="center" indent="1"/>
    </xf>
    <xf numFmtId="40" fontId="3" fillId="0" borderId="13" xfId="0" quotePrefix="1" applyNumberFormat="1" applyFont="1" applyBorder="1" applyAlignment="1">
      <alignment horizontal="left" vertical="center" indent="1"/>
    </xf>
    <xf numFmtId="40" fontId="3" fillId="2" borderId="13" xfId="0" applyNumberFormat="1" applyFont="1" applyFill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40" fontId="3" fillId="0" borderId="1" xfId="0" applyNumberFormat="1" applyFont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40" fontId="3" fillId="0" borderId="8" xfId="0" applyNumberFormat="1" applyFont="1" applyBorder="1" applyAlignment="1">
      <alignment horizontal="left" vertical="center"/>
    </xf>
    <xf numFmtId="40" fontId="3" fillId="0" borderId="13" xfId="0" applyNumberFormat="1" applyFont="1" applyBorder="1" applyAlignment="1">
      <alignment horizontal="left" vertical="center"/>
    </xf>
    <xf numFmtId="0" fontId="4" fillId="0" borderId="9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10" fontId="3" fillId="0" borderId="0" xfId="0" applyNumberFormat="1" applyFont="1"/>
    <xf numFmtId="2" fontId="7" fillId="3" borderId="15" xfId="0" applyNumberFormat="1" applyFont="1" applyFill="1" applyBorder="1" applyAlignment="1">
      <alignment horizontal="center" vertical="center"/>
    </xf>
    <xf numFmtId="0" fontId="7" fillId="3" borderId="15" xfId="0" applyFont="1" applyFill="1" applyBorder="1" applyAlignment="1">
      <alignment horizontal="left" vertical="center" indent="1"/>
    </xf>
    <xf numFmtId="4" fontId="7" fillId="4" borderId="0" xfId="0" applyNumberFormat="1" applyFont="1" applyFill="1" applyAlignment="1">
      <alignment vertical="center"/>
    </xf>
    <xf numFmtId="0" fontId="7" fillId="4" borderId="0" xfId="0" applyFont="1" applyFill="1" applyAlignment="1">
      <alignment horizontal="left" vertical="center" indent="1"/>
    </xf>
    <xf numFmtId="10" fontId="7" fillId="3" borderId="0" xfId="0" applyNumberFormat="1" applyFont="1" applyFill="1" applyAlignment="1">
      <alignment vertical="center"/>
    </xf>
    <xf numFmtId="0" fontId="7" fillId="3" borderId="0" xfId="0" applyFont="1" applyFill="1" applyAlignment="1">
      <alignment horizontal="left" vertical="center" indent="1"/>
    </xf>
    <xf numFmtId="10" fontId="7" fillId="4" borderId="0" xfId="0" applyNumberFormat="1" applyFont="1" applyFill="1" applyAlignment="1">
      <alignment vertical="center"/>
    </xf>
    <xf numFmtId="0" fontId="8" fillId="5" borderId="16" xfId="0" applyFont="1" applyFill="1" applyBorder="1" applyAlignment="1">
      <alignment horizontal="center" vertical="center"/>
    </xf>
    <xf numFmtId="40" fontId="7" fillId="3" borderId="15" xfId="0" applyNumberFormat="1" applyFont="1" applyFill="1" applyBorder="1" applyAlignment="1">
      <alignment horizontal="center" vertical="center"/>
    </xf>
    <xf numFmtId="168" fontId="7" fillId="4" borderId="0" xfId="0" applyNumberFormat="1" applyFont="1" applyFill="1" applyAlignment="1">
      <alignment horizontal="center" vertical="center"/>
    </xf>
    <xf numFmtId="4" fontId="10" fillId="6" borderId="18" xfId="0" applyNumberFormat="1" applyFont="1" applyFill="1" applyBorder="1"/>
    <xf numFmtId="4" fontId="10" fillId="6" borderId="12" xfId="0" applyNumberFormat="1" applyFont="1" applyFill="1" applyBorder="1"/>
    <xf numFmtId="4" fontId="10" fillId="6" borderId="19" xfId="0" applyNumberFormat="1" applyFont="1" applyFill="1" applyBorder="1"/>
    <xf numFmtId="4" fontId="10" fillId="6" borderId="6" xfId="0" applyNumberFormat="1" applyFont="1" applyFill="1" applyBorder="1"/>
    <xf numFmtId="4" fontId="10" fillId="6" borderId="13" xfId="0" applyNumberFormat="1" applyFont="1" applyFill="1" applyBorder="1"/>
    <xf numFmtId="4" fontId="10" fillId="6" borderId="5" xfId="0" applyNumberFormat="1" applyFont="1" applyFill="1" applyBorder="1"/>
    <xf numFmtId="4" fontId="10" fillId="6" borderId="20" xfId="0" applyNumberFormat="1" applyFont="1" applyFill="1" applyBorder="1"/>
    <xf numFmtId="4" fontId="10" fillId="6" borderId="10" xfId="0" applyNumberFormat="1" applyFont="1" applyFill="1" applyBorder="1"/>
    <xf numFmtId="4" fontId="10" fillId="6" borderId="17" xfId="0" applyNumberFormat="1" applyFont="1" applyFill="1" applyBorder="1"/>
    <xf numFmtId="4" fontId="10" fillId="6" borderId="19" xfId="0" applyNumberFormat="1" applyFont="1" applyFill="1" applyBorder="1" applyAlignment="1">
      <alignment horizontal="center"/>
    </xf>
    <xf numFmtId="4" fontId="10" fillId="6" borderId="12" xfId="0" applyNumberFormat="1" applyFont="1" applyFill="1" applyBorder="1" applyAlignment="1">
      <alignment horizontal="center"/>
    </xf>
    <xf numFmtId="40" fontId="3" fillId="0" borderId="1" xfId="0" applyNumberFormat="1" applyFont="1" applyBorder="1" applyAlignment="1">
      <alignment horizontal="left" vertical="center"/>
    </xf>
    <xf numFmtId="40" fontId="0" fillId="0" borderId="1" xfId="0" applyNumberFormat="1" applyBorder="1" applyAlignment="1">
      <alignment horizontal="left" vertical="center"/>
    </xf>
    <xf numFmtId="40" fontId="3" fillId="0" borderId="1" xfId="0" applyNumberFormat="1" applyFont="1" applyBorder="1" applyAlignment="1">
      <alignment vertical="center"/>
    </xf>
    <xf numFmtId="40" fontId="0" fillId="0" borderId="1" xfId="0" applyNumberForma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3" xfId="0" applyBorder="1" applyAlignment="1">
      <alignment vertical="center"/>
    </xf>
    <xf numFmtId="0" fontId="3" fillId="0" borderId="5" xfId="0" applyFont="1" applyBorder="1" applyAlignment="1">
      <alignment vertical="center"/>
    </xf>
    <xf numFmtId="0" fontId="0" fillId="0" borderId="6" xfId="0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0" borderId="13" xfId="0" applyFont="1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7" xfId="0" applyBorder="1" applyAlignment="1">
      <alignment vertical="center"/>
    </xf>
    <xf numFmtId="0" fontId="4" fillId="0" borderId="14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40" fontId="3" fillId="0" borderId="8" xfId="0" applyNumberFormat="1" applyFont="1" applyBorder="1" applyAlignment="1">
      <alignment horizontal="left" vertical="center"/>
    </xf>
    <xf numFmtId="40" fontId="4" fillId="0" borderId="10" xfId="0" applyNumberFormat="1" applyFont="1" applyBorder="1" applyAlignment="1">
      <alignment horizontal="center" vertical="center"/>
    </xf>
    <xf numFmtId="40" fontId="6" fillId="0" borderId="11" xfId="0" applyNumberFormat="1" applyFont="1" applyBorder="1" applyAlignment="1">
      <alignment horizontal="center" vertical="center"/>
    </xf>
    <xf numFmtId="40" fontId="6" fillId="0" borderId="12" xfId="0" applyNumberFormat="1" applyFont="1" applyBorder="1" applyAlignment="1">
      <alignment horizontal="center" vertical="center"/>
    </xf>
    <xf numFmtId="40" fontId="3" fillId="0" borderId="13" xfId="0" applyNumberFormat="1" applyFont="1" applyBorder="1" applyAlignment="1">
      <alignment horizontal="left" vertical="center"/>
    </xf>
    <xf numFmtId="0" fontId="4" fillId="0" borderId="13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3" fillId="0" borderId="9" xfId="0" applyFont="1" applyBorder="1" applyAlignment="1">
      <alignment vertical="center"/>
    </xf>
    <xf numFmtId="0" fontId="3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4" fontId="10" fillId="6" borderId="13" xfId="0" applyNumberFormat="1" applyFont="1" applyFill="1" applyBorder="1" applyAlignment="1">
      <alignment horizontal="center"/>
    </xf>
    <xf numFmtId="4" fontId="10" fillId="6" borderId="5" xfId="0" applyNumberFormat="1" applyFont="1" applyFill="1" applyBorder="1" applyAlignment="1">
      <alignment horizontal="center"/>
    </xf>
    <xf numFmtId="4" fontId="10" fillId="6" borderId="12" xfId="0" applyNumberFormat="1" applyFont="1" applyFill="1" applyBorder="1" applyAlignment="1">
      <alignment horizontal="center"/>
    </xf>
    <xf numFmtId="4" fontId="10" fillId="6" borderId="19" xfId="0" applyNumberFormat="1" applyFont="1" applyFill="1" applyBorder="1" applyAlignment="1">
      <alignment horizontal="center"/>
    </xf>
  </cellXfs>
  <cellStyles count="1">
    <cellStyle name="Normal" xfId="0" builtinId="0"/>
  </cellStyles>
  <dxfs count="846"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</dxf>
    <dxf>
      <border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</dxf>
    <dxf>
      <border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</dxf>
    <dxf>
      <border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numFmt numFmtId="169" formatCode="#,##0.00_);[Red]\(#,##0.00\)"/>
    </dxf>
    <dxf>
      <numFmt numFmtId="169" formatCode="#,##0.00_);[Red]\(#,##0.00\)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numFmt numFmtId="166" formatCode="0.00%_);[Red]\(0.00%\)"/>
    </dxf>
    <dxf>
      <numFmt numFmtId="166" formatCode="0.00%_);[Red]\(0.00%\)"/>
    </dxf>
    <dxf>
      <numFmt numFmtId="169" formatCode="#,##0.00_);[Red]\(#,##0.00\)"/>
    </dxf>
    <dxf>
      <numFmt numFmtId="169" formatCode="#,##0.00_);[Red]\(#,##0.00\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9" formatCode="#,##0.00_);[Red]\(#,##0.00\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9" formatCode="#,##0.00_);[Red]\(#,##0.00\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9" formatCode="#,##0.00_);[Red]\(#,##0.00\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9" formatCode="#,##0.00_);[Red]\(#,##0.00\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9" formatCode="#,##0.00_);[Red]\(#,##0.00\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9" formatCode="#,##0.00_);[Red]\(#,##0.00\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9" formatCode="#,##0.00_);[Red]\(#,##0.00\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9" formatCode="#,##0.00_);[Red]\(#,##0.00\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9" formatCode="#,##0.00_);[Red]\(#,##0.00\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9" formatCode="#,##0.00_);[Red]\(#,##0.00\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9" formatCode="#,##0.00_);[Red]\(#,##0.00\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9" formatCode="#,##0.00_);[Red]\(#,##0.00\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9" formatCode="#,##0.00_);[Red]\(#,##0.00\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9" formatCode="#,##0.00_);[Red]\(#,##0.00\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9" formatCode="#,##0.00_);[Red]\(#,##0.00\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9" formatCode="#,##0.00_);[Red]\(#,##0.00\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9" formatCode="#,##0.00_);[Red]\(#,##0.00\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70" formatCode="m/d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9" formatCode="#,##0.00_);[Red]\(#,##0.00\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9" formatCode="#,##0.00_);[Red]\(#,##0.00\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9" formatCode="#,##0.00_);[Red]\(#,##0.00\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9" formatCode="#,##0.00_);[Red]\(#,##0.00\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9" formatCode="#,##0.00_);[Red]\(#,##0.00\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9" formatCode="#,##0.00_);[Red]\(#,##0.00\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9" formatCode="#,##0.00_);[Red]\(#,##0.00\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9" formatCode="#,##0.00_);[Red]\(#,##0.00\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9" formatCode="#,##0.00_);[Red]\(#,##0.00\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9" formatCode="#,##0.00_);[Red]\(#,##0.00\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9" formatCode="#,##0.00_);[Red]\(#,##0.00\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9" formatCode="#,##0.00_);[Red]\(#,##0.00\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9" formatCode="#,##0.00_);[Red]\(#,##0.00\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9" formatCode="#,##0.00_);[Red]\(#,##0.00\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9" formatCode="#,##0.00_);[Red]\(#,##0.00\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9" formatCode="#,##0.00_);[Red]\(#,##0.00\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9" formatCode="#,##0.00_);[Red]\(#,##0.00\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9" formatCode="#,##0.00_);[Red]\(#,##0.00\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9" formatCode="#,##0.00_);[Red]\(#,##0.00\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9" formatCode="#,##0.00_);[Red]\(#,##0.00\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9" formatCode="#,##0.00_);[Red]\(#,##0.00\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9" formatCode="#,##0.00_);[Red]\(#,##0.00\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70" formatCode="m/d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onnections" Target="connection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pivotCacheDefinition" Target="pivotCache/pivotCacheDefinition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'RESUMO TUSD'!$A$13</c:f>
              <c:strCache>
                <c:ptCount val="1"/>
                <c:pt idx="0">
                  <c:v>VAR. GLOBAL</c:v>
                </c:pt>
              </c:strCache>
            </c:strRef>
          </c:tx>
          <c:marker>
            <c:symbol val="none"/>
          </c:marker>
          <c:cat>
            <c:strRef>
              <c:f>'RESUMO TUSD'!$B$5:$W$5</c:f>
              <c:strCache>
                <c:ptCount val="22"/>
                <c:pt idx="0">
                  <c:v>CDE Covid TUSD</c:v>
                </c:pt>
                <c:pt idx="1">
                  <c:v>TFSEE</c:v>
                </c:pt>
                <c:pt idx="2">
                  <c:v>P&amp;D</c:v>
                </c:pt>
                <c:pt idx="3">
                  <c:v>ONS</c:v>
                </c:pt>
                <c:pt idx="4">
                  <c:v>CCC</c:v>
                </c:pt>
                <c:pt idx="5">
                  <c:v>CDE</c:v>
                </c:pt>
                <c:pt idx="6">
                  <c:v>PROINFA</c:v>
                </c:pt>
                <c:pt idx="7">
                  <c:v>LIMINAR 1</c:v>
                </c:pt>
                <c:pt idx="8">
                  <c:v>TUSD RB</c:v>
                </c:pt>
                <c:pt idx="9">
                  <c:v>TUSD FR</c:v>
                </c:pt>
                <c:pt idx="10">
                  <c:v>CONEXAO T</c:v>
                </c:pt>
                <c:pt idx="11">
                  <c:v>CONEXAO D</c:v>
                </c:pt>
                <c:pt idx="12">
                  <c:v>CUSD</c:v>
                </c:pt>
                <c:pt idx="13">
                  <c:v>TUSDG-T</c:v>
                </c:pt>
                <c:pt idx="14">
                  <c:v>TUSDG-ONS</c:v>
                </c:pt>
                <c:pt idx="15">
                  <c:v>DISTRIBUICAO</c:v>
                </c:pt>
                <c:pt idx="16">
                  <c:v>SUBSIDIO</c:v>
                </c:pt>
                <c:pt idx="17">
                  <c:v>OUTROS</c:v>
                </c:pt>
                <c:pt idx="18">
                  <c:v>PERDAS TECNICAS</c:v>
                </c:pt>
                <c:pt idx="19">
                  <c:v>PERDAS RB/ PERDAS D</c:v>
                </c:pt>
                <c:pt idx="20">
                  <c:v>PERDAS NAO TECNICAS</c:v>
                </c:pt>
                <c:pt idx="21">
                  <c:v>RI</c:v>
                </c:pt>
              </c:strCache>
            </c:strRef>
          </c:cat>
          <c:val>
            <c:numRef>
              <c:f>'RESUMO TUSD'!$B$13:$W$13</c:f>
              <c:numCache>
                <c:formatCode>#,##0.00%_);[Red]\(#,##0.00%\)</c:formatCode>
                <c:ptCount val="22"/>
                <c:pt idx="0">
                  <c:v>3.0140758858854966E-2</c:v>
                </c:pt>
                <c:pt idx="1">
                  <c:v>9.6306810006802621E-4</c:v>
                </c:pt>
                <c:pt idx="2">
                  <c:v>-3.0000259126355116E-12</c:v>
                </c:pt>
                <c:pt idx="3">
                  <c:v>0</c:v>
                </c:pt>
                <c:pt idx="4">
                  <c:v>0</c:v>
                </c:pt>
                <c:pt idx="5">
                  <c:v>1.3629308129829166E-2</c:v>
                </c:pt>
                <c:pt idx="6">
                  <c:v>7.7235593321889088E-3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7.7658517423174547E-2</c:v>
                </c:pt>
                <c:pt idx="13">
                  <c:v>0</c:v>
                </c:pt>
                <c:pt idx="14">
                  <c:v>0</c:v>
                </c:pt>
                <c:pt idx="15">
                  <c:v>0.10376017431443207</c:v>
                </c:pt>
                <c:pt idx="16">
                  <c:v>-1.0727809935607433E-2</c:v>
                </c:pt>
                <c:pt idx="17">
                  <c:v>0</c:v>
                </c:pt>
                <c:pt idx="18">
                  <c:v>8.0181513758106268E-3</c:v>
                </c:pt>
                <c:pt idx="19">
                  <c:v>0</c:v>
                </c:pt>
                <c:pt idx="20">
                  <c:v>-8.815873087966087E-4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C7-4BAB-A90C-B85B870D75BC}"/>
            </c:ext>
          </c:extLst>
        </c:ser>
        <c:ser>
          <c:idx val="1"/>
          <c:order val="1"/>
          <c:tx>
            <c:strRef>
              <c:f>'RESUMO TUSD'!$A$14</c:f>
              <c:strCache>
                <c:ptCount val="1"/>
                <c:pt idx="0">
                  <c:v>VAR. SELEÇÃO SUBG.</c:v>
                </c:pt>
              </c:strCache>
            </c:strRef>
          </c:tx>
          <c:marker>
            <c:symbol val="none"/>
          </c:marker>
          <c:cat>
            <c:strRef>
              <c:f>'RESUMO TUSD'!$B$5:$W$5</c:f>
              <c:strCache>
                <c:ptCount val="22"/>
                <c:pt idx="0">
                  <c:v>CDE Covid TUSD</c:v>
                </c:pt>
                <c:pt idx="1">
                  <c:v>TFSEE</c:v>
                </c:pt>
                <c:pt idx="2">
                  <c:v>P&amp;D</c:v>
                </c:pt>
                <c:pt idx="3">
                  <c:v>ONS</c:v>
                </c:pt>
                <c:pt idx="4">
                  <c:v>CCC</c:v>
                </c:pt>
                <c:pt idx="5">
                  <c:v>CDE</c:v>
                </c:pt>
                <c:pt idx="6">
                  <c:v>PROINFA</c:v>
                </c:pt>
                <c:pt idx="7">
                  <c:v>LIMINAR 1</c:v>
                </c:pt>
                <c:pt idx="8">
                  <c:v>TUSD RB</c:v>
                </c:pt>
                <c:pt idx="9">
                  <c:v>TUSD FR</c:v>
                </c:pt>
                <c:pt idx="10">
                  <c:v>CONEXAO T</c:v>
                </c:pt>
                <c:pt idx="11">
                  <c:v>CONEXAO D</c:v>
                </c:pt>
                <c:pt idx="12">
                  <c:v>CUSD</c:v>
                </c:pt>
                <c:pt idx="13">
                  <c:v>TUSDG-T</c:v>
                </c:pt>
                <c:pt idx="14">
                  <c:v>TUSDG-ONS</c:v>
                </c:pt>
                <c:pt idx="15">
                  <c:v>DISTRIBUICAO</c:v>
                </c:pt>
                <c:pt idx="16">
                  <c:v>SUBSIDIO</c:v>
                </c:pt>
                <c:pt idx="17">
                  <c:v>OUTROS</c:v>
                </c:pt>
                <c:pt idx="18">
                  <c:v>PERDAS TECNICAS</c:v>
                </c:pt>
                <c:pt idx="19">
                  <c:v>PERDAS RB/ PERDAS D</c:v>
                </c:pt>
                <c:pt idx="20">
                  <c:v>PERDAS NAO TECNICAS</c:v>
                </c:pt>
                <c:pt idx="21">
                  <c:v>RI</c:v>
                </c:pt>
              </c:strCache>
            </c:strRef>
          </c:cat>
          <c:val>
            <c:numRef>
              <c:f>'RESUMO TUSD'!$B$14:$W$14</c:f>
              <c:numCache>
                <c:formatCode>#,##0.00%_);[Red]\(#,##0.00%\)</c:formatCode>
                <c:ptCount val="22"/>
                <c:pt idx="0">
                  <c:v>3.9414647570457526E-2</c:v>
                </c:pt>
                <c:pt idx="1">
                  <c:v>6.3343803165284533E-4</c:v>
                </c:pt>
                <c:pt idx="2">
                  <c:v>-8.2305452004140695E-13</c:v>
                </c:pt>
                <c:pt idx="3">
                  <c:v>0</c:v>
                </c:pt>
                <c:pt idx="4">
                  <c:v>0</c:v>
                </c:pt>
                <c:pt idx="5">
                  <c:v>1.26549397746668E-2</c:v>
                </c:pt>
                <c:pt idx="6">
                  <c:v>1.1740439568911387E-2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9.8509777753898201E-2</c:v>
                </c:pt>
                <c:pt idx="13">
                  <c:v>0</c:v>
                </c:pt>
                <c:pt idx="14">
                  <c:v>0</c:v>
                </c:pt>
                <c:pt idx="15">
                  <c:v>8.2646225479096905E-2</c:v>
                </c:pt>
                <c:pt idx="16">
                  <c:v>-1.0534488057864435E-2</c:v>
                </c:pt>
                <c:pt idx="17">
                  <c:v>0</c:v>
                </c:pt>
                <c:pt idx="18">
                  <c:v>5.2727512157012182E-3</c:v>
                </c:pt>
                <c:pt idx="19">
                  <c:v>0</c:v>
                </c:pt>
                <c:pt idx="20">
                  <c:v>-1.2131978632474857E-3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C7-4BAB-A90C-B85B870D75BC}"/>
            </c:ext>
          </c:extLst>
        </c:ser>
        <c:ser>
          <c:idx val="2"/>
          <c:order val="2"/>
          <c:tx>
            <c:strRef>
              <c:f>'RESUMO TUSD'!$A$15</c:f>
              <c:strCache>
                <c:ptCount val="1"/>
                <c:pt idx="0">
                  <c:v>VAR. SELEÇÃO MDT</c:v>
                </c:pt>
              </c:strCache>
            </c:strRef>
          </c:tx>
          <c:marker>
            <c:symbol val="none"/>
          </c:marker>
          <c:cat>
            <c:strRef>
              <c:f>'RESUMO TUSD'!$B$5:$W$5</c:f>
              <c:strCache>
                <c:ptCount val="22"/>
                <c:pt idx="0">
                  <c:v>CDE Covid TUSD</c:v>
                </c:pt>
                <c:pt idx="1">
                  <c:v>TFSEE</c:v>
                </c:pt>
                <c:pt idx="2">
                  <c:v>P&amp;D</c:v>
                </c:pt>
                <c:pt idx="3">
                  <c:v>ONS</c:v>
                </c:pt>
                <c:pt idx="4">
                  <c:v>CCC</c:v>
                </c:pt>
                <c:pt idx="5">
                  <c:v>CDE</c:v>
                </c:pt>
                <c:pt idx="6">
                  <c:v>PROINFA</c:v>
                </c:pt>
                <c:pt idx="7">
                  <c:v>LIMINAR 1</c:v>
                </c:pt>
                <c:pt idx="8">
                  <c:v>TUSD RB</c:v>
                </c:pt>
                <c:pt idx="9">
                  <c:v>TUSD FR</c:v>
                </c:pt>
                <c:pt idx="10">
                  <c:v>CONEXAO T</c:v>
                </c:pt>
                <c:pt idx="11">
                  <c:v>CONEXAO D</c:v>
                </c:pt>
                <c:pt idx="12">
                  <c:v>CUSD</c:v>
                </c:pt>
                <c:pt idx="13">
                  <c:v>TUSDG-T</c:v>
                </c:pt>
                <c:pt idx="14">
                  <c:v>TUSDG-ONS</c:v>
                </c:pt>
                <c:pt idx="15">
                  <c:v>DISTRIBUICAO</c:v>
                </c:pt>
                <c:pt idx="16">
                  <c:v>SUBSIDIO</c:v>
                </c:pt>
                <c:pt idx="17">
                  <c:v>OUTROS</c:v>
                </c:pt>
                <c:pt idx="18">
                  <c:v>PERDAS TECNICAS</c:v>
                </c:pt>
                <c:pt idx="19">
                  <c:v>PERDAS RB/ PERDAS D</c:v>
                </c:pt>
                <c:pt idx="20">
                  <c:v>PERDAS NAO TECNICAS</c:v>
                </c:pt>
                <c:pt idx="21">
                  <c:v>RI</c:v>
                </c:pt>
              </c:strCache>
            </c:strRef>
          </c:cat>
          <c:val>
            <c:numRef>
              <c:f>'RESUMO TUSD'!$B$15:$W$15</c:f>
              <c:numCache>
                <c:formatCode>#,##0.00%_);[Red]\(#,##0.00%\)</c:formatCode>
                <c:ptCount val="22"/>
                <c:pt idx="0">
                  <c:v>3.9414647570457526E-2</c:v>
                </c:pt>
                <c:pt idx="1">
                  <c:v>6.3343803165284533E-4</c:v>
                </c:pt>
                <c:pt idx="2">
                  <c:v>-8.2305452004140695E-13</c:v>
                </c:pt>
                <c:pt idx="3">
                  <c:v>0</c:v>
                </c:pt>
                <c:pt idx="4">
                  <c:v>0</c:v>
                </c:pt>
                <c:pt idx="5">
                  <c:v>1.26549397746668E-2</c:v>
                </c:pt>
                <c:pt idx="6">
                  <c:v>1.1740439568911387E-2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9.8509777753898201E-2</c:v>
                </c:pt>
                <c:pt idx="13">
                  <c:v>0</c:v>
                </c:pt>
                <c:pt idx="14">
                  <c:v>0</c:v>
                </c:pt>
                <c:pt idx="15">
                  <c:v>8.2646225479096905E-2</c:v>
                </c:pt>
                <c:pt idx="16">
                  <c:v>-1.0534488057864435E-2</c:v>
                </c:pt>
                <c:pt idx="17">
                  <c:v>0</c:v>
                </c:pt>
                <c:pt idx="18">
                  <c:v>5.2727512157012182E-3</c:v>
                </c:pt>
                <c:pt idx="19">
                  <c:v>0</c:v>
                </c:pt>
                <c:pt idx="20">
                  <c:v>-1.2131978632474857E-3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2C7-4BAB-A90C-B85B870D75BC}"/>
            </c:ext>
          </c:extLst>
        </c:ser>
        <c:ser>
          <c:idx val="3"/>
          <c:order val="3"/>
          <c:marker>
            <c:symbol val="none"/>
          </c:marker>
          <c:extLst>
            <c:ext xmlns:c16="http://schemas.microsoft.com/office/drawing/2014/chart" uri="{C3380CC4-5D6E-409C-BE32-E72D297353CC}">
              <c16:uniqueId val="{00000003-22C7-4BAB-A90C-B85B870D75BC}"/>
            </c:ext>
          </c:extLst>
        </c:ser>
        <c:ser>
          <c:idx val="4"/>
          <c:order val="4"/>
          <c:marker>
            <c:symbol val="none"/>
          </c:marker>
          <c:extLst>
            <c:ext xmlns:c16="http://schemas.microsoft.com/office/drawing/2014/chart" uri="{C3380CC4-5D6E-409C-BE32-E72D297353CC}">
              <c16:uniqueId val="{00000004-22C7-4BAB-A90C-B85B870D75BC}"/>
            </c:ext>
          </c:extLst>
        </c:ser>
        <c:ser>
          <c:idx val="5"/>
          <c:order val="5"/>
          <c:marker>
            <c:symbol val="none"/>
          </c:marker>
          <c:extLst>
            <c:ext xmlns:c16="http://schemas.microsoft.com/office/drawing/2014/chart" uri="{C3380CC4-5D6E-409C-BE32-E72D297353CC}">
              <c16:uniqueId val="{00000005-22C7-4BAB-A90C-B85B870D75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0981352"/>
        <c:axId val="1010983976"/>
      </c:radarChart>
      <c:catAx>
        <c:axId val="1010981352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010983976"/>
        <c:crosses val="autoZero"/>
        <c:auto val="1"/>
        <c:lblAlgn val="ctr"/>
        <c:lblOffset val="100"/>
        <c:noMultiLvlLbl val="0"/>
      </c:catAx>
      <c:valAx>
        <c:axId val="1010983976"/>
        <c:scaling>
          <c:orientation val="minMax"/>
        </c:scaling>
        <c:delete val="0"/>
        <c:axPos val="l"/>
        <c:majorGridlines/>
        <c:numFmt formatCode="#,##0.00%_);[Red]\(#,##0.00%\)" sourceLinked="1"/>
        <c:majorTickMark val="out"/>
        <c:minorTickMark val="none"/>
        <c:tickLblPos val="nextTo"/>
        <c:crossAx val="1010981352"/>
        <c:crosses val="autoZero"/>
        <c:crossBetween val="between"/>
      </c:valAx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'RESUMO TE'!$A$13</c:f>
              <c:strCache>
                <c:ptCount val="1"/>
                <c:pt idx="0">
                  <c:v>VAR. GLOBAL</c:v>
                </c:pt>
              </c:strCache>
            </c:strRef>
          </c:tx>
          <c:marker>
            <c:symbol val="none"/>
          </c:marker>
          <c:cat>
            <c:strRef>
              <c:f>'RESUMO TE'!$B$5:$K$5</c:f>
              <c:strCache>
                <c:ptCount val="10"/>
                <c:pt idx="0">
                  <c:v>P&amp;D</c:v>
                </c:pt>
                <c:pt idx="1">
                  <c:v>ESS/ERR</c:v>
                </c:pt>
                <c:pt idx="2">
                  <c:v>CFURH</c:v>
                </c:pt>
                <c:pt idx="3">
                  <c:v>CDE Covid TE</c:v>
                </c:pt>
                <c:pt idx="4">
                  <c:v>ENERGIA REVENDA</c:v>
                </c:pt>
                <c:pt idx="5">
                  <c:v>ITAIPU</c:v>
                </c:pt>
                <c:pt idx="6">
                  <c:v>TUST ITAIPU</c:v>
                </c:pt>
                <c:pt idx="7">
                  <c:v>TUST CI</c:v>
                </c:pt>
                <c:pt idx="8">
                  <c:v>SUBSIDIO</c:v>
                </c:pt>
                <c:pt idx="9">
                  <c:v>PERDAS RB/C</c:v>
                </c:pt>
              </c:strCache>
            </c:strRef>
          </c:cat>
          <c:val>
            <c:numRef>
              <c:f>'RESUMO TE'!$B$13:$K$13</c:f>
              <c:numCache>
                <c:formatCode>#,##0.00%_);[Red]\(#,##0.00%\)</c:formatCode>
                <c:ptCount val="10"/>
                <c:pt idx="0">
                  <c:v>-7.2254389848725622E-15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0.15391119553423427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-2.1007354260296492E-2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A7-431F-83AF-190D346FD96A}"/>
            </c:ext>
          </c:extLst>
        </c:ser>
        <c:ser>
          <c:idx val="1"/>
          <c:order val="1"/>
          <c:tx>
            <c:strRef>
              <c:f>'RESUMO TE'!$A$14</c:f>
              <c:strCache>
                <c:ptCount val="1"/>
                <c:pt idx="0">
                  <c:v>VAR. SELEÇÃO SUBG.</c:v>
                </c:pt>
              </c:strCache>
            </c:strRef>
          </c:tx>
          <c:marker>
            <c:symbol val="none"/>
          </c:marker>
          <c:cat>
            <c:strRef>
              <c:f>'RESUMO TE'!$B$5:$K$5</c:f>
              <c:strCache>
                <c:ptCount val="10"/>
                <c:pt idx="0">
                  <c:v>P&amp;D</c:v>
                </c:pt>
                <c:pt idx="1">
                  <c:v>ESS/ERR</c:v>
                </c:pt>
                <c:pt idx="2">
                  <c:v>CFURH</c:v>
                </c:pt>
                <c:pt idx="3">
                  <c:v>CDE Covid TE</c:v>
                </c:pt>
                <c:pt idx="4">
                  <c:v>ENERGIA REVENDA</c:v>
                </c:pt>
                <c:pt idx="5">
                  <c:v>ITAIPU</c:v>
                </c:pt>
                <c:pt idx="6">
                  <c:v>TUST ITAIPU</c:v>
                </c:pt>
                <c:pt idx="7">
                  <c:v>TUST CI</c:v>
                </c:pt>
                <c:pt idx="8">
                  <c:v>SUBSIDIO</c:v>
                </c:pt>
                <c:pt idx="9">
                  <c:v>PERDAS RB/C</c:v>
                </c:pt>
              </c:strCache>
            </c:strRef>
          </c:cat>
          <c:val>
            <c:numRef>
              <c:f>'RESUMO TE'!$B$14:$K$14</c:f>
              <c:numCache>
                <c:formatCode>#,##0.00%_);[Red]\(#,##0.00%\)</c:formatCode>
                <c:ptCount val="10"/>
                <c:pt idx="0">
                  <c:v>-7.2254389848725669E-15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0.14840348832447861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-2.1007354260296505E-2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A7-431F-83AF-190D346FD96A}"/>
            </c:ext>
          </c:extLst>
        </c:ser>
        <c:ser>
          <c:idx val="2"/>
          <c:order val="2"/>
          <c:tx>
            <c:strRef>
              <c:f>'RESUMO TE'!$A$15</c:f>
              <c:strCache>
                <c:ptCount val="1"/>
                <c:pt idx="0">
                  <c:v>VAR. SELEÇÃO MDT</c:v>
                </c:pt>
              </c:strCache>
            </c:strRef>
          </c:tx>
          <c:marker>
            <c:symbol val="none"/>
          </c:marker>
          <c:cat>
            <c:strRef>
              <c:f>'RESUMO TE'!$B$5:$K$5</c:f>
              <c:strCache>
                <c:ptCount val="10"/>
                <c:pt idx="0">
                  <c:v>P&amp;D</c:v>
                </c:pt>
                <c:pt idx="1">
                  <c:v>ESS/ERR</c:v>
                </c:pt>
                <c:pt idx="2">
                  <c:v>CFURH</c:v>
                </c:pt>
                <c:pt idx="3">
                  <c:v>CDE Covid TE</c:v>
                </c:pt>
                <c:pt idx="4">
                  <c:v>ENERGIA REVENDA</c:v>
                </c:pt>
                <c:pt idx="5">
                  <c:v>ITAIPU</c:v>
                </c:pt>
                <c:pt idx="6">
                  <c:v>TUST ITAIPU</c:v>
                </c:pt>
                <c:pt idx="7">
                  <c:v>TUST CI</c:v>
                </c:pt>
                <c:pt idx="8">
                  <c:v>SUBSIDIO</c:v>
                </c:pt>
                <c:pt idx="9">
                  <c:v>PERDAS RB/C</c:v>
                </c:pt>
              </c:strCache>
            </c:strRef>
          </c:cat>
          <c:val>
            <c:numRef>
              <c:f>'RESUMO TE'!$B$15:$K$15</c:f>
              <c:numCache>
                <c:formatCode>#,##0.00%_);[Red]\(#,##0.00%\)</c:formatCode>
                <c:ptCount val="10"/>
                <c:pt idx="0">
                  <c:v>-7.2254389848725669E-15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0.14840348832447861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-2.1007354260296505E-2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A7-431F-83AF-190D346FD96A}"/>
            </c:ext>
          </c:extLst>
        </c:ser>
        <c:ser>
          <c:idx val="3"/>
          <c:order val="3"/>
          <c:marker>
            <c:symbol val="none"/>
          </c:marker>
          <c:extLst>
            <c:ext xmlns:c16="http://schemas.microsoft.com/office/drawing/2014/chart" uri="{C3380CC4-5D6E-409C-BE32-E72D297353CC}">
              <c16:uniqueId val="{00000003-B8A7-431F-83AF-190D346FD96A}"/>
            </c:ext>
          </c:extLst>
        </c:ser>
        <c:ser>
          <c:idx val="4"/>
          <c:order val="4"/>
          <c:marker>
            <c:symbol val="none"/>
          </c:marker>
          <c:extLst>
            <c:ext xmlns:c16="http://schemas.microsoft.com/office/drawing/2014/chart" uri="{C3380CC4-5D6E-409C-BE32-E72D297353CC}">
              <c16:uniqueId val="{00000004-B8A7-431F-83AF-190D346FD96A}"/>
            </c:ext>
          </c:extLst>
        </c:ser>
        <c:ser>
          <c:idx val="5"/>
          <c:order val="5"/>
          <c:marker>
            <c:symbol val="none"/>
          </c:marker>
          <c:extLst>
            <c:ext xmlns:c16="http://schemas.microsoft.com/office/drawing/2014/chart" uri="{C3380CC4-5D6E-409C-BE32-E72D297353CC}">
              <c16:uniqueId val="{00000005-B8A7-431F-83AF-190D346FD9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2663976"/>
        <c:axId val="1012662336"/>
      </c:radarChart>
      <c:catAx>
        <c:axId val="1012663976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012662336"/>
        <c:crosses val="autoZero"/>
        <c:auto val="1"/>
        <c:lblAlgn val="ctr"/>
        <c:lblOffset val="100"/>
        <c:noMultiLvlLbl val="0"/>
      </c:catAx>
      <c:valAx>
        <c:axId val="1012662336"/>
        <c:scaling>
          <c:orientation val="minMax"/>
        </c:scaling>
        <c:delete val="0"/>
        <c:axPos val="l"/>
        <c:majorGridlines/>
        <c:numFmt formatCode="#,##0.00%_);[Red]\(#,##0.00%\)" sourceLinked="1"/>
        <c:majorTickMark val="out"/>
        <c:minorTickMark val="none"/>
        <c:tickLblPos val="nextTo"/>
        <c:crossAx val="1012663976"/>
        <c:crosses val="autoZero"/>
        <c:crossBetween val="between"/>
      </c:valAx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476251</xdr:colOff>
      <xdr:row>16</xdr:row>
      <xdr:rowOff>0</xdr:rowOff>
    </xdr:from>
    <xdr:to>
      <xdr:col>12</xdr:col>
      <xdr:colOff>314326</xdr:colOff>
      <xdr:row>45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281B3F6-448A-4864-A845-9DD906792D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476251</xdr:colOff>
      <xdr:row>16</xdr:row>
      <xdr:rowOff>0</xdr:rowOff>
    </xdr:from>
    <xdr:to>
      <xdr:col>11</xdr:col>
      <xdr:colOff>552451</xdr:colOff>
      <xdr:row>45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9F3DFC1-5F72-40F6-BF51-32259A7042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istrador" refreshedDate="44665.531355671294" createdVersion="5" refreshedVersion="7" minRefreshableVersion="3" recordCount="468" xr:uid="{46F928C5-80D0-448F-86D2-D7EF82396895}">
  <cacheSource type="worksheet">
    <worksheetSource name="Efeito"/>
  </cacheSource>
  <cacheFields count="36">
    <cacheField name="TipoMercado" numFmtId="0">
      <sharedItems/>
    </cacheField>
    <cacheField name="Subgrupo" numFmtId="0">
      <sharedItems count="5">
        <s v="A4"/>
        <s v="B1"/>
        <s v="B2"/>
        <s v="B3"/>
        <s v="B4"/>
      </sharedItems>
    </cacheField>
    <cacheField name="Modalidade" numFmtId="0">
      <sharedItems count="4">
        <s v="Azul"/>
        <s v="Verde"/>
        <s v="Branca"/>
        <s v="Convencional"/>
      </sharedItems>
    </cacheField>
    <cacheField name="Classe" numFmtId="0">
      <sharedItems count="8">
        <s v="Industrial"/>
        <s v="Comercial"/>
        <s v="Poder público"/>
        <s v="Residencial"/>
        <s v="Rural"/>
        <s v="Consumo próprio"/>
        <s v="Serviço público"/>
        <s v="Iluminação pública"/>
      </sharedItems>
    </cacheField>
    <cacheField name="Subclasse" numFmtId="0">
      <sharedItems count="9">
        <s v="Não se aplica"/>
        <s v="Residencial"/>
        <s v="Residencial baixa renda – faixa 01"/>
        <s v="Residencial baixa renda – faixa 02"/>
        <s v="Residencial baixa renda – faixa 03"/>
        <s v="Residencial baixa renda – faixa 04"/>
        <s v="Aquicultura"/>
        <s v="Água, esgoto e saneamento"/>
        <s v="Iluminação pública – B4a"/>
      </sharedItems>
    </cacheField>
    <cacheField name="Detalhe" numFmtId="0">
      <sharedItems count="3">
        <s v="Não se aplica"/>
        <s v="IRRIG./AQUIC."/>
        <s v="IRRIG./AQUIC. PR"/>
      </sharedItems>
    </cacheField>
    <cacheField name="Agente" numFmtId="0">
      <sharedItems count="1">
        <s v="Não se aplica"/>
      </sharedItems>
    </cacheField>
    <cacheField name="Posto" numFmtId="0">
      <sharedItems count="4">
        <s v="Fora ponta"/>
        <s v="Ponta"/>
        <s v="Não se aplica"/>
        <s v="Intermediário"/>
      </sharedItems>
    </cacheField>
    <cacheField name="AnoMes" numFmtId="14">
      <sharedItems containsSemiMixedTypes="0" containsNonDate="0" containsDate="1" containsString="0" minDate="2021-04-01T00:00:00" maxDate="2022-03-02T00:00:00" count="12">
        <d v="2021-04-01T00:00:00"/>
        <d v="2021-05-01T00:00:00"/>
        <d v="2021-06-01T00:00:00"/>
        <d v="2021-07-01T00:00:00"/>
        <d v="2021-08-01T00:00:00"/>
        <d v="2021-09-01T00:00:00"/>
        <d v="2021-10-01T00:00:00"/>
        <d v="2021-11-01T00:00:00"/>
        <d v="2021-12-01T00:00:00"/>
        <d v="2022-01-01T00:00:00"/>
        <d v="2022-02-01T00:00:00"/>
        <d v="2022-03-01T00:00:00"/>
      </sharedItems>
    </cacheField>
    <cacheField name="D" numFmtId="40">
      <sharedItems containsSemiMixedTypes="0" containsString="0" containsNumber="1" containsInteger="1" minValue="0" maxValue="1101"/>
    </cacheField>
    <cacheField name="Daj" numFmtId="40">
      <sharedItems containsSemiMixedTypes="0" containsString="0" containsNumber="1" containsInteger="1" minValue="0" maxValue="1101"/>
    </cacheField>
    <cacheField name="TUSD_E" numFmtId="40">
      <sharedItems containsSemiMixedTypes="0" containsString="0" containsNumber="1" minValue="-6.3109999999999999" maxValue="2520.4279999999999"/>
    </cacheField>
    <cacheField name="TUSD_Eaj" numFmtId="40">
      <sharedItems containsSemiMixedTypes="0" containsString="0" containsNumber="1" minValue="-6.3109999999999999" maxValue="2520.4279999999999"/>
    </cacheField>
    <cacheField name="TE_E" numFmtId="40">
      <sharedItems containsSemiMixedTypes="0" containsString="0" containsNumber="1" minValue="-6.3109999999999999" maxValue="2520.4279999999999"/>
    </cacheField>
    <cacheField name="TE_Eaj" numFmtId="40">
      <sharedItems containsSemiMixedTypes="0" containsString="0" containsNumber="1" minValue="-6.3109999999999999" maxValue="2520.4279999999999"/>
    </cacheField>
    <cacheField name="UC" numFmtId="40">
      <sharedItems containsSemiMixedTypes="0" containsString="0" containsNumber="1" containsInteger="1" minValue="0" maxValue="14981"/>
    </cacheField>
    <cacheField name="OPÇÃO" numFmtId="0">
      <sharedItems count="1">
        <s v="CATIVO"/>
      </sharedItems>
    </cacheField>
    <cacheField name="CóD. AUX." numFmtId="0">
      <sharedItems containsSemiMixedTypes="0" containsString="0" containsNumber="1" containsInteger="1" minValue="0" maxValue="0"/>
    </cacheField>
    <cacheField name="CóD. AUX. TUSD R$/kW" numFmtId="40">
      <sharedItems containsSemiMixedTypes="0" containsString="0" containsNumber="1" containsInteger="1" minValue="0" maxValue="22"/>
    </cacheField>
    <cacheField name="CóD. AUX. TUSD R$/MWh" numFmtId="40">
      <sharedItems containsSemiMixedTypes="0" containsString="0" containsNumber="1" containsInteger="1" minValue="0" maxValue="41"/>
    </cacheField>
    <cacheField name="CóD. AUX. TE R$/MWh" numFmtId="40">
      <sharedItems containsSemiMixedTypes="0" containsString="0" containsNumber="1" containsInteger="1" minValue="0" maxValue="83"/>
    </cacheField>
    <cacheField name="TUSD (R$/kW)" numFmtId="40">
      <sharedItems containsSemiMixedTypes="0" containsString="0" containsNumber="1" minValue="0" maxValue="164.06"/>
    </cacheField>
    <cacheField name="TUSD (R$/MWh)" numFmtId="40">
      <sharedItems containsSemiMixedTypes="0" containsString="0" containsNumber="1" minValue="0" maxValue="4048.87"/>
    </cacheField>
    <cacheField name="TE (R$/MWh)" numFmtId="40">
      <sharedItems containsSemiMixedTypes="0" containsString="0" containsNumber="1" minValue="0" maxValue="231.33"/>
    </cacheField>
    <cacheField name="TUSD (R$/kW) NOVA" numFmtId="40">
      <sharedItems containsString="0" containsBlank="1" containsNumber="1" minValue="77.970056746860777" maxValue="197.64583260399544"/>
    </cacheField>
    <cacheField name="TUSD (R$/MWh) NOVA" numFmtId="40">
      <sharedItems containsString="0" containsBlank="1" containsNumber="1" minValue="134.11713893574552" maxValue="4887.521063090805"/>
    </cacheField>
    <cacheField name="TE (R$/MWh) NOVA" numFmtId="40">
      <sharedItems containsString="0" containsBlank="1" containsNumber="1" minValue="91.281099691327995" maxValue="260.80314197522284"/>
    </cacheField>
    <cacheField name="RA0 ou RV - TUSD (kW)" numFmtId="40">
      <sharedItems containsSemiMixedTypes="0" containsString="0" containsNumber="1" minValue="0" maxValue="70276.83"/>
    </cacheField>
    <cacheField name="RA0 ou RV - TUSD (MWh)" numFmtId="40">
      <sharedItems containsSemiMixedTypes="0" containsString="0" containsNumber="1" minValue="-5000.8995100000002" maxValue="1997212.3514799997"/>
    </cacheField>
    <cacheField name="RA0 ou RV - TE (MWh)" numFmtId="40">
      <sharedItems containsSemiMixedTypes="0" containsString="0" containsNumber="1" minValue="-1459.92363" maxValue="583050.60924000002"/>
    </cacheField>
    <cacheField name="RA1 ou RRD - TUSD (kW)" numFmtId="40">
      <sharedItems containsSemiMixedTypes="0" containsString="0" containsNumber="1" minValue="0" maxValue="85845.03247829371"/>
    </cacheField>
    <cacheField name="RA1 ou RRD - TUSD (MWh)" numFmtId="40">
      <sharedItems containsSemiMixedTypes="0" containsString="0" containsNumber="1" minValue="-6091.9718223169957" maxValue="2432954.580285023"/>
    </cacheField>
    <cacheField name="RA1 ou RRD - TE (MWh)" numFmtId="40">
      <sharedItems containsSemiMixedTypes="0" containsString="0" containsNumber="1" minValue="-1645.9286290056314" maxValue="657335.54152232688"/>
    </cacheField>
    <cacheField name="Variação TUSD" numFmtId="0" formula="IF(('RA0 ou RV - TUSD (MWh)'+'RA0 ou RV - TUSD (kW)') &lt;&gt;0,('RA1 ou RRD - TUSD (MWh)'+'RA1 ou RRD - TUSD (kW)') /('RA0 ou RV - TUSD (MWh)'+'RA0 ou RV - TUSD (kW)') -1,0)" databaseField="0"/>
    <cacheField name="Variação TE" numFmtId="0" formula="IF('RA0 ou RV - TE (MWh)'&lt;&gt;0,'RA1 ou RRD - TE (MWh)'/'RA0 ou RV - TE (MWh)'-1,0)" databaseField="0"/>
    <cacheField name="Variação" numFmtId="0" formula="IF(('RA0 ou RV - TUSD (MWh)'+'RA0 ou RV - TUSD (kW)'+'RA0 ou RV - TE (MWh)') &lt;&gt;0,('RA1 ou RRD - TUSD (MWh)'+'RA1 ou RRD - TUSD (kW)'+'RA1 ou RRD - TE (MWh)') /('RA0 ou RV - TUSD (MWh)'+'RA0 ou RV - TUSD (kW)'+'RA0 ou RV - TE (MWh)') -1,0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istrador" refreshedDate="44665.531438194441" createdVersion="5" refreshedVersion="7" minRefreshableVersion="3" recordCount="136" xr:uid="{F7BB4BFC-0936-4FA1-A7F1-DDC4E1839304}">
  <cacheSource type="worksheet">
    <worksheetSource name="Subsidio"/>
  </cacheSource>
  <cacheFields count="34">
    <cacheField name="TipoMercado" numFmtId="0">
      <sharedItems/>
    </cacheField>
    <cacheField name="Subgrupo" numFmtId="0">
      <sharedItems count="3">
        <s v="B1"/>
        <s v="B2"/>
        <s v="B3"/>
      </sharedItems>
    </cacheField>
    <cacheField name="Modalidade" numFmtId="0">
      <sharedItems count="1">
        <s v="Convencional"/>
      </sharedItems>
    </cacheField>
    <cacheField name="Classe" numFmtId="0">
      <sharedItems count="3">
        <s v="Residencial"/>
        <s v="Rural"/>
        <s v="Serviço público"/>
      </sharedItems>
    </cacheField>
    <cacheField name="Subclasse" numFmtId="0">
      <sharedItems count="8">
        <s v="Residencial"/>
        <s v="Residencial baixa renda – faixa 01"/>
        <s v="Residencial baixa renda – faixa 02"/>
        <s v="Residencial baixa renda – faixa 03"/>
        <s v="Residencial baixa renda – faixa 04"/>
        <s v="Aquicultura"/>
        <s v="Não se aplica"/>
        <s v="Água, esgoto e saneamento"/>
      </sharedItems>
    </cacheField>
    <cacheField name="Detalhe" numFmtId="0">
      <sharedItems count="3">
        <s v="Não se aplica"/>
        <s v="IRRIG./AQUIC."/>
        <s v="IRRIG./AQUIC. PR"/>
      </sharedItems>
    </cacheField>
    <cacheField name="Agente" numFmtId="0">
      <sharedItems count="1">
        <s v="Não se aplica"/>
      </sharedItems>
    </cacheField>
    <cacheField name="Posto" numFmtId="0">
      <sharedItems count="1">
        <s v="Não se aplica"/>
      </sharedItems>
    </cacheField>
    <cacheField name="AnoMes" numFmtId="14">
      <sharedItems containsSemiMixedTypes="0" containsNonDate="0" containsDate="1" containsString="0" minDate="2021-04-01T00:00:00" maxDate="2022-03-02T00:00:00" count="12">
        <d v="2021-04-01T00:00:00"/>
        <d v="2021-05-01T00:00:00"/>
        <d v="2021-06-01T00:00:00"/>
        <d v="2021-07-01T00:00:00"/>
        <d v="2021-08-01T00:00:00"/>
        <d v="2021-09-01T00:00:00"/>
        <d v="2021-10-01T00:00:00"/>
        <d v="2021-11-01T00:00:00"/>
        <d v="2021-12-01T00:00:00"/>
        <d v="2022-01-01T00:00:00"/>
        <d v="2022-02-01T00:00:00"/>
        <d v="2022-03-01T00:00:00"/>
      </sharedItems>
    </cacheField>
    <cacheField name="D" numFmtId="40">
      <sharedItems containsSemiMixedTypes="0" containsString="0" containsNumber="1" containsInteger="1" minValue="0" maxValue="0"/>
    </cacheField>
    <cacheField name="Daj" numFmtId="40">
      <sharedItems containsSemiMixedTypes="0" containsString="0" containsNumber="1" containsInteger="1" minValue="0" maxValue="0"/>
    </cacheField>
    <cacheField name="TUSD_E" numFmtId="40">
      <sharedItems containsSemiMixedTypes="0" containsString="0" containsNumber="1" minValue="-5.1070000000000002" maxValue="2505.59"/>
    </cacheField>
    <cacheField name="TUSD_Eaj" numFmtId="40">
      <sharedItems containsSemiMixedTypes="0" containsString="0" containsNumber="1" minValue="-5.1070000000000002" maxValue="2505.59"/>
    </cacheField>
    <cacheField name="TE_E" numFmtId="40">
      <sharedItems containsSemiMixedTypes="0" containsString="0" containsNumber="1" minValue="-5.1070000000000002" maxValue="2505.59"/>
    </cacheField>
    <cacheField name="TE_Eaj" numFmtId="40">
      <sharedItems containsSemiMixedTypes="0" containsString="0" containsNumber="1" minValue="-5.1070000000000002" maxValue="2505.59"/>
    </cacheField>
    <cacheField name="UC" numFmtId="40">
      <sharedItems containsSemiMixedTypes="0" containsString="0" containsNumber="1" containsInteger="1" minValue="0" maxValue="14846"/>
    </cacheField>
    <cacheField name="OPÇÃO" numFmtId="0">
      <sharedItems/>
    </cacheField>
    <cacheField name="CóD. AUX." numFmtId="0">
      <sharedItems containsSemiMixedTypes="0" containsString="0" containsNumber="1" containsInteger="1" minValue="0" maxValue="0"/>
    </cacheField>
    <cacheField name="CóD. AUX. TUSD R$/kW" numFmtId="0">
      <sharedItems containsSemiMixedTypes="0" containsString="0" containsNumber="1" containsInteger="1" minValue="0" maxValue="0"/>
    </cacheField>
    <cacheField name="CóD. AUX. TUSD R$/MWh" numFmtId="0">
      <sharedItems containsSemiMixedTypes="0" containsString="0" containsNumber="1" containsInteger="1" minValue="9" maxValue="39"/>
    </cacheField>
    <cacheField name="CóD. AUX. TE R$/MWh" numFmtId="0">
      <sharedItems containsSemiMixedTypes="0" containsString="0" containsNumber="1" containsInteger="1" minValue="45" maxValue="73"/>
    </cacheField>
    <cacheField name="TUSD (R$/kW)" numFmtId="40">
      <sharedItems containsSemiMixedTypes="0" containsString="0" containsNumber="1" containsInteger="1" minValue="0" maxValue="0"/>
    </cacheField>
    <cacheField name="TUSD (R$/MWh)" numFmtId="40">
      <sharedItems containsSemiMixedTypes="0" containsString="0" containsNumber="1" minValue="244.97" maxValue="792.41"/>
    </cacheField>
    <cacheField name="TE (R$/MWh)" numFmtId="40">
      <sharedItems containsSemiMixedTypes="0" containsString="0" containsNumber="1" minValue="80.97" maxValue="231.33"/>
    </cacheField>
    <cacheField name="TUSD (R$/kW) NOVA" numFmtId="40">
      <sharedItems containsNonDate="0" containsString="0" containsBlank="1"/>
    </cacheField>
    <cacheField name="TUSD (R$/MWh) NOVA" numFmtId="40">
      <sharedItems containsSemiMixedTypes="0" containsString="0" containsNumber="1" minValue="291.74910259255694" maxValue="965.29421998367866"/>
    </cacheField>
    <cacheField name="TE (R$/MWh) NOVA" numFmtId="40">
      <sharedItems containsSemiMixedTypes="0" containsString="0" containsNumber="1" minValue="91.281099691327995" maxValue="260.80314197522284"/>
    </cacheField>
    <cacheField name="SUBSIDIO kW - TV" numFmtId="40">
      <sharedItems containsSemiMixedTypes="0" containsString="0" containsNumber="1" containsInteger="1" minValue="0" maxValue="0"/>
    </cacheField>
    <cacheField name="SUBSIDIO MWh - TV" numFmtId="40">
      <sharedItems containsSemiMixedTypes="0" containsString="0" containsNumber="1" minValue="-3091.2671" maxValue="38708.806499999984"/>
    </cacheField>
    <cacheField name="SUBSIDIO kW - TN" numFmtId="40">
      <sharedItems containsSemiMixedTypes="0" containsString="0" containsNumber="1" containsInteger="1" minValue="0" maxValue="0"/>
    </cacheField>
    <cacheField name="SUBSIDIO MWh - TN" numFmtId="40">
      <sharedItems containsSemiMixedTypes="0" containsString="0" containsNumber="1" minValue="-3632.822594261344" maxValue="39053.321676062304"/>
    </cacheField>
    <cacheField name="TIPO" numFmtId="0">
      <sharedItems containsBlank="1" count="5">
        <m/>
        <s v="SUBSIDIO BAIXA RENDA"/>
        <s v="SUBSIDIO RURAL"/>
        <s v="SUBSIDIO IRRIGANTE/AQUICULTOR"/>
        <s v="SUBSIDIO ÁGUA, ESGOTO E SANEAMENTO"/>
      </sharedItems>
    </cacheField>
    <cacheField name="TOTAL TV" numFmtId="0" formula="'SUBSIDIO kW - TV'+'SUBSIDIO MWh - TV'" databaseField="0"/>
    <cacheField name="TOTAL TN" numFmtId="0" formula="'SUBSIDIO kW - TN'+'SUBSIDIO MWh - TN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68">
  <r>
    <s v="Regular"/>
    <x v="0"/>
    <x v="0"/>
    <x v="0"/>
    <x v="0"/>
    <x v="0"/>
    <x v="0"/>
    <x v="0"/>
    <x v="0"/>
    <n v="92"/>
    <n v="92"/>
    <n v="54.991999999999997"/>
    <n v="54.991999999999997"/>
    <n v="54.991999999999997"/>
    <n v="54.991999999999997"/>
    <n v="0"/>
    <x v="0"/>
    <n v="0"/>
    <n v="2"/>
    <n v="3"/>
    <n v="83"/>
    <n v="63.83"/>
    <n v="103.26"/>
    <n v="231.33"/>
    <n v="77.970056746860777"/>
    <n v="134.11713893574552"/>
    <n v="260.80314197522284"/>
    <n v="5872.36"/>
    <n v="5678.4739200000004"/>
    <n v="12721.299360000001"/>
    <n v="7173.2452207111919"/>
    <n v="7375.3697043545171"/>
    <n v="14342.086383501453"/>
  </r>
  <r>
    <s v="Regular"/>
    <x v="0"/>
    <x v="0"/>
    <x v="0"/>
    <x v="0"/>
    <x v="0"/>
    <x v="0"/>
    <x v="0"/>
    <x v="1"/>
    <n v="92"/>
    <n v="92"/>
    <n v="57.692999999999998"/>
    <n v="57.692999999999998"/>
    <n v="57.692999999999998"/>
    <n v="57.692999999999998"/>
    <n v="0"/>
    <x v="0"/>
    <n v="0"/>
    <n v="2"/>
    <n v="3"/>
    <n v="83"/>
    <n v="63.83"/>
    <n v="103.26"/>
    <n v="231.33"/>
    <n v="77.970056746860777"/>
    <n v="134.11713893574552"/>
    <n v="260.80314197522284"/>
    <n v="5872.36"/>
    <n v="5957.3791799999999"/>
    <n v="13346.12169"/>
    <n v="7173.2452207111919"/>
    <n v="7737.6200966199658"/>
    <n v="15046.51566997653"/>
  </r>
  <r>
    <s v="Regular"/>
    <x v="0"/>
    <x v="0"/>
    <x v="0"/>
    <x v="0"/>
    <x v="0"/>
    <x v="0"/>
    <x v="0"/>
    <x v="2"/>
    <n v="91"/>
    <n v="91"/>
    <n v="54.518000000000001"/>
    <n v="54.518000000000001"/>
    <n v="54.518000000000001"/>
    <n v="54.518000000000001"/>
    <n v="0"/>
    <x v="0"/>
    <n v="0"/>
    <n v="2"/>
    <n v="3"/>
    <n v="83"/>
    <n v="63.83"/>
    <n v="103.26"/>
    <n v="231.33"/>
    <n v="77.970056746860777"/>
    <n v="134.11713893574552"/>
    <n v="260.80314197522284"/>
    <n v="5808.53"/>
    <n v="5629.5286800000003"/>
    <n v="12611.648940000001"/>
    <n v="7095.2751639643311"/>
    <n v="7311.798180498974"/>
    <n v="14218.465694205199"/>
  </r>
  <r>
    <s v="Regular"/>
    <x v="0"/>
    <x v="0"/>
    <x v="0"/>
    <x v="0"/>
    <x v="0"/>
    <x v="0"/>
    <x v="0"/>
    <x v="3"/>
    <n v="91"/>
    <n v="91"/>
    <n v="56.551000000000002"/>
    <n v="56.551000000000002"/>
    <n v="56.551000000000002"/>
    <n v="56.551000000000002"/>
    <n v="0"/>
    <x v="0"/>
    <n v="0"/>
    <n v="2"/>
    <n v="3"/>
    <n v="83"/>
    <n v="63.83"/>
    <n v="103.26"/>
    <n v="231.33"/>
    <n v="77.970056746860777"/>
    <n v="134.11713893574552"/>
    <n v="260.80314197522284"/>
    <n v="5808.53"/>
    <n v="5839.4562600000008"/>
    <n v="13081.942830000002"/>
    <n v="7095.2751639643311"/>
    <n v="7584.4583239553449"/>
    <n v="14748.678481840827"/>
  </r>
  <r>
    <s v="Regular"/>
    <x v="0"/>
    <x v="0"/>
    <x v="0"/>
    <x v="0"/>
    <x v="0"/>
    <x v="0"/>
    <x v="0"/>
    <x v="4"/>
    <n v="91"/>
    <n v="91"/>
    <n v="56.05"/>
    <n v="56.05"/>
    <n v="56.05"/>
    <n v="56.05"/>
    <n v="0"/>
    <x v="0"/>
    <n v="0"/>
    <n v="2"/>
    <n v="3"/>
    <n v="83"/>
    <n v="63.83"/>
    <n v="103.26"/>
    <n v="231.33"/>
    <n v="77.970056746860777"/>
    <n v="134.11713893574552"/>
    <n v="260.80314197522284"/>
    <n v="5808.53"/>
    <n v="5787.723"/>
    <n v="12966.0465"/>
    <n v="7095.2751639643311"/>
    <n v="7517.2656373485361"/>
    <n v="14618.016107711239"/>
  </r>
  <r>
    <s v="Regular"/>
    <x v="0"/>
    <x v="0"/>
    <x v="0"/>
    <x v="0"/>
    <x v="0"/>
    <x v="0"/>
    <x v="0"/>
    <x v="5"/>
    <n v="92"/>
    <n v="92"/>
    <n v="53.908999999999999"/>
    <n v="53.908999999999999"/>
    <n v="53.908999999999999"/>
    <n v="53.908999999999999"/>
    <n v="0"/>
    <x v="0"/>
    <n v="0"/>
    <n v="2"/>
    <n v="3"/>
    <n v="83"/>
    <n v="63.83"/>
    <n v="103.26"/>
    <n v="231.33"/>
    <n v="77.970056746860777"/>
    <n v="134.11713893574552"/>
    <n v="260.80314197522284"/>
    <n v="5872.36"/>
    <n v="5566.6433400000005"/>
    <n v="12470.768970000001"/>
    <n v="7173.2452207111919"/>
    <n v="7230.120842887105"/>
    <n v="14059.636580742288"/>
  </r>
  <r>
    <s v="Regular"/>
    <x v="0"/>
    <x v="0"/>
    <x v="0"/>
    <x v="0"/>
    <x v="0"/>
    <x v="0"/>
    <x v="0"/>
    <x v="6"/>
    <n v="93"/>
    <n v="93"/>
    <n v="55.83"/>
    <n v="55.83"/>
    <n v="55.83"/>
    <n v="55.83"/>
    <n v="0"/>
    <x v="0"/>
    <n v="0"/>
    <n v="2"/>
    <n v="3"/>
    <n v="83"/>
    <n v="63.83"/>
    <n v="103.26"/>
    <n v="231.33"/>
    <n v="77.970056746860777"/>
    <n v="134.11713893574552"/>
    <n v="260.80314197522284"/>
    <n v="5936.19"/>
    <n v="5765.0057999999999"/>
    <n v="12915.153900000001"/>
    <n v="7251.2152774580527"/>
    <n v="7487.7598667826715"/>
    <n v="14560.639416476692"/>
  </r>
  <r>
    <s v="Regular"/>
    <x v="0"/>
    <x v="0"/>
    <x v="0"/>
    <x v="0"/>
    <x v="0"/>
    <x v="0"/>
    <x v="0"/>
    <x v="7"/>
    <n v="91"/>
    <n v="91"/>
    <n v="54.168999999999997"/>
    <n v="54.168999999999997"/>
    <n v="54.168999999999997"/>
    <n v="54.168999999999997"/>
    <n v="0"/>
    <x v="0"/>
    <n v="0"/>
    <n v="2"/>
    <n v="3"/>
    <n v="83"/>
    <n v="63.83"/>
    <n v="103.26"/>
    <n v="231.33"/>
    <n v="77.970056746860777"/>
    <n v="134.11713893574552"/>
    <n v="260.80314197522284"/>
    <n v="5808.53"/>
    <n v="5593.4909399999997"/>
    <n v="12530.914769999999"/>
    <n v="7095.2751639643311"/>
    <n v="7264.9912990103985"/>
    <n v="14127.445397655845"/>
  </r>
  <r>
    <s v="Regular"/>
    <x v="0"/>
    <x v="0"/>
    <x v="0"/>
    <x v="0"/>
    <x v="0"/>
    <x v="0"/>
    <x v="0"/>
    <x v="8"/>
    <n v="90"/>
    <n v="90"/>
    <n v="54.517000000000003"/>
    <n v="54.517000000000003"/>
    <n v="54.517000000000003"/>
    <n v="54.517000000000003"/>
    <n v="0"/>
    <x v="0"/>
    <n v="0"/>
    <n v="2"/>
    <n v="3"/>
    <n v="83"/>
    <n v="63.83"/>
    <n v="103.26"/>
    <n v="231.33"/>
    <n v="77.970056746860777"/>
    <n v="134.11713893574552"/>
    <n v="260.80314197522284"/>
    <n v="5744.7"/>
    <n v="5629.4254200000005"/>
    <n v="12611.417610000002"/>
    <n v="7017.3051072174703"/>
    <n v="7311.6640633600391"/>
    <n v="14218.204891063224"/>
  </r>
  <r>
    <s v="Regular"/>
    <x v="0"/>
    <x v="0"/>
    <x v="0"/>
    <x v="0"/>
    <x v="0"/>
    <x v="0"/>
    <x v="0"/>
    <x v="9"/>
    <n v="90"/>
    <n v="90"/>
    <n v="53.551000000000002"/>
    <n v="53.551000000000002"/>
    <n v="53.551000000000002"/>
    <n v="53.551000000000002"/>
    <n v="0"/>
    <x v="0"/>
    <n v="0"/>
    <n v="2"/>
    <n v="3"/>
    <n v="83"/>
    <n v="63.83"/>
    <n v="103.26"/>
    <n v="231.33"/>
    <n v="77.970056746860777"/>
    <n v="134.11713893574552"/>
    <n v="260.80314197522284"/>
    <n v="5744.7"/>
    <n v="5529.6762600000002"/>
    <n v="12387.952830000002"/>
    <n v="7017.3051072174703"/>
    <n v="7182.1069071481088"/>
    <n v="13966.26905591516"/>
  </r>
  <r>
    <s v="Regular"/>
    <x v="0"/>
    <x v="0"/>
    <x v="0"/>
    <x v="0"/>
    <x v="0"/>
    <x v="0"/>
    <x v="0"/>
    <x v="10"/>
    <n v="90"/>
    <n v="90"/>
    <n v="49.460999999999999"/>
    <n v="49.460999999999999"/>
    <n v="49.460999999999999"/>
    <n v="49.460999999999999"/>
    <n v="0"/>
    <x v="0"/>
    <n v="0"/>
    <n v="2"/>
    <n v="3"/>
    <n v="83"/>
    <n v="63.83"/>
    <n v="103.26"/>
    <n v="231.33"/>
    <n v="77.970056746860777"/>
    <n v="134.11713893574552"/>
    <n v="260.80314197522284"/>
    <n v="5744.7"/>
    <n v="5107.3428599999997"/>
    <n v="11441.81313"/>
    <n v="7017.3051072174703"/>
    <n v="6633.5678089009089"/>
    <n v="12899.584205236497"/>
  </r>
  <r>
    <s v="Regular"/>
    <x v="0"/>
    <x v="0"/>
    <x v="0"/>
    <x v="0"/>
    <x v="0"/>
    <x v="0"/>
    <x v="0"/>
    <x v="11"/>
    <n v="92"/>
    <n v="92"/>
    <n v="56.453000000000003"/>
    <n v="56.453000000000003"/>
    <n v="56.453000000000003"/>
    <n v="56.453000000000003"/>
    <n v="0"/>
    <x v="0"/>
    <n v="0"/>
    <n v="2"/>
    <n v="3"/>
    <n v="83"/>
    <n v="63.83"/>
    <n v="103.26"/>
    <n v="231.33"/>
    <n v="77.970056746860777"/>
    <n v="134.11713893574552"/>
    <n v="260.80314197522284"/>
    <n v="5872.36"/>
    <n v="5829.3367800000005"/>
    <n v="13059.272490000001"/>
    <n v="7173.2452207111919"/>
    <n v="7571.3148443396421"/>
    <n v="14723.119773927256"/>
  </r>
  <r>
    <s v="Regular"/>
    <x v="0"/>
    <x v="0"/>
    <x v="0"/>
    <x v="0"/>
    <x v="0"/>
    <x v="0"/>
    <x v="1"/>
    <x v="0"/>
    <n v="32"/>
    <n v="32"/>
    <n v="1.7969999999999999"/>
    <n v="1.7969999999999999"/>
    <n v="1.7969999999999999"/>
    <n v="1.7969999999999999"/>
    <n v="0"/>
    <x v="0"/>
    <n v="0"/>
    <n v="1"/>
    <n v="3"/>
    <n v="82"/>
    <n v="164.06"/>
    <n v="103.26"/>
    <n v="231.33"/>
    <n v="197.64583260399544"/>
    <n v="134.11713893574552"/>
    <n v="260.80314197522284"/>
    <n v="5249.92"/>
    <n v="185.55822000000001"/>
    <n v="415.70001000000002"/>
    <n v="6324.6666433278542"/>
    <n v="241.0084986675347"/>
    <n v="468.66324612947545"/>
  </r>
  <r>
    <s v="Regular"/>
    <x v="0"/>
    <x v="0"/>
    <x v="0"/>
    <x v="0"/>
    <x v="0"/>
    <x v="0"/>
    <x v="1"/>
    <x v="1"/>
    <n v="32"/>
    <n v="32"/>
    <n v="1.8919999999999999"/>
    <n v="1.8919999999999999"/>
    <n v="1.8919999999999999"/>
    <n v="1.8919999999999999"/>
    <n v="0"/>
    <x v="0"/>
    <n v="0"/>
    <n v="1"/>
    <n v="3"/>
    <n v="82"/>
    <n v="164.06"/>
    <n v="103.26"/>
    <n v="231.33"/>
    <n v="197.64583260399544"/>
    <n v="134.11713893574552"/>
    <n v="260.80314197522284"/>
    <n v="5249.92"/>
    <n v="195.36792"/>
    <n v="437.67635999999999"/>
    <n v="6324.6666433278542"/>
    <n v="253.7496268664305"/>
    <n v="493.43954461712161"/>
  </r>
  <r>
    <s v="Regular"/>
    <x v="0"/>
    <x v="0"/>
    <x v="0"/>
    <x v="0"/>
    <x v="0"/>
    <x v="0"/>
    <x v="1"/>
    <x v="2"/>
    <n v="32"/>
    <n v="32"/>
    <n v="1.89"/>
    <n v="1.89"/>
    <n v="1.89"/>
    <n v="1.89"/>
    <n v="0"/>
    <x v="0"/>
    <n v="0"/>
    <n v="1"/>
    <n v="3"/>
    <n v="82"/>
    <n v="164.06"/>
    <n v="103.26"/>
    <n v="231.33"/>
    <n v="197.64583260399544"/>
    <n v="134.11713893574552"/>
    <n v="260.80314197522284"/>
    <n v="5249.92"/>
    <n v="195.16139999999999"/>
    <n v="437.21370000000002"/>
    <n v="6324.6666433278542"/>
    <n v="253.481392588559"/>
    <n v="492.91793833317115"/>
  </r>
  <r>
    <s v="Regular"/>
    <x v="0"/>
    <x v="0"/>
    <x v="0"/>
    <x v="0"/>
    <x v="0"/>
    <x v="0"/>
    <x v="1"/>
    <x v="3"/>
    <n v="32"/>
    <n v="32"/>
    <n v="1.9450000000000001"/>
    <n v="1.9450000000000001"/>
    <n v="1.9450000000000001"/>
    <n v="1.9450000000000001"/>
    <n v="0"/>
    <x v="0"/>
    <n v="0"/>
    <n v="1"/>
    <n v="3"/>
    <n v="82"/>
    <n v="164.06"/>
    <n v="103.26"/>
    <n v="231.33"/>
    <n v="197.64583260399544"/>
    <n v="134.11713893574552"/>
    <n v="260.80314197522284"/>
    <n v="5249.92"/>
    <n v="200.84070000000003"/>
    <n v="449.93685000000005"/>
    <n v="6324.6666433278542"/>
    <n v="260.85783523002505"/>
    <n v="507.26211114180842"/>
  </r>
  <r>
    <s v="Regular"/>
    <x v="0"/>
    <x v="0"/>
    <x v="0"/>
    <x v="0"/>
    <x v="0"/>
    <x v="0"/>
    <x v="1"/>
    <x v="4"/>
    <n v="31"/>
    <n v="31"/>
    <n v="1.9350000000000001"/>
    <n v="1.9350000000000001"/>
    <n v="1.9350000000000001"/>
    <n v="1.9350000000000001"/>
    <n v="0"/>
    <x v="0"/>
    <n v="0"/>
    <n v="1"/>
    <n v="3"/>
    <n v="82"/>
    <n v="164.06"/>
    <n v="103.26"/>
    <n v="231.33"/>
    <n v="197.64583260399544"/>
    <n v="134.11713893574552"/>
    <n v="260.80314197522284"/>
    <n v="5085.8599999999997"/>
    <n v="199.80810000000002"/>
    <n v="447.62355000000002"/>
    <n v="6127.0208107238586"/>
    <n v="259.5166638406676"/>
    <n v="504.65407972205622"/>
  </r>
  <r>
    <s v="Regular"/>
    <x v="0"/>
    <x v="0"/>
    <x v="0"/>
    <x v="0"/>
    <x v="0"/>
    <x v="0"/>
    <x v="1"/>
    <x v="5"/>
    <n v="35"/>
    <n v="35"/>
    <n v="1.853"/>
    <n v="1.853"/>
    <n v="1.853"/>
    <n v="1.853"/>
    <n v="0"/>
    <x v="0"/>
    <n v="0"/>
    <n v="1"/>
    <n v="3"/>
    <n v="82"/>
    <n v="164.06"/>
    <n v="103.26"/>
    <n v="231.33"/>
    <n v="197.64583260399544"/>
    <n v="134.11713893574552"/>
    <n v="260.80314197522284"/>
    <n v="5742.1"/>
    <n v="191.34078"/>
    <n v="428.65449000000001"/>
    <n v="6917.604141139841"/>
    <n v="248.51905844793643"/>
    <n v="483.26822208008792"/>
  </r>
  <r>
    <s v="Regular"/>
    <x v="0"/>
    <x v="0"/>
    <x v="0"/>
    <x v="0"/>
    <x v="0"/>
    <x v="0"/>
    <x v="1"/>
    <x v="6"/>
    <n v="31"/>
    <n v="31"/>
    <n v="1.764"/>
    <n v="1.764"/>
    <n v="1.764"/>
    <n v="1.764"/>
    <n v="0"/>
    <x v="0"/>
    <n v="0"/>
    <n v="1"/>
    <n v="3"/>
    <n v="82"/>
    <n v="164.06"/>
    <n v="103.26"/>
    <n v="231.33"/>
    <n v="197.64583260399544"/>
    <n v="134.11713893574552"/>
    <n v="260.80314197522284"/>
    <n v="5085.8599999999997"/>
    <n v="182.15064000000001"/>
    <n v="408.06612000000001"/>
    <n v="6127.0208107238586"/>
    <n v="236.58263308265509"/>
    <n v="460.05674244429309"/>
  </r>
  <r>
    <s v="Regular"/>
    <x v="0"/>
    <x v="0"/>
    <x v="0"/>
    <x v="0"/>
    <x v="0"/>
    <x v="0"/>
    <x v="1"/>
    <x v="7"/>
    <n v="31"/>
    <n v="31"/>
    <n v="1.77"/>
    <n v="1.77"/>
    <n v="1.77"/>
    <n v="1.77"/>
    <n v="0"/>
    <x v="0"/>
    <n v="0"/>
    <n v="1"/>
    <n v="3"/>
    <n v="82"/>
    <n v="164.06"/>
    <n v="103.26"/>
    <n v="231.33"/>
    <n v="197.64583260399544"/>
    <n v="134.11713893574552"/>
    <n v="260.80314197522284"/>
    <n v="5085.8599999999997"/>
    <n v="182.77020000000002"/>
    <n v="409.45410000000004"/>
    <n v="6127.0208107238586"/>
    <n v="237.38733591626956"/>
    <n v="461.62156129614442"/>
  </r>
  <r>
    <s v="Regular"/>
    <x v="0"/>
    <x v="0"/>
    <x v="0"/>
    <x v="0"/>
    <x v="0"/>
    <x v="0"/>
    <x v="1"/>
    <x v="8"/>
    <n v="32"/>
    <n v="32"/>
    <n v="1.986"/>
    <n v="1.986"/>
    <n v="1.986"/>
    <n v="1.986"/>
    <n v="0"/>
    <x v="0"/>
    <n v="0"/>
    <n v="1"/>
    <n v="3"/>
    <n v="82"/>
    <n v="164.06"/>
    <n v="103.26"/>
    <n v="231.33"/>
    <n v="197.64583260399544"/>
    <n v="134.11713893574552"/>
    <n v="260.80314197522284"/>
    <n v="5249.92"/>
    <n v="205.07436000000001"/>
    <n v="459.42138"/>
    <n v="6324.6666433278542"/>
    <n v="266.35663792639059"/>
    <n v="517.95503996279251"/>
  </r>
  <r>
    <s v="Regular"/>
    <x v="0"/>
    <x v="0"/>
    <x v="0"/>
    <x v="0"/>
    <x v="0"/>
    <x v="0"/>
    <x v="1"/>
    <x v="9"/>
    <n v="32"/>
    <n v="32"/>
    <n v="1.7709999999999999"/>
    <n v="1.7709999999999999"/>
    <n v="1.7709999999999999"/>
    <n v="1.7709999999999999"/>
    <n v="0"/>
    <x v="0"/>
    <n v="0"/>
    <n v="1"/>
    <n v="3"/>
    <n v="82"/>
    <n v="164.06"/>
    <n v="103.26"/>
    <n v="231.33"/>
    <n v="197.64583260399544"/>
    <n v="134.11713893574552"/>
    <n v="260.80314197522284"/>
    <n v="5249.92"/>
    <n v="182.87345999999999"/>
    <n v="409.68543"/>
    <n v="6324.6666433278542"/>
    <n v="237.52145305520528"/>
    <n v="461.88236443811962"/>
  </r>
  <r>
    <s v="Regular"/>
    <x v="0"/>
    <x v="0"/>
    <x v="0"/>
    <x v="0"/>
    <x v="0"/>
    <x v="0"/>
    <x v="1"/>
    <x v="10"/>
    <n v="32"/>
    <n v="32"/>
    <n v="1.766"/>
    <n v="1.766"/>
    <n v="1.766"/>
    <n v="1.766"/>
    <n v="0"/>
    <x v="0"/>
    <n v="0"/>
    <n v="1"/>
    <n v="3"/>
    <n v="82"/>
    <n v="164.06"/>
    <n v="103.26"/>
    <n v="231.33"/>
    <n v="197.64583260399544"/>
    <n v="134.11713893574552"/>
    <n v="260.80314197522284"/>
    <n v="5249.92"/>
    <n v="182.35716000000002"/>
    <n v="408.52878000000004"/>
    <n v="6324.6666433278542"/>
    <n v="236.85086736052659"/>
    <n v="460.57834872824355"/>
  </r>
  <r>
    <s v="Regular"/>
    <x v="0"/>
    <x v="0"/>
    <x v="0"/>
    <x v="0"/>
    <x v="0"/>
    <x v="0"/>
    <x v="1"/>
    <x v="11"/>
    <n v="32"/>
    <n v="32"/>
    <n v="1.9650000000000001"/>
    <n v="1.9650000000000001"/>
    <n v="1.9650000000000001"/>
    <n v="1.9650000000000001"/>
    <n v="0"/>
    <x v="0"/>
    <n v="0"/>
    <n v="1"/>
    <n v="3"/>
    <n v="82"/>
    <n v="164.06"/>
    <n v="103.26"/>
    <n v="231.33"/>
    <n v="197.64583260399544"/>
    <n v="134.11713893574552"/>
    <n v="260.80314197522284"/>
    <n v="5249.92"/>
    <n v="202.90590000000003"/>
    <n v="454.56345000000005"/>
    <n v="6324.6666433278542"/>
    <n v="263.54017800873993"/>
    <n v="512.47817398131292"/>
  </r>
  <r>
    <s v="Regular"/>
    <x v="0"/>
    <x v="1"/>
    <x v="1"/>
    <x v="0"/>
    <x v="0"/>
    <x v="0"/>
    <x v="0"/>
    <x v="0"/>
    <n v="0"/>
    <n v="0"/>
    <n v="40.823999999999998"/>
    <n v="40.823999999999998"/>
    <n v="40.823999999999998"/>
    <n v="40.823999999999998"/>
    <n v="0"/>
    <x v="0"/>
    <n v="0"/>
    <n v="0"/>
    <n v="24"/>
    <n v="83"/>
    <n v="0"/>
    <n v="103.26"/>
    <n v="231.33"/>
    <m/>
    <n v="134.11713893574552"/>
    <n v="260.80314197522284"/>
    <n v="0"/>
    <n v="4215.4862400000002"/>
    <n v="9443.8159200000009"/>
    <n v="0"/>
    <n v="5475.1980799128751"/>
    <n v="10647.027467996497"/>
  </r>
  <r>
    <s v="Regular"/>
    <x v="0"/>
    <x v="1"/>
    <x v="1"/>
    <x v="0"/>
    <x v="0"/>
    <x v="0"/>
    <x v="0"/>
    <x v="1"/>
    <n v="0"/>
    <n v="0"/>
    <n v="41.585999999999999"/>
    <n v="41.585999999999999"/>
    <n v="41.585999999999999"/>
    <n v="41.585999999999999"/>
    <n v="0"/>
    <x v="0"/>
    <n v="0"/>
    <n v="0"/>
    <n v="24"/>
    <n v="83"/>
    <n v="0"/>
    <n v="103.26"/>
    <n v="231.33"/>
    <m/>
    <n v="134.11713893574552"/>
    <n v="260.80314197522284"/>
    <n v="0"/>
    <n v="4294.1703600000001"/>
    <n v="9620.0893799999994"/>
    <n v="0"/>
    <n v="5577.3953397819132"/>
    <n v="10845.759462181617"/>
  </r>
  <r>
    <s v="Regular"/>
    <x v="0"/>
    <x v="1"/>
    <x v="1"/>
    <x v="0"/>
    <x v="0"/>
    <x v="0"/>
    <x v="0"/>
    <x v="2"/>
    <n v="0"/>
    <n v="0"/>
    <n v="38.689"/>
    <n v="38.689"/>
    <n v="38.689"/>
    <n v="38.689"/>
    <n v="0"/>
    <x v="0"/>
    <n v="0"/>
    <n v="0"/>
    <n v="24"/>
    <n v="83"/>
    <n v="0"/>
    <n v="103.26"/>
    <n v="231.33"/>
    <m/>
    <n v="134.11713893574552"/>
    <n v="260.80314197522284"/>
    <n v="0"/>
    <n v="3995.0261400000004"/>
    <n v="8949.926370000001"/>
    <n v="0"/>
    <n v="5188.8579882850581"/>
    <n v="10090.212759879396"/>
  </r>
  <r>
    <s v="Regular"/>
    <x v="0"/>
    <x v="1"/>
    <x v="1"/>
    <x v="0"/>
    <x v="0"/>
    <x v="0"/>
    <x v="0"/>
    <x v="3"/>
    <n v="0"/>
    <n v="0"/>
    <n v="37.610999999999997"/>
    <n v="37.610999999999997"/>
    <n v="37.610999999999997"/>
    <n v="37.610999999999997"/>
    <n v="0"/>
    <x v="0"/>
    <n v="0"/>
    <n v="0"/>
    <n v="24"/>
    <n v="83"/>
    <n v="0"/>
    <n v="103.26"/>
    <n v="231.33"/>
    <m/>
    <n v="134.11713893574552"/>
    <n v="260.80314197522284"/>
    <n v="0"/>
    <n v="3883.7118599999999"/>
    <n v="8700.5526300000001"/>
    <n v="0"/>
    <n v="5044.2797125123243"/>
    <n v="9809.0669728301054"/>
  </r>
  <r>
    <s v="Regular"/>
    <x v="0"/>
    <x v="1"/>
    <x v="1"/>
    <x v="0"/>
    <x v="0"/>
    <x v="0"/>
    <x v="0"/>
    <x v="4"/>
    <n v="0"/>
    <n v="0"/>
    <n v="37.991999999999997"/>
    <n v="37.991999999999997"/>
    <n v="37.991999999999997"/>
    <n v="37.991999999999997"/>
    <n v="0"/>
    <x v="0"/>
    <n v="0"/>
    <n v="0"/>
    <n v="24"/>
    <n v="83"/>
    <n v="0"/>
    <n v="103.26"/>
    <n v="231.33"/>
    <m/>
    <n v="134.11713893574552"/>
    <n v="260.80314197522284"/>
    <n v="0"/>
    <n v="3923.0539199999998"/>
    <n v="8788.6893600000003"/>
    <n v="0"/>
    <n v="5095.3783424468429"/>
    <n v="9908.4329699226655"/>
  </r>
  <r>
    <s v="Regular"/>
    <x v="0"/>
    <x v="1"/>
    <x v="1"/>
    <x v="0"/>
    <x v="0"/>
    <x v="0"/>
    <x v="0"/>
    <x v="5"/>
    <n v="0"/>
    <n v="0"/>
    <n v="40.921999999999997"/>
    <n v="40.921999999999997"/>
    <n v="40.921999999999997"/>
    <n v="40.921999999999997"/>
    <n v="0"/>
    <x v="0"/>
    <n v="0"/>
    <n v="0"/>
    <n v="24"/>
    <n v="83"/>
    <n v="0"/>
    <n v="103.26"/>
    <n v="231.33"/>
    <m/>
    <n v="134.11713893574552"/>
    <n v="260.80314197522284"/>
    <n v="0"/>
    <n v="4225.6057199999996"/>
    <n v="9466.4862599999997"/>
    <n v="0"/>
    <n v="5488.3415595285778"/>
    <n v="10672.586175910068"/>
  </r>
  <r>
    <s v="Regular"/>
    <x v="0"/>
    <x v="1"/>
    <x v="1"/>
    <x v="0"/>
    <x v="0"/>
    <x v="0"/>
    <x v="0"/>
    <x v="6"/>
    <n v="0"/>
    <n v="0"/>
    <n v="41.417999999999999"/>
    <n v="41.417999999999999"/>
    <n v="41.417999999999999"/>
    <n v="41.417999999999999"/>
    <n v="0"/>
    <x v="0"/>
    <n v="0"/>
    <n v="0"/>
    <n v="24"/>
    <n v="83"/>
    <n v="0"/>
    <n v="103.26"/>
    <n v="231.33"/>
    <m/>
    <n v="134.11713893574552"/>
    <n v="260.80314197522284"/>
    <n v="0"/>
    <n v="4276.8226800000002"/>
    <n v="9581.2259400000003"/>
    <n v="0"/>
    <n v="5554.8636604407075"/>
    <n v="10801.944534329779"/>
  </r>
  <r>
    <s v="Regular"/>
    <x v="0"/>
    <x v="1"/>
    <x v="1"/>
    <x v="0"/>
    <x v="0"/>
    <x v="0"/>
    <x v="0"/>
    <x v="7"/>
    <n v="0"/>
    <n v="0"/>
    <n v="40.816000000000003"/>
    <n v="40.816000000000003"/>
    <n v="40.816000000000003"/>
    <n v="40.816000000000003"/>
    <n v="0"/>
    <x v="0"/>
    <n v="0"/>
    <n v="0"/>
    <n v="24"/>
    <n v="83"/>
    <n v="0"/>
    <n v="103.26"/>
    <n v="231.33"/>
    <m/>
    <n v="134.11713893574552"/>
    <n v="260.80314197522284"/>
    <n v="0"/>
    <n v="4214.6601600000004"/>
    <n v="9441.9652800000003"/>
    <n v="0"/>
    <n v="5474.1251428013893"/>
    <n v="10644.941042860697"/>
  </r>
  <r>
    <s v="Regular"/>
    <x v="0"/>
    <x v="1"/>
    <x v="1"/>
    <x v="0"/>
    <x v="0"/>
    <x v="0"/>
    <x v="0"/>
    <x v="8"/>
    <n v="0"/>
    <n v="0"/>
    <n v="49.393000000000001"/>
    <n v="49.393000000000001"/>
    <n v="49.393000000000001"/>
    <n v="49.393000000000001"/>
    <n v="0"/>
    <x v="0"/>
    <n v="0"/>
    <n v="0"/>
    <n v="24"/>
    <n v="83"/>
    <n v="0"/>
    <n v="103.26"/>
    <n v="231.33"/>
    <m/>
    <n v="134.11713893574552"/>
    <n v="260.80314197522284"/>
    <n v="0"/>
    <n v="5100.3211799999999"/>
    <n v="11426.082690000001"/>
    <n v="0"/>
    <n v="6624.4478434532784"/>
    <n v="12881.849591582182"/>
  </r>
  <r>
    <s v="Regular"/>
    <x v="0"/>
    <x v="1"/>
    <x v="1"/>
    <x v="0"/>
    <x v="0"/>
    <x v="0"/>
    <x v="0"/>
    <x v="9"/>
    <n v="0"/>
    <n v="0"/>
    <n v="50.911999999999999"/>
    <n v="50.911999999999999"/>
    <n v="50.911999999999999"/>
    <n v="50.911999999999999"/>
    <n v="0"/>
    <x v="0"/>
    <n v="0"/>
    <n v="0"/>
    <n v="24"/>
    <n v="83"/>
    <n v="0"/>
    <n v="103.26"/>
    <n v="231.33"/>
    <m/>
    <n v="134.11713893574552"/>
    <n v="260.80314197522284"/>
    <n v="0"/>
    <n v="5257.1731200000004"/>
    <n v="11777.472960000001"/>
    <n v="0"/>
    <n v="6828.1717774966755"/>
    <n v="13278.009564242546"/>
  </r>
  <r>
    <s v="Regular"/>
    <x v="0"/>
    <x v="1"/>
    <x v="1"/>
    <x v="0"/>
    <x v="0"/>
    <x v="0"/>
    <x v="0"/>
    <x v="10"/>
    <n v="0"/>
    <n v="0"/>
    <n v="43.718000000000004"/>
    <n v="43.718000000000004"/>
    <n v="43.718000000000004"/>
    <n v="43.718000000000004"/>
    <n v="0"/>
    <x v="0"/>
    <n v="0"/>
    <n v="0"/>
    <n v="24"/>
    <n v="83"/>
    <n v="0"/>
    <n v="103.26"/>
    <n v="231.33"/>
    <m/>
    <n v="134.11713893574552"/>
    <n v="260.80314197522284"/>
    <n v="0"/>
    <n v="4514.3206800000007"/>
    <n v="10113.284940000001"/>
    <n v="0"/>
    <n v="5863.3330799929226"/>
    <n v="11401.791760872793"/>
  </r>
  <r>
    <s v="Regular"/>
    <x v="0"/>
    <x v="1"/>
    <x v="1"/>
    <x v="0"/>
    <x v="0"/>
    <x v="0"/>
    <x v="0"/>
    <x v="11"/>
    <n v="0"/>
    <n v="0"/>
    <n v="49.512999999999998"/>
    <n v="49.512999999999998"/>
    <n v="49.512999999999998"/>
    <n v="49.512999999999998"/>
    <n v="0"/>
    <x v="0"/>
    <n v="0"/>
    <n v="0"/>
    <n v="24"/>
    <n v="83"/>
    <n v="0"/>
    <n v="103.26"/>
    <n v="231.33"/>
    <m/>
    <n v="134.11713893574552"/>
    <n v="260.80314197522284"/>
    <n v="0"/>
    <n v="5112.7123799999999"/>
    <n v="11453.842290000001"/>
    <n v="0"/>
    <n v="6640.5419001255677"/>
    <n v="12913.145968619208"/>
  </r>
  <r>
    <s v="Regular"/>
    <x v="0"/>
    <x v="1"/>
    <x v="1"/>
    <x v="0"/>
    <x v="0"/>
    <x v="0"/>
    <x v="2"/>
    <x v="0"/>
    <n v="158"/>
    <n v="158"/>
    <n v="0"/>
    <n v="0"/>
    <n v="0"/>
    <n v="0"/>
    <n v="3"/>
    <x v="0"/>
    <n v="0"/>
    <n v="22"/>
    <n v="0"/>
    <n v="0"/>
    <n v="63.83"/>
    <n v="0"/>
    <n v="0"/>
    <n v="77.970056746860777"/>
    <m/>
    <m/>
    <n v="10085.14"/>
    <n v="0"/>
    <n v="0"/>
    <n v="12319.268966004003"/>
    <n v="0"/>
    <n v="0"/>
  </r>
  <r>
    <s v="Regular"/>
    <x v="0"/>
    <x v="1"/>
    <x v="1"/>
    <x v="0"/>
    <x v="0"/>
    <x v="0"/>
    <x v="2"/>
    <x v="1"/>
    <n v="158"/>
    <n v="158"/>
    <n v="0"/>
    <n v="0"/>
    <n v="0"/>
    <n v="0"/>
    <n v="3"/>
    <x v="0"/>
    <n v="0"/>
    <n v="22"/>
    <n v="0"/>
    <n v="0"/>
    <n v="63.83"/>
    <n v="0"/>
    <n v="0"/>
    <n v="77.970056746860777"/>
    <m/>
    <m/>
    <n v="10085.14"/>
    <n v="0"/>
    <n v="0"/>
    <n v="12319.268966004003"/>
    <n v="0"/>
    <n v="0"/>
  </r>
  <r>
    <s v="Regular"/>
    <x v="0"/>
    <x v="1"/>
    <x v="1"/>
    <x v="0"/>
    <x v="0"/>
    <x v="0"/>
    <x v="2"/>
    <x v="2"/>
    <n v="158"/>
    <n v="158"/>
    <n v="0"/>
    <n v="0"/>
    <n v="0"/>
    <n v="0"/>
    <n v="3"/>
    <x v="0"/>
    <n v="0"/>
    <n v="22"/>
    <n v="0"/>
    <n v="0"/>
    <n v="63.83"/>
    <n v="0"/>
    <n v="0"/>
    <n v="77.970056746860777"/>
    <m/>
    <m/>
    <n v="10085.14"/>
    <n v="0"/>
    <n v="0"/>
    <n v="12319.268966004003"/>
    <n v="0"/>
    <n v="0"/>
  </r>
  <r>
    <s v="Regular"/>
    <x v="0"/>
    <x v="1"/>
    <x v="1"/>
    <x v="0"/>
    <x v="0"/>
    <x v="0"/>
    <x v="2"/>
    <x v="3"/>
    <n v="166"/>
    <n v="166"/>
    <n v="0"/>
    <n v="0"/>
    <n v="0"/>
    <n v="0"/>
    <n v="3"/>
    <x v="0"/>
    <n v="0"/>
    <n v="22"/>
    <n v="0"/>
    <n v="0"/>
    <n v="63.83"/>
    <n v="0"/>
    <n v="0"/>
    <n v="77.970056746860777"/>
    <m/>
    <m/>
    <n v="10595.779999999999"/>
    <n v="0"/>
    <n v="0"/>
    <n v="12943.02941997889"/>
    <n v="0"/>
    <n v="0"/>
  </r>
  <r>
    <s v="Regular"/>
    <x v="0"/>
    <x v="1"/>
    <x v="1"/>
    <x v="0"/>
    <x v="0"/>
    <x v="0"/>
    <x v="2"/>
    <x v="4"/>
    <n v="158"/>
    <n v="158"/>
    <n v="0"/>
    <n v="0"/>
    <n v="0"/>
    <n v="0"/>
    <n v="3"/>
    <x v="0"/>
    <n v="0"/>
    <n v="22"/>
    <n v="0"/>
    <n v="0"/>
    <n v="63.83"/>
    <n v="0"/>
    <n v="0"/>
    <n v="77.970056746860777"/>
    <m/>
    <m/>
    <n v="10085.14"/>
    <n v="0"/>
    <n v="0"/>
    <n v="12319.268966004003"/>
    <n v="0"/>
    <n v="0"/>
  </r>
  <r>
    <s v="Regular"/>
    <x v="0"/>
    <x v="1"/>
    <x v="1"/>
    <x v="0"/>
    <x v="0"/>
    <x v="0"/>
    <x v="2"/>
    <x v="5"/>
    <n v="158"/>
    <n v="158"/>
    <n v="0"/>
    <n v="0"/>
    <n v="0"/>
    <n v="0"/>
    <n v="3"/>
    <x v="0"/>
    <n v="0"/>
    <n v="22"/>
    <n v="0"/>
    <n v="0"/>
    <n v="63.83"/>
    <n v="0"/>
    <n v="0"/>
    <n v="77.970056746860777"/>
    <m/>
    <m/>
    <n v="10085.14"/>
    <n v="0"/>
    <n v="0"/>
    <n v="12319.268966004003"/>
    <n v="0"/>
    <n v="0"/>
  </r>
  <r>
    <s v="Regular"/>
    <x v="0"/>
    <x v="1"/>
    <x v="1"/>
    <x v="0"/>
    <x v="0"/>
    <x v="0"/>
    <x v="2"/>
    <x v="6"/>
    <n v="163"/>
    <n v="163"/>
    <n v="0"/>
    <n v="0"/>
    <n v="0"/>
    <n v="0"/>
    <n v="3"/>
    <x v="0"/>
    <n v="0"/>
    <n v="22"/>
    <n v="0"/>
    <n v="0"/>
    <n v="63.83"/>
    <n v="0"/>
    <n v="0"/>
    <n v="77.970056746860777"/>
    <m/>
    <m/>
    <n v="10404.289999999999"/>
    <n v="0"/>
    <n v="0"/>
    <n v="12709.119249738307"/>
    <n v="0"/>
    <n v="0"/>
  </r>
  <r>
    <s v="Regular"/>
    <x v="0"/>
    <x v="1"/>
    <x v="1"/>
    <x v="0"/>
    <x v="0"/>
    <x v="0"/>
    <x v="2"/>
    <x v="7"/>
    <n v="158"/>
    <n v="158"/>
    <n v="0"/>
    <n v="0"/>
    <n v="0"/>
    <n v="0"/>
    <n v="3"/>
    <x v="0"/>
    <n v="0"/>
    <n v="22"/>
    <n v="0"/>
    <n v="0"/>
    <n v="63.83"/>
    <n v="0"/>
    <n v="0"/>
    <n v="77.970056746860777"/>
    <m/>
    <m/>
    <n v="10085.14"/>
    <n v="0"/>
    <n v="0"/>
    <n v="12319.268966004003"/>
    <n v="0"/>
    <n v="0"/>
  </r>
  <r>
    <s v="Regular"/>
    <x v="0"/>
    <x v="1"/>
    <x v="1"/>
    <x v="0"/>
    <x v="0"/>
    <x v="0"/>
    <x v="2"/>
    <x v="8"/>
    <n v="167"/>
    <n v="167"/>
    <n v="0"/>
    <n v="0"/>
    <n v="0"/>
    <n v="0"/>
    <n v="3"/>
    <x v="0"/>
    <n v="0"/>
    <n v="22"/>
    <n v="0"/>
    <n v="0"/>
    <n v="63.83"/>
    <n v="0"/>
    <n v="0"/>
    <n v="77.970056746860777"/>
    <m/>
    <m/>
    <n v="10659.61"/>
    <n v="0"/>
    <n v="0"/>
    <n v="13020.99947672575"/>
    <n v="0"/>
    <n v="0"/>
  </r>
  <r>
    <s v="Regular"/>
    <x v="0"/>
    <x v="1"/>
    <x v="1"/>
    <x v="0"/>
    <x v="0"/>
    <x v="0"/>
    <x v="2"/>
    <x v="9"/>
    <n v="176"/>
    <n v="176"/>
    <n v="0"/>
    <n v="0"/>
    <n v="0"/>
    <n v="0"/>
    <n v="3"/>
    <x v="0"/>
    <n v="0"/>
    <n v="22"/>
    <n v="0"/>
    <n v="0"/>
    <n v="63.83"/>
    <n v="0"/>
    <n v="0"/>
    <n v="77.970056746860777"/>
    <m/>
    <m/>
    <n v="11234.08"/>
    <n v="0"/>
    <n v="0"/>
    <n v="13722.729987447497"/>
    <n v="0"/>
    <n v="0"/>
  </r>
  <r>
    <s v="Regular"/>
    <x v="0"/>
    <x v="1"/>
    <x v="1"/>
    <x v="0"/>
    <x v="0"/>
    <x v="0"/>
    <x v="2"/>
    <x v="10"/>
    <n v="168"/>
    <n v="168"/>
    <n v="0"/>
    <n v="0"/>
    <n v="0"/>
    <n v="0"/>
    <n v="3"/>
    <x v="0"/>
    <n v="0"/>
    <n v="22"/>
    <n v="0"/>
    <n v="0"/>
    <n v="63.83"/>
    <n v="0"/>
    <n v="0"/>
    <n v="77.970056746860777"/>
    <m/>
    <m/>
    <n v="10723.44"/>
    <n v="0"/>
    <n v="0"/>
    <n v="13098.969533472611"/>
    <n v="0"/>
    <n v="0"/>
  </r>
  <r>
    <s v="Regular"/>
    <x v="0"/>
    <x v="1"/>
    <x v="1"/>
    <x v="0"/>
    <x v="0"/>
    <x v="0"/>
    <x v="2"/>
    <x v="11"/>
    <n v="169"/>
    <n v="169"/>
    <n v="0"/>
    <n v="0"/>
    <n v="0"/>
    <n v="0"/>
    <n v="3"/>
    <x v="0"/>
    <n v="0"/>
    <n v="22"/>
    <n v="0"/>
    <n v="0"/>
    <n v="63.83"/>
    <n v="0"/>
    <n v="0"/>
    <n v="77.970056746860777"/>
    <m/>
    <m/>
    <n v="10787.27"/>
    <n v="0"/>
    <n v="0"/>
    <n v="13176.939590219472"/>
    <n v="0"/>
    <n v="0"/>
  </r>
  <r>
    <s v="Regular"/>
    <x v="0"/>
    <x v="1"/>
    <x v="1"/>
    <x v="0"/>
    <x v="0"/>
    <x v="0"/>
    <x v="1"/>
    <x v="0"/>
    <n v="0"/>
    <n v="0"/>
    <n v="2.8479999999999999"/>
    <n v="2.8479999999999999"/>
    <n v="2.8479999999999999"/>
    <n v="2.8479999999999999"/>
    <n v="0"/>
    <x v="0"/>
    <n v="0"/>
    <n v="0"/>
    <n v="23"/>
    <n v="82"/>
    <n v="0"/>
    <n v="4048.87"/>
    <n v="231.33"/>
    <m/>
    <n v="4887.521063090805"/>
    <n v="260.80314197522284"/>
    <n v="0"/>
    <n v="11531.181759999999"/>
    <n v="658.82784000000004"/>
    <n v="0"/>
    <n v="13919.659987682611"/>
    <n v="742.76734834543458"/>
  </r>
  <r>
    <s v="Regular"/>
    <x v="0"/>
    <x v="1"/>
    <x v="1"/>
    <x v="0"/>
    <x v="0"/>
    <x v="0"/>
    <x v="1"/>
    <x v="1"/>
    <n v="0"/>
    <n v="0"/>
    <n v="2.8140000000000001"/>
    <n v="2.8140000000000001"/>
    <n v="2.8140000000000001"/>
    <n v="2.8140000000000001"/>
    <n v="0"/>
    <x v="0"/>
    <n v="0"/>
    <n v="0"/>
    <n v="23"/>
    <n v="82"/>
    <n v="0"/>
    <n v="4048.87"/>
    <n v="231.33"/>
    <m/>
    <n v="4887.521063090805"/>
    <n v="260.80314197522284"/>
    <n v="0"/>
    <n v="11393.52018"/>
    <n v="650.96262000000002"/>
    <n v="0"/>
    <n v="13753.484271537525"/>
    <n v="733.90004151827713"/>
  </r>
  <r>
    <s v="Regular"/>
    <x v="0"/>
    <x v="1"/>
    <x v="1"/>
    <x v="0"/>
    <x v="0"/>
    <x v="0"/>
    <x v="1"/>
    <x v="2"/>
    <n v="0"/>
    <n v="0"/>
    <n v="2.7240000000000002"/>
    <n v="2.7240000000000002"/>
    <n v="2.7240000000000002"/>
    <n v="2.7240000000000002"/>
    <n v="0"/>
    <x v="0"/>
    <n v="0"/>
    <n v="0"/>
    <n v="23"/>
    <n v="82"/>
    <n v="0"/>
    <n v="4048.87"/>
    <n v="231.33"/>
    <m/>
    <n v="4887.521063090805"/>
    <n v="260.80314197522284"/>
    <n v="0"/>
    <n v="11029.121880000001"/>
    <n v="630.14292000000012"/>
    <n v="0"/>
    <n v="13313.607375859354"/>
    <n v="710.4277587405071"/>
  </r>
  <r>
    <s v="Regular"/>
    <x v="0"/>
    <x v="1"/>
    <x v="1"/>
    <x v="0"/>
    <x v="0"/>
    <x v="0"/>
    <x v="1"/>
    <x v="3"/>
    <n v="0"/>
    <n v="0"/>
    <n v="2.7090000000000001"/>
    <n v="2.7090000000000001"/>
    <n v="2.7090000000000001"/>
    <n v="2.7090000000000001"/>
    <n v="0"/>
    <x v="0"/>
    <n v="0"/>
    <n v="0"/>
    <n v="23"/>
    <n v="82"/>
    <n v="0"/>
    <n v="4048.87"/>
    <n v="231.33"/>
    <m/>
    <n v="4887.521063090805"/>
    <n v="260.80314197522284"/>
    <n v="0"/>
    <n v="10968.38883"/>
    <n v="626.67297000000008"/>
    <n v="0"/>
    <n v="13240.294559912991"/>
    <n v="706.51571161087872"/>
  </r>
  <r>
    <s v="Regular"/>
    <x v="0"/>
    <x v="1"/>
    <x v="1"/>
    <x v="0"/>
    <x v="0"/>
    <x v="0"/>
    <x v="1"/>
    <x v="4"/>
    <n v="0"/>
    <n v="0"/>
    <n v="2.883"/>
    <n v="2.883"/>
    <n v="2.883"/>
    <n v="2.883"/>
    <n v="0"/>
    <x v="0"/>
    <n v="0"/>
    <n v="0"/>
    <n v="23"/>
    <n v="82"/>
    <n v="0"/>
    <n v="4048.87"/>
    <n v="231.33"/>
    <m/>
    <n v="4887.521063090805"/>
    <n v="260.80314197522284"/>
    <n v="0"/>
    <n v="11672.89221"/>
    <n v="666.92439000000002"/>
    <n v="0"/>
    <n v="14090.723224890791"/>
    <n v="751.89545831456746"/>
  </r>
  <r>
    <s v="Regular"/>
    <x v="0"/>
    <x v="1"/>
    <x v="1"/>
    <x v="0"/>
    <x v="0"/>
    <x v="0"/>
    <x v="1"/>
    <x v="5"/>
    <n v="0"/>
    <n v="0"/>
    <n v="3.0070000000000001"/>
    <n v="3.0070000000000001"/>
    <n v="3.0070000000000001"/>
    <n v="3.0070000000000001"/>
    <n v="0"/>
    <x v="0"/>
    <n v="0"/>
    <n v="0"/>
    <n v="23"/>
    <n v="82"/>
    <n v="0"/>
    <n v="4048.87"/>
    <n v="231.33"/>
    <m/>
    <n v="4887.521063090805"/>
    <n v="260.80314197522284"/>
    <n v="0"/>
    <n v="12174.952090000001"/>
    <n v="695.60931000000005"/>
    <n v="0"/>
    <n v="14696.77583671405"/>
    <n v="784.23504791949517"/>
  </r>
  <r>
    <s v="Regular"/>
    <x v="0"/>
    <x v="1"/>
    <x v="1"/>
    <x v="0"/>
    <x v="0"/>
    <x v="0"/>
    <x v="1"/>
    <x v="6"/>
    <n v="0"/>
    <n v="0"/>
    <n v="2.6269999999999998"/>
    <n v="2.6269999999999998"/>
    <n v="2.6269999999999998"/>
    <n v="2.6269999999999998"/>
    <n v="0"/>
    <x v="0"/>
    <n v="0"/>
    <n v="0"/>
    <n v="23"/>
    <n v="82"/>
    <n v="0"/>
    <n v="4048.87"/>
    <n v="231.33"/>
    <m/>
    <n v="4887.521063090805"/>
    <n v="260.80314197522284"/>
    <n v="0"/>
    <n v="10636.381489999998"/>
    <n v="607.70390999999995"/>
    <n v="0"/>
    <n v="12839.517832739544"/>
    <n v="685.12985396891031"/>
  </r>
  <r>
    <s v="Regular"/>
    <x v="0"/>
    <x v="1"/>
    <x v="1"/>
    <x v="0"/>
    <x v="0"/>
    <x v="0"/>
    <x v="1"/>
    <x v="7"/>
    <n v="0"/>
    <n v="0"/>
    <n v="4.1479999999999997"/>
    <n v="4.1479999999999997"/>
    <n v="4.1479999999999997"/>
    <n v="4.1479999999999997"/>
    <n v="0"/>
    <x v="0"/>
    <n v="0"/>
    <n v="0"/>
    <n v="23"/>
    <n v="82"/>
    <n v="0"/>
    <n v="4048.87"/>
    <n v="231.33"/>
    <m/>
    <n v="4887.521063090805"/>
    <n v="260.80314197522284"/>
    <n v="0"/>
    <n v="16794.712759999999"/>
    <n v="959.55683999999997"/>
    <n v="0"/>
    <n v="20273.437369700656"/>
    <n v="1081.8114329132243"/>
  </r>
  <r>
    <s v="Regular"/>
    <x v="0"/>
    <x v="1"/>
    <x v="1"/>
    <x v="0"/>
    <x v="0"/>
    <x v="0"/>
    <x v="1"/>
    <x v="8"/>
    <n v="0"/>
    <n v="0"/>
    <n v="5.0679999999999996"/>
    <n v="5.0679999999999996"/>
    <n v="5.0679999999999996"/>
    <n v="5.0679999999999996"/>
    <n v="0"/>
    <x v="0"/>
    <n v="0"/>
    <n v="0"/>
    <n v="23"/>
    <n v="82"/>
    <n v="0"/>
    <n v="4048.87"/>
    <n v="231.33"/>
    <m/>
    <n v="4887.521063090805"/>
    <n v="260.80314197522284"/>
    <n v="0"/>
    <n v="20519.673159999998"/>
    <n v="1172.3804399999999"/>
    <n v="0"/>
    <n v="24769.9567477442"/>
    <n v="1321.7503235304293"/>
  </r>
  <r>
    <s v="Regular"/>
    <x v="0"/>
    <x v="1"/>
    <x v="1"/>
    <x v="0"/>
    <x v="0"/>
    <x v="0"/>
    <x v="1"/>
    <x v="9"/>
    <n v="0"/>
    <n v="0"/>
    <n v="4.8650000000000002"/>
    <n v="4.8650000000000002"/>
    <n v="4.8650000000000002"/>
    <n v="4.8650000000000002"/>
    <n v="0"/>
    <x v="0"/>
    <n v="0"/>
    <n v="0"/>
    <n v="23"/>
    <n v="82"/>
    <n v="0"/>
    <n v="4048.87"/>
    <n v="231.33"/>
    <m/>
    <n v="4887.521063090805"/>
    <n v="260.80314197522284"/>
    <n v="0"/>
    <n v="19697.752550000001"/>
    <n v="1125.4204500000001"/>
    <n v="0"/>
    <n v="23777.789971936767"/>
    <n v="1268.8072857094592"/>
  </r>
  <r>
    <s v="Regular"/>
    <x v="0"/>
    <x v="1"/>
    <x v="1"/>
    <x v="0"/>
    <x v="0"/>
    <x v="0"/>
    <x v="1"/>
    <x v="10"/>
    <n v="0"/>
    <n v="0"/>
    <n v="4.78"/>
    <n v="4.78"/>
    <n v="4.78"/>
    <n v="4.78"/>
    <n v="0"/>
    <x v="0"/>
    <n v="0"/>
    <n v="0"/>
    <n v="23"/>
    <n v="82"/>
    <n v="0"/>
    <n v="4048.87"/>
    <n v="231.33"/>
    <m/>
    <n v="4887.521063090805"/>
    <n v="260.80314197522284"/>
    <n v="0"/>
    <n v="19353.598600000001"/>
    <n v="1105.7574000000002"/>
    <n v="0"/>
    <n v="23362.350681574047"/>
    <n v="1246.6390186415651"/>
  </r>
  <r>
    <s v="Regular"/>
    <x v="0"/>
    <x v="1"/>
    <x v="1"/>
    <x v="0"/>
    <x v="0"/>
    <x v="0"/>
    <x v="1"/>
    <x v="11"/>
    <n v="0"/>
    <n v="0"/>
    <n v="4.2210000000000001"/>
    <n v="4.2210000000000001"/>
    <n v="4.2210000000000001"/>
    <n v="4.2210000000000001"/>
    <n v="0"/>
    <x v="0"/>
    <n v="0"/>
    <n v="0"/>
    <n v="23"/>
    <n v="82"/>
    <n v="0"/>
    <n v="4048.87"/>
    <n v="231.33"/>
    <m/>
    <n v="4887.521063090805"/>
    <n v="260.80314197522284"/>
    <n v="0"/>
    <n v="17090.280269999999"/>
    <n v="976.44393000000002"/>
    <n v="0"/>
    <n v="20630.226407306287"/>
    <n v="1100.8500622774156"/>
  </r>
  <r>
    <s v="Regular"/>
    <x v="0"/>
    <x v="1"/>
    <x v="0"/>
    <x v="0"/>
    <x v="0"/>
    <x v="0"/>
    <x v="0"/>
    <x v="0"/>
    <n v="0"/>
    <n v="0"/>
    <n v="235.77799999999999"/>
    <n v="235.77799999999999"/>
    <n v="235.77799999999999"/>
    <n v="235.77799999999999"/>
    <n v="0"/>
    <x v="0"/>
    <n v="0"/>
    <n v="0"/>
    <n v="24"/>
    <n v="83"/>
    <n v="0"/>
    <n v="103.26"/>
    <n v="231.33"/>
    <m/>
    <n v="134.11713893574552"/>
    <n v="260.80314197522284"/>
    <n v="0"/>
    <n v="24346.436280000002"/>
    <n v="54542.524740000001"/>
    <n v="0"/>
    <n v="31621.870783992206"/>
    <n v="61491.643208634086"/>
  </r>
  <r>
    <s v="Regular"/>
    <x v="0"/>
    <x v="1"/>
    <x v="0"/>
    <x v="0"/>
    <x v="0"/>
    <x v="0"/>
    <x v="0"/>
    <x v="1"/>
    <n v="0"/>
    <n v="0"/>
    <n v="159.27199999999999"/>
    <n v="159.27199999999999"/>
    <n v="159.27199999999999"/>
    <n v="159.27199999999999"/>
    <n v="0"/>
    <x v="0"/>
    <n v="0"/>
    <n v="0"/>
    <n v="24"/>
    <n v="83"/>
    <n v="0"/>
    <n v="103.26"/>
    <n v="231.33"/>
    <m/>
    <n v="134.11713893574552"/>
    <n v="260.80314197522284"/>
    <n v="0"/>
    <n v="16446.426719999999"/>
    <n v="36844.391759999999"/>
    <n v="0"/>
    <n v="21361.10495257406"/>
    <n v="41538.638028677691"/>
  </r>
  <r>
    <s v="Regular"/>
    <x v="0"/>
    <x v="1"/>
    <x v="0"/>
    <x v="0"/>
    <x v="0"/>
    <x v="0"/>
    <x v="0"/>
    <x v="2"/>
    <n v="0"/>
    <n v="0"/>
    <n v="187.75"/>
    <n v="187.75"/>
    <n v="187.75"/>
    <n v="187.75"/>
    <n v="0"/>
    <x v="0"/>
    <n v="0"/>
    <n v="0"/>
    <n v="24"/>
    <n v="83"/>
    <n v="0"/>
    <n v="103.26"/>
    <n v="231.33"/>
    <m/>
    <n v="134.11713893574552"/>
    <n v="260.80314197522284"/>
    <n v="0"/>
    <n v="19387.065000000002"/>
    <n v="43432.207500000004"/>
    <n v="0"/>
    <n v="25180.492835186222"/>
    <n v="48965.789905848091"/>
  </r>
  <r>
    <s v="Regular"/>
    <x v="0"/>
    <x v="1"/>
    <x v="0"/>
    <x v="0"/>
    <x v="0"/>
    <x v="0"/>
    <x v="0"/>
    <x v="3"/>
    <n v="0"/>
    <n v="0"/>
    <n v="176.40700000000001"/>
    <n v="176.40700000000001"/>
    <n v="176.40700000000001"/>
    <n v="176.40700000000001"/>
    <n v="0"/>
    <x v="0"/>
    <n v="0"/>
    <n v="0"/>
    <n v="24"/>
    <n v="83"/>
    <n v="0"/>
    <n v="103.26"/>
    <n v="231.33"/>
    <m/>
    <n v="134.11713893574552"/>
    <n v="260.80314197522284"/>
    <n v="0"/>
    <n v="18215.786820000001"/>
    <n v="40808.231310000003"/>
    <n v="0"/>
    <n v="23659.202128238059"/>
    <n v="46007.499866423139"/>
  </r>
  <r>
    <s v="Regular"/>
    <x v="0"/>
    <x v="1"/>
    <x v="0"/>
    <x v="0"/>
    <x v="0"/>
    <x v="0"/>
    <x v="0"/>
    <x v="4"/>
    <n v="0"/>
    <n v="0"/>
    <n v="200.32300000000001"/>
    <n v="200.32300000000001"/>
    <n v="200.32300000000001"/>
    <n v="200.32300000000001"/>
    <n v="0"/>
    <x v="0"/>
    <n v="0"/>
    <n v="0"/>
    <n v="24"/>
    <n v="83"/>
    <n v="0"/>
    <n v="103.26"/>
    <n v="231.33"/>
    <m/>
    <n v="134.11713893574552"/>
    <n v="260.80314197522284"/>
    <n v="0"/>
    <n v="20685.352980000003"/>
    <n v="46340.719590000001"/>
    <n v="0"/>
    <n v="26866.747623025349"/>
    <n v="52244.867809902571"/>
  </r>
  <r>
    <s v="Regular"/>
    <x v="0"/>
    <x v="1"/>
    <x v="0"/>
    <x v="0"/>
    <x v="0"/>
    <x v="0"/>
    <x v="0"/>
    <x v="5"/>
    <n v="0"/>
    <n v="0"/>
    <n v="206.32599999999999"/>
    <n v="206.32599999999999"/>
    <n v="206.32599999999999"/>
    <n v="206.32599999999999"/>
    <n v="0"/>
    <x v="0"/>
    <n v="0"/>
    <n v="0"/>
    <n v="24"/>
    <n v="83"/>
    <n v="0"/>
    <n v="103.26"/>
    <n v="231.33"/>
    <m/>
    <n v="134.11713893574552"/>
    <n v="260.80314197522284"/>
    <n v="0"/>
    <n v="21305.222760000001"/>
    <n v="47729.393580000004"/>
    <n v="0"/>
    <n v="27671.852808056628"/>
    <n v="53810.469071179825"/>
  </r>
  <r>
    <s v="Regular"/>
    <x v="0"/>
    <x v="1"/>
    <x v="0"/>
    <x v="0"/>
    <x v="0"/>
    <x v="0"/>
    <x v="0"/>
    <x v="6"/>
    <n v="0"/>
    <n v="0"/>
    <n v="193.61699999999999"/>
    <n v="193.61699999999999"/>
    <n v="193.61699999999999"/>
    <n v="193.61699999999999"/>
    <n v="0"/>
    <x v="0"/>
    <n v="0"/>
    <n v="0"/>
    <n v="24"/>
    <n v="83"/>
    <n v="0"/>
    <n v="103.26"/>
    <n v="231.33"/>
    <m/>
    <n v="134.11713893574552"/>
    <n v="260.80314197522284"/>
    <n v="0"/>
    <n v="19992.89142"/>
    <n v="44789.420610000001"/>
    <n v="0"/>
    <n v="25967.358089322239"/>
    <n v="50495.921939816719"/>
  </r>
  <r>
    <s v="Regular"/>
    <x v="0"/>
    <x v="1"/>
    <x v="0"/>
    <x v="0"/>
    <x v="0"/>
    <x v="0"/>
    <x v="0"/>
    <x v="7"/>
    <n v="0"/>
    <n v="0"/>
    <n v="195.97399999999999"/>
    <n v="195.97399999999999"/>
    <n v="195.97399999999999"/>
    <n v="195.97399999999999"/>
    <n v="0"/>
    <x v="0"/>
    <n v="0"/>
    <n v="0"/>
    <n v="24"/>
    <n v="83"/>
    <n v="0"/>
    <n v="103.26"/>
    <n v="231.33"/>
    <m/>
    <n v="134.11713893574552"/>
    <n v="260.80314197522284"/>
    <n v="0"/>
    <n v="20236.275239999999"/>
    <n v="45334.665419999998"/>
    <n v="0"/>
    <n v="26283.472185793791"/>
    <n v="51110.634945452315"/>
  </r>
  <r>
    <s v="Regular"/>
    <x v="0"/>
    <x v="1"/>
    <x v="0"/>
    <x v="0"/>
    <x v="0"/>
    <x v="0"/>
    <x v="0"/>
    <x v="8"/>
    <n v="0"/>
    <n v="0"/>
    <n v="214.75200000000001"/>
    <n v="214.75200000000001"/>
    <n v="214.75200000000001"/>
    <n v="214.75200000000001"/>
    <n v="0"/>
    <x v="0"/>
    <n v="0"/>
    <n v="0"/>
    <n v="24"/>
    <n v="83"/>
    <n v="0"/>
    <n v="103.26"/>
    <n v="231.33"/>
    <m/>
    <n v="134.11713893574552"/>
    <n v="260.80314197522284"/>
    <n v="0"/>
    <n v="22175.291520000002"/>
    <n v="49678.580160000005"/>
    <n v="0"/>
    <n v="28801.923820729222"/>
    <n v="56007.996345463056"/>
  </r>
  <r>
    <s v="Regular"/>
    <x v="0"/>
    <x v="1"/>
    <x v="0"/>
    <x v="0"/>
    <x v="0"/>
    <x v="0"/>
    <x v="0"/>
    <x v="9"/>
    <n v="0"/>
    <n v="0"/>
    <n v="212.864"/>
    <n v="212.864"/>
    <n v="212.864"/>
    <n v="212.864"/>
    <n v="0"/>
    <x v="0"/>
    <n v="0"/>
    <n v="0"/>
    <n v="24"/>
    <n v="83"/>
    <n v="0"/>
    <n v="103.26"/>
    <n v="231.33"/>
    <m/>
    <n v="134.11713893574552"/>
    <n v="260.80314197522284"/>
    <n v="0"/>
    <n v="21980.336640000001"/>
    <n v="49241.829120000002"/>
    <n v="0"/>
    <n v="28548.710662418533"/>
    <n v="55515.600013413838"/>
  </r>
  <r>
    <s v="Regular"/>
    <x v="0"/>
    <x v="1"/>
    <x v="0"/>
    <x v="0"/>
    <x v="0"/>
    <x v="0"/>
    <x v="0"/>
    <x v="10"/>
    <n v="0"/>
    <n v="0"/>
    <n v="206.465"/>
    <n v="206.465"/>
    <n v="206.465"/>
    <n v="206.465"/>
    <n v="0"/>
    <x v="0"/>
    <n v="0"/>
    <n v="0"/>
    <n v="24"/>
    <n v="83"/>
    <n v="0"/>
    <n v="103.26"/>
    <n v="231.33"/>
    <m/>
    <n v="134.11713893574552"/>
    <n v="260.80314197522284"/>
    <n v="0"/>
    <n v="21319.5759"/>
    <n v="47761.548450000002"/>
    <n v="0"/>
    <n v="27690.495090368699"/>
    <n v="53846.720707914385"/>
  </r>
  <r>
    <s v="Regular"/>
    <x v="0"/>
    <x v="1"/>
    <x v="0"/>
    <x v="0"/>
    <x v="0"/>
    <x v="0"/>
    <x v="0"/>
    <x v="11"/>
    <n v="0"/>
    <n v="0"/>
    <n v="229.244"/>
    <n v="229.244"/>
    <n v="229.244"/>
    <n v="229.244"/>
    <n v="0"/>
    <x v="0"/>
    <n v="0"/>
    <n v="0"/>
    <n v="24"/>
    <n v="83"/>
    <n v="0"/>
    <n v="103.26"/>
    <n v="231.33"/>
    <m/>
    <n v="134.11713893574552"/>
    <n v="260.80314197522284"/>
    <n v="0"/>
    <n v="23671.73544"/>
    <n v="53031.014520000004"/>
    <n v="0"/>
    <n v="30745.549398186045"/>
    <n v="59787.555478967988"/>
  </r>
  <r>
    <s v="Regular"/>
    <x v="0"/>
    <x v="1"/>
    <x v="0"/>
    <x v="0"/>
    <x v="0"/>
    <x v="0"/>
    <x v="2"/>
    <x v="0"/>
    <n v="944"/>
    <n v="944"/>
    <n v="0"/>
    <n v="0"/>
    <n v="0"/>
    <n v="0"/>
    <n v="7"/>
    <x v="0"/>
    <n v="0"/>
    <n v="22"/>
    <n v="0"/>
    <n v="0"/>
    <n v="63.83"/>
    <n v="0"/>
    <n v="0"/>
    <n v="77.970056746860777"/>
    <m/>
    <m/>
    <n v="60255.519999999997"/>
    <n v="0"/>
    <n v="0"/>
    <n v="73603.733569036573"/>
    <n v="0"/>
    <n v="0"/>
  </r>
  <r>
    <s v="Regular"/>
    <x v="0"/>
    <x v="1"/>
    <x v="0"/>
    <x v="0"/>
    <x v="0"/>
    <x v="0"/>
    <x v="2"/>
    <x v="1"/>
    <n v="941"/>
    <n v="941"/>
    <n v="0"/>
    <n v="0"/>
    <n v="0"/>
    <n v="0"/>
    <n v="7"/>
    <x v="0"/>
    <n v="0"/>
    <n v="22"/>
    <n v="0"/>
    <n v="0"/>
    <n v="63.83"/>
    <n v="0"/>
    <n v="0"/>
    <n v="77.970056746860777"/>
    <m/>
    <m/>
    <n v="60064.03"/>
    <n v="0"/>
    <n v="0"/>
    <n v="73369.823398795997"/>
    <n v="0"/>
    <n v="0"/>
  </r>
  <r>
    <s v="Regular"/>
    <x v="0"/>
    <x v="1"/>
    <x v="0"/>
    <x v="0"/>
    <x v="0"/>
    <x v="0"/>
    <x v="2"/>
    <x v="2"/>
    <n v="933"/>
    <n v="933"/>
    <n v="0"/>
    <n v="0"/>
    <n v="0"/>
    <n v="0"/>
    <n v="7"/>
    <x v="0"/>
    <n v="0"/>
    <n v="22"/>
    <n v="0"/>
    <n v="0"/>
    <n v="63.83"/>
    <n v="0"/>
    <n v="0"/>
    <n v="77.970056746860777"/>
    <m/>
    <m/>
    <n v="59553.39"/>
    <n v="0"/>
    <n v="0"/>
    <n v="72746.062944821111"/>
    <n v="0"/>
    <n v="0"/>
  </r>
  <r>
    <s v="Regular"/>
    <x v="0"/>
    <x v="1"/>
    <x v="0"/>
    <x v="0"/>
    <x v="0"/>
    <x v="0"/>
    <x v="2"/>
    <x v="3"/>
    <n v="935"/>
    <n v="935"/>
    <n v="0"/>
    <n v="0"/>
    <n v="0"/>
    <n v="0"/>
    <n v="7"/>
    <x v="0"/>
    <n v="0"/>
    <n v="22"/>
    <n v="0"/>
    <n v="0"/>
    <n v="63.83"/>
    <n v="0"/>
    <n v="0"/>
    <n v="77.970056746860777"/>
    <m/>
    <m/>
    <n v="59681.049999999996"/>
    <n v="0"/>
    <n v="0"/>
    <n v="72902.003058314833"/>
    <n v="0"/>
    <n v="0"/>
  </r>
  <r>
    <s v="Regular"/>
    <x v="0"/>
    <x v="1"/>
    <x v="0"/>
    <x v="0"/>
    <x v="0"/>
    <x v="0"/>
    <x v="2"/>
    <x v="4"/>
    <n v="1101"/>
    <n v="1101"/>
    <n v="0"/>
    <n v="0"/>
    <n v="0"/>
    <n v="0"/>
    <n v="8"/>
    <x v="0"/>
    <n v="0"/>
    <n v="22"/>
    <n v="0"/>
    <n v="0"/>
    <n v="63.83"/>
    <n v="0"/>
    <n v="0"/>
    <n v="77.970056746860777"/>
    <m/>
    <m/>
    <n v="70276.83"/>
    <n v="0"/>
    <n v="0"/>
    <n v="85845.03247829371"/>
    <n v="0"/>
    <n v="0"/>
  </r>
  <r>
    <s v="Regular"/>
    <x v="0"/>
    <x v="1"/>
    <x v="0"/>
    <x v="0"/>
    <x v="0"/>
    <x v="0"/>
    <x v="2"/>
    <x v="5"/>
    <n v="990"/>
    <n v="990"/>
    <n v="0"/>
    <n v="0"/>
    <n v="0"/>
    <n v="0"/>
    <n v="8"/>
    <x v="0"/>
    <n v="0"/>
    <n v="22"/>
    <n v="0"/>
    <n v="0"/>
    <n v="63.83"/>
    <n v="0"/>
    <n v="0"/>
    <n v="77.970056746860777"/>
    <m/>
    <m/>
    <n v="63191.7"/>
    <n v="0"/>
    <n v="0"/>
    <n v="77190.356179392169"/>
    <n v="0"/>
    <n v="0"/>
  </r>
  <r>
    <s v="Regular"/>
    <x v="0"/>
    <x v="1"/>
    <x v="0"/>
    <x v="0"/>
    <x v="0"/>
    <x v="0"/>
    <x v="2"/>
    <x v="6"/>
    <n v="1028"/>
    <n v="1028"/>
    <n v="0"/>
    <n v="0"/>
    <n v="0"/>
    <n v="0"/>
    <n v="8"/>
    <x v="0"/>
    <n v="0"/>
    <n v="22"/>
    <n v="0"/>
    <n v="0"/>
    <n v="63.83"/>
    <n v="0"/>
    <n v="0"/>
    <n v="77.970056746860777"/>
    <m/>
    <m/>
    <n v="65617.240000000005"/>
    <n v="0"/>
    <n v="0"/>
    <n v="80153.218335772879"/>
    <n v="0"/>
    <n v="0"/>
  </r>
  <r>
    <s v="Regular"/>
    <x v="0"/>
    <x v="1"/>
    <x v="0"/>
    <x v="0"/>
    <x v="0"/>
    <x v="0"/>
    <x v="2"/>
    <x v="7"/>
    <n v="1011"/>
    <n v="1011"/>
    <n v="0"/>
    <n v="0"/>
    <n v="0"/>
    <n v="0"/>
    <n v="8"/>
    <x v="0"/>
    <n v="0"/>
    <n v="22"/>
    <n v="0"/>
    <n v="0"/>
    <n v="63.83"/>
    <n v="0"/>
    <n v="0"/>
    <n v="77.970056746860777"/>
    <m/>
    <m/>
    <n v="64532.13"/>
    <n v="0"/>
    <n v="0"/>
    <n v="78827.727371076253"/>
    <n v="0"/>
    <n v="0"/>
  </r>
  <r>
    <s v="Regular"/>
    <x v="0"/>
    <x v="1"/>
    <x v="0"/>
    <x v="0"/>
    <x v="0"/>
    <x v="0"/>
    <x v="2"/>
    <x v="8"/>
    <n v="994"/>
    <n v="994"/>
    <n v="0"/>
    <n v="0"/>
    <n v="0"/>
    <n v="0"/>
    <n v="8"/>
    <x v="0"/>
    <n v="0"/>
    <n v="22"/>
    <n v="0"/>
    <n v="0"/>
    <n v="63.83"/>
    <n v="0"/>
    <n v="0"/>
    <n v="77.970056746860777"/>
    <m/>
    <m/>
    <n v="63447.02"/>
    <n v="0"/>
    <n v="0"/>
    <n v="77502.236406379612"/>
    <n v="0"/>
    <n v="0"/>
  </r>
  <r>
    <s v="Regular"/>
    <x v="0"/>
    <x v="1"/>
    <x v="0"/>
    <x v="0"/>
    <x v="0"/>
    <x v="0"/>
    <x v="2"/>
    <x v="9"/>
    <n v="992"/>
    <n v="992"/>
    <n v="0"/>
    <n v="0"/>
    <n v="0"/>
    <n v="0"/>
    <n v="7"/>
    <x v="0"/>
    <n v="0"/>
    <n v="22"/>
    <n v="0"/>
    <n v="0"/>
    <n v="63.83"/>
    <n v="0"/>
    <n v="0"/>
    <n v="77.970056746860777"/>
    <m/>
    <m/>
    <n v="63319.360000000001"/>
    <n v="0"/>
    <n v="0"/>
    <n v="77346.296292885891"/>
    <n v="0"/>
    <n v="0"/>
  </r>
  <r>
    <s v="Regular"/>
    <x v="0"/>
    <x v="1"/>
    <x v="0"/>
    <x v="0"/>
    <x v="0"/>
    <x v="0"/>
    <x v="2"/>
    <x v="10"/>
    <n v="966"/>
    <n v="966"/>
    <n v="0"/>
    <n v="0"/>
    <n v="0"/>
    <n v="0"/>
    <n v="7"/>
    <x v="0"/>
    <n v="0"/>
    <n v="22"/>
    <n v="0"/>
    <n v="0"/>
    <n v="63.83"/>
    <n v="0"/>
    <n v="0"/>
    <n v="77.970056746860777"/>
    <m/>
    <m/>
    <n v="61659.78"/>
    <n v="0"/>
    <n v="0"/>
    <n v="75319.07481746751"/>
    <n v="0"/>
    <n v="0"/>
  </r>
  <r>
    <s v="Regular"/>
    <x v="0"/>
    <x v="1"/>
    <x v="0"/>
    <x v="0"/>
    <x v="0"/>
    <x v="0"/>
    <x v="2"/>
    <x v="11"/>
    <n v="976"/>
    <n v="976"/>
    <n v="0"/>
    <n v="0"/>
    <n v="0"/>
    <n v="0"/>
    <n v="7"/>
    <x v="0"/>
    <n v="0"/>
    <n v="22"/>
    <n v="0"/>
    <n v="0"/>
    <n v="63.83"/>
    <n v="0"/>
    <n v="0"/>
    <n v="77.970056746860777"/>
    <m/>
    <m/>
    <n v="62298.080000000002"/>
    <n v="0"/>
    <n v="0"/>
    <n v="76098.775384936118"/>
    <n v="0"/>
    <n v="0"/>
  </r>
  <r>
    <s v="Regular"/>
    <x v="0"/>
    <x v="1"/>
    <x v="0"/>
    <x v="0"/>
    <x v="0"/>
    <x v="0"/>
    <x v="1"/>
    <x v="0"/>
    <n v="0"/>
    <n v="0"/>
    <n v="3.3759999999999999"/>
    <n v="3.3759999999999999"/>
    <n v="3.3759999999999999"/>
    <n v="3.3759999999999999"/>
    <n v="0"/>
    <x v="0"/>
    <n v="0"/>
    <n v="0"/>
    <n v="23"/>
    <n v="82"/>
    <n v="0"/>
    <n v="4048.87"/>
    <n v="231.33"/>
    <m/>
    <n v="4887.521063090805"/>
    <n v="260.80314197522284"/>
    <n v="0"/>
    <n v="13668.985119999999"/>
    <n v="780.97008000000005"/>
    <n v="0"/>
    <n v="16500.271108994559"/>
    <n v="880.47140730835224"/>
  </r>
  <r>
    <s v="Regular"/>
    <x v="0"/>
    <x v="1"/>
    <x v="0"/>
    <x v="0"/>
    <x v="0"/>
    <x v="0"/>
    <x v="1"/>
    <x v="1"/>
    <n v="0"/>
    <n v="0"/>
    <n v="2.3010000000000002"/>
    <n v="2.3010000000000002"/>
    <n v="2.3010000000000002"/>
    <n v="2.3010000000000002"/>
    <n v="0"/>
    <x v="0"/>
    <n v="0"/>
    <n v="0"/>
    <n v="23"/>
    <n v="82"/>
    <n v="0"/>
    <n v="4048.87"/>
    <n v="231.33"/>
    <m/>
    <n v="4887.521063090805"/>
    <n v="260.80314197522284"/>
    <n v="0"/>
    <n v="9316.4498700000004"/>
    <n v="532.29033000000004"/>
    <n v="0"/>
    <n v="11246.185966171943"/>
    <n v="600.10802968498786"/>
  </r>
  <r>
    <s v="Regular"/>
    <x v="0"/>
    <x v="1"/>
    <x v="0"/>
    <x v="0"/>
    <x v="0"/>
    <x v="0"/>
    <x v="1"/>
    <x v="2"/>
    <n v="0"/>
    <n v="0"/>
    <n v="1.792"/>
    <n v="1.792"/>
    <n v="1.792"/>
    <n v="1.792"/>
    <n v="0"/>
    <x v="0"/>
    <n v="0"/>
    <n v="0"/>
    <n v="23"/>
    <n v="82"/>
    <n v="0"/>
    <n v="4048.87"/>
    <n v="231.33"/>
    <m/>
    <n v="4887.521063090805"/>
    <n v="260.80314197522284"/>
    <n v="0"/>
    <n v="7255.5750399999997"/>
    <n v="414.54336000000001"/>
    <n v="0"/>
    <n v="8758.4377450587235"/>
    <n v="467.35923041959933"/>
  </r>
  <r>
    <s v="Regular"/>
    <x v="0"/>
    <x v="1"/>
    <x v="0"/>
    <x v="0"/>
    <x v="0"/>
    <x v="0"/>
    <x v="1"/>
    <x v="3"/>
    <n v="0"/>
    <n v="0"/>
    <n v="1.629"/>
    <n v="1.629"/>
    <n v="1.629"/>
    <n v="1.629"/>
    <n v="0"/>
    <x v="0"/>
    <n v="0"/>
    <n v="0"/>
    <n v="23"/>
    <n v="82"/>
    <n v="0"/>
    <n v="4048.87"/>
    <n v="231.33"/>
    <m/>
    <n v="4887.521063090805"/>
    <n v="260.80314197522284"/>
    <n v="0"/>
    <n v="6595.60923"/>
    <n v="376.83656999999999"/>
    <n v="0"/>
    <n v="7961.7718117749209"/>
    <n v="424.84831827763799"/>
  </r>
  <r>
    <s v="Regular"/>
    <x v="0"/>
    <x v="1"/>
    <x v="0"/>
    <x v="0"/>
    <x v="0"/>
    <x v="0"/>
    <x v="1"/>
    <x v="4"/>
    <n v="0"/>
    <n v="0"/>
    <n v="2.5110000000000001"/>
    <n v="2.5110000000000001"/>
    <n v="2.5110000000000001"/>
    <n v="2.5110000000000001"/>
    <n v="0"/>
    <x v="0"/>
    <n v="0"/>
    <n v="0"/>
    <n v="23"/>
    <n v="82"/>
    <n v="0"/>
    <n v="4048.87"/>
    <n v="231.33"/>
    <m/>
    <n v="4887.521063090805"/>
    <n v="260.80314197522284"/>
    <n v="0"/>
    <n v="10166.71257"/>
    <n v="580.86963000000003"/>
    <n v="0"/>
    <n v="12272.565389421012"/>
    <n v="654.87668949978456"/>
  </r>
  <r>
    <s v="Regular"/>
    <x v="0"/>
    <x v="1"/>
    <x v="0"/>
    <x v="0"/>
    <x v="0"/>
    <x v="0"/>
    <x v="1"/>
    <x v="5"/>
    <n v="0"/>
    <n v="0"/>
    <n v="2.827"/>
    <n v="2.827"/>
    <n v="2.827"/>
    <n v="2.827"/>
    <n v="0"/>
    <x v="0"/>
    <n v="0"/>
    <n v="0"/>
    <n v="23"/>
    <n v="82"/>
    <n v="0"/>
    <n v="4048.87"/>
    <n v="231.33"/>
    <m/>
    <n v="4887.521063090805"/>
    <n v="260.80314197522284"/>
    <n v="0"/>
    <n v="11446.155489999999"/>
    <n v="653.96991000000003"/>
    <n v="0"/>
    <n v="13817.022045357706"/>
    <n v="737.29048236395499"/>
  </r>
  <r>
    <s v="Regular"/>
    <x v="0"/>
    <x v="1"/>
    <x v="0"/>
    <x v="0"/>
    <x v="0"/>
    <x v="0"/>
    <x v="1"/>
    <x v="6"/>
    <n v="0"/>
    <n v="0"/>
    <n v="1.7969999999999999"/>
    <n v="1.7969999999999999"/>
    <n v="1.7969999999999999"/>
    <n v="1.7969999999999999"/>
    <n v="0"/>
    <x v="0"/>
    <n v="0"/>
    <n v="0"/>
    <n v="23"/>
    <n v="82"/>
    <n v="0"/>
    <n v="4048.87"/>
    <n v="231.33"/>
    <m/>
    <n v="4887.521063090805"/>
    <n v="260.80314197522284"/>
    <n v="0"/>
    <n v="7275.8193899999997"/>
    <n v="415.70001000000002"/>
    <n v="0"/>
    <n v="8782.8753503741755"/>
    <n v="468.66324612947545"/>
  </r>
  <r>
    <s v="Regular"/>
    <x v="0"/>
    <x v="1"/>
    <x v="0"/>
    <x v="0"/>
    <x v="0"/>
    <x v="0"/>
    <x v="1"/>
    <x v="7"/>
    <n v="0"/>
    <n v="0"/>
    <n v="2.3839999999999999"/>
    <n v="2.3839999999999999"/>
    <n v="2.3839999999999999"/>
    <n v="2.3839999999999999"/>
    <n v="0"/>
    <x v="0"/>
    <n v="0"/>
    <n v="0"/>
    <n v="23"/>
    <n v="82"/>
    <n v="0"/>
    <n v="4048.87"/>
    <n v="231.33"/>
    <m/>
    <n v="4887.521063090805"/>
    <n v="260.80314197522284"/>
    <n v="0"/>
    <n v="9652.5060799999992"/>
    <n v="551.49072000000001"/>
    <n v="0"/>
    <n v="11651.850214408478"/>
    <n v="621.75469046893124"/>
  </r>
  <r>
    <s v="Regular"/>
    <x v="0"/>
    <x v="1"/>
    <x v="0"/>
    <x v="0"/>
    <x v="0"/>
    <x v="0"/>
    <x v="1"/>
    <x v="8"/>
    <n v="0"/>
    <n v="0"/>
    <n v="3.4359999999999999"/>
    <n v="3.4359999999999999"/>
    <n v="3.4359999999999999"/>
    <n v="3.4359999999999999"/>
    <n v="0"/>
    <x v="0"/>
    <n v="0"/>
    <n v="0"/>
    <n v="23"/>
    <n v="82"/>
    <n v="0"/>
    <n v="4048.87"/>
    <n v="231.33"/>
    <m/>
    <n v="4887.521063090805"/>
    <n v="260.80314197522284"/>
    <n v="0"/>
    <n v="13911.917319999999"/>
    <n v="794.84987999999998"/>
    <n v="0"/>
    <n v="16793.522372780004"/>
    <n v="896.11959582686563"/>
  </r>
  <r>
    <s v="Regular"/>
    <x v="0"/>
    <x v="1"/>
    <x v="0"/>
    <x v="0"/>
    <x v="0"/>
    <x v="0"/>
    <x v="1"/>
    <x v="9"/>
    <n v="0"/>
    <n v="0"/>
    <n v="4.0890000000000004"/>
    <n v="4.0890000000000004"/>
    <n v="4.0890000000000004"/>
    <n v="4.0890000000000004"/>
    <n v="0"/>
    <x v="0"/>
    <n v="0"/>
    <n v="0"/>
    <n v="23"/>
    <n v="82"/>
    <n v="0"/>
    <n v="4048.87"/>
    <n v="231.33"/>
    <m/>
    <n v="4887.521063090805"/>
    <n v="260.80314197522284"/>
    <n v="0"/>
    <n v="16555.829430000002"/>
    <n v="945.9083700000001"/>
    <n v="0"/>
    <n v="19985.073626978305"/>
    <n v="1066.4240475366862"/>
  </r>
  <r>
    <s v="Regular"/>
    <x v="0"/>
    <x v="1"/>
    <x v="0"/>
    <x v="0"/>
    <x v="0"/>
    <x v="0"/>
    <x v="1"/>
    <x v="10"/>
    <n v="0"/>
    <n v="0"/>
    <n v="3.367"/>
    <n v="3.367"/>
    <n v="3.367"/>
    <n v="3.367"/>
    <n v="0"/>
    <x v="0"/>
    <n v="0"/>
    <n v="0"/>
    <n v="23"/>
    <n v="82"/>
    <n v="0"/>
    <n v="4048.87"/>
    <n v="231.33"/>
    <m/>
    <n v="4887.521063090805"/>
    <n v="260.80314197522284"/>
    <n v="0"/>
    <n v="13632.54529"/>
    <n v="778.8881100000001"/>
    <n v="0"/>
    <n v="16456.283419426742"/>
    <n v="878.12417903057531"/>
  </r>
  <r>
    <s v="Regular"/>
    <x v="0"/>
    <x v="1"/>
    <x v="0"/>
    <x v="0"/>
    <x v="0"/>
    <x v="0"/>
    <x v="1"/>
    <x v="11"/>
    <n v="0"/>
    <n v="0"/>
    <n v="3.593"/>
    <n v="3.593"/>
    <n v="3.593"/>
    <n v="3.593"/>
    <n v="0"/>
    <x v="0"/>
    <n v="0"/>
    <n v="0"/>
    <n v="23"/>
    <n v="82"/>
    <n v="0"/>
    <n v="4048.87"/>
    <n v="231.33"/>
    <m/>
    <n v="4887.521063090805"/>
    <n v="260.80314197522284"/>
    <n v="0"/>
    <n v="14547.589909999999"/>
    <n v="831.16869000000008"/>
    <n v="0"/>
    <n v="17560.863179685261"/>
    <n v="937.0656891169757"/>
  </r>
  <r>
    <s v="Regular"/>
    <x v="0"/>
    <x v="1"/>
    <x v="2"/>
    <x v="0"/>
    <x v="0"/>
    <x v="0"/>
    <x v="0"/>
    <x v="0"/>
    <n v="0"/>
    <n v="0"/>
    <n v="17.858000000000001"/>
    <n v="17.858000000000001"/>
    <n v="17.858000000000001"/>
    <n v="17.858000000000001"/>
    <n v="0"/>
    <x v="0"/>
    <n v="0"/>
    <n v="0"/>
    <n v="24"/>
    <n v="83"/>
    <n v="0"/>
    <n v="103.26"/>
    <n v="231.33"/>
    <m/>
    <n v="134.11713893574552"/>
    <n v="260.80314197522284"/>
    <n v="0"/>
    <n v="1844.0170800000001"/>
    <n v="4131.0911400000005"/>
    <n v="0"/>
    <n v="2395.0638671145434"/>
    <n v="4657.4225093935293"/>
  </r>
  <r>
    <s v="Regular"/>
    <x v="0"/>
    <x v="1"/>
    <x v="2"/>
    <x v="0"/>
    <x v="0"/>
    <x v="0"/>
    <x v="0"/>
    <x v="1"/>
    <n v="0"/>
    <n v="0"/>
    <n v="16.908000000000001"/>
    <n v="16.908000000000001"/>
    <n v="16.908000000000001"/>
    <n v="16.908000000000001"/>
    <n v="0"/>
    <x v="0"/>
    <n v="0"/>
    <n v="0"/>
    <n v="24"/>
    <n v="83"/>
    <n v="0"/>
    <n v="103.26"/>
    <n v="231.33"/>
    <m/>
    <n v="134.11713893574552"/>
    <n v="260.80314197522284"/>
    <n v="0"/>
    <n v="1745.9200800000003"/>
    <n v="3911.3276400000004"/>
    <n v="0"/>
    <n v="2267.6525851255851"/>
    <n v="4409.6595245170683"/>
  </r>
  <r>
    <s v="Regular"/>
    <x v="0"/>
    <x v="1"/>
    <x v="2"/>
    <x v="0"/>
    <x v="0"/>
    <x v="0"/>
    <x v="0"/>
    <x v="2"/>
    <n v="0"/>
    <n v="0"/>
    <n v="14.92"/>
    <n v="14.92"/>
    <n v="14.92"/>
    <n v="14.92"/>
    <n v="0"/>
    <x v="0"/>
    <n v="0"/>
    <n v="0"/>
    <n v="24"/>
    <n v="83"/>
    <n v="0"/>
    <n v="103.26"/>
    <n v="231.33"/>
    <m/>
    <n v="134.11713893574552"/>
    <n v="260.80314197522284"/>
    <n v="0"/>
    <n v="1540.6392000000001"/>
    <n v="3451.4436000000001"/>
    <n v="0"/>
    <n v="2001.027712921323"/>
    <n v="3891.1828782703246"/>
  </r>
  <r>
    <s v="Regular"/>
    <x v="0"/>
    <x v="1"/>
    <x v="2"/>
    <x v="0"/>
    <x v="0"/>
    <x v="0"/>
    <x v="0"/>
    <x v="3"/>
    <n v="0"/>
    <n v="0"/>
    <n v="13.882999999999999"/>
    <n v="13.882999999999999"/>
    <n v="13.882999999999999"/>
    <n v="13.882999999999999"/>
    <n v="0"/>
    <x v="0"/>
    <n v="0"/>
    <n v="0"/>
    <n v="24"/>
    <n v="83"/>
    <n v="0"/>
    <n v="103.26"/>
    <n v="231.33"/>
    <m/>
    <n v="134.11713893574552"/>
    <n v="260.80314197522284"/>
    <n v="0"/>
    <n v="1433.5585799999999"/>
    <n v="3211.5543899999998"/>
    <n v="0"/>
    <n v="1861.948239844955"/>
    <n v="3620.7300200420186"/>
  </r>
  <r>
    <s v="Regular"/>
    <x v="0"/>
    <x v="1"/>
    <x v="2"/>
    <x v="0"/>
    <x v="0"/>
    <x v="0"/>
    <x v="0"/>
    <x v="4"/>
    <n v="0"/>
    <n v="0"/>
    <n v="17.443000000000001"/>
    <n v="17.443000000000001"/>
    <n v="17.443000000000001"/>
    <n v="17.443000000000001"/>
    <n v="0"/>
    <x v="0"/>
    <n v="0"/>
    <n v="0"/>
    <n v="24"/>
    <n v="83"/>
    <n v="0"/>
    <n v="103.26"/>
    <n v="231.33"/>
    <m/>
    <n v="134.11713893574552"/>
    <n v="260.80314197522284"/>
    <n v="0"/>
    <n v="1801.1641800000002"/>
    <n v="4035.0891900000006"/>
    <n v="0"/>
    <n v="2339.4052544562091"/>
    <n v="4549.1892054738128"/>
  </r>
  <r>
    <s v="Regular"/>
    <x v="0"/>
    <x v="1"/>
    <x v="2"/>
    <x v="0"/>
    <x v="0"/>
    <x v="0"/>
    <x v="0"/>
    <x v="5"/>
    <n v="0"/>
    <n v="0"/>
    <n v="22.948"/>
    <n v="22.948"/>
    <n v="22.948"/>
    <n v="22.948"/>
    <n v="0"/>
    <x v="0"/>
    <n v="0"/>
    <n v="0"/>
    <n v="24"/>
    <n v="83"/>
    <n v="0"/>
    <n v="103.26"/>
    <n v="231.33"/>
    <m/>
    <n v="134.11713893574552"/>
    <n v="260.80314197522284"/>
    <n v="0"/>
    <n v="2369.6104800000003"/>
    <n v="5308.5608400000001"/>
    <n v="0"/>
    <n v="3077.720104297488"/>
    <n v="5984.9105020474135"/>
  </r>
  <r>
    <s v="Regular"/>
    <x v="0"/>
    <x v="1"/>
    <x v="2"/>
    <x v="0"/>
    <x v="0"/>
    <x v="0"/>
    <x v="0"/>
    <x v="6"/>
    <n v="0"/>
    <n v="0"/>
    <n v="19.547999999999998"/>
    <n v="19.547999999999998"/>
    <n v="19.547999999999998"/>
    <n v="19.547999999999998"/>
    <n v="0"/>
    <x v="0"/>
    <n v="0"/>
    <n v="0"/>
    <n v="24"/>
    <n v="83"/>
    <n v="0"/>
    <n v="103.26"/>
    <n v="231.33"/>
    <m/>
    <n v="134.11713893574552"/>
    <n v="260.80314197522284"/>
    <n v="0"/>
    <n v="2018.52648"/>
    <n v="4522.0388400000002"/>
    <n v="0"/>
    <n v="2621.7218319159533"/>
    <n v="5098.1798193316554"/>
  </r>
  <r>
    <s v="Regular"/>
    <x v="0"/>
    <x v="1"/>
    <x v="2"/>
    <x v="0"/>
    <x v="0"/>
    <x v="0"/>
    <x v="0"/>
    <x v="7"/>
    <n v="0"/>
    <n v="0"/>
    <n v="25.852"/>
    <n v="25.852"/>
    <n v="25.852"/>
    <n v="25.852"/>
    <n v="0"/>
    <x v="0"/>
    <n v="0"/>
    <n v="0"/>
    <n v="24"/>
    <n v="83"/>
    <n v="0"/>
    <n v="103.26"/>
    <n v="231.33"/>
    <m/>
    <n v="134.11713893574552"/>
    <n v="260.80314197522284"/>
    <n v="0"/>
    <n v="2669.4775200000004"/>
    <n v="5980.3431600000004"/>
    <n v="0"/>
    <n v="3467.196275766893"/>
    <n v="6742.2828263434612"/>
  </r>
  <r>
    <s v="Regular"/>
    <x v="0"/>
    <x v="1"/>
    <x v="2"/>
    <x v="0"/>
    <x v="0"/>
    <x v="0"/>
    <x v="0"/>
    <x v="8"/>
    <n v="0"/>
    <n v="0"/>
    <n v="27.331"/>
    <n v="27.331"/>
    <n v="27.331"/>
    <n v="27.331"/>
    <n v="0"/>
    <x v="0"/>
    <n v="0"/>
    <n v="0"/>
    <n v="24"/>
    <n v="83"/>
    <n v="0"/>
    <n v="103.26"/>
    <n v="231.33"/>
    <m/>
    <n v="134.11713893574552"/>
    <n v="260.80314197522284"/>
    <n v="0"/>
    <n v="2822.1990599999999"/>
    <n v="6322.4802300000001"/>
    <n v="0"/>
    <n v="3665.5555242528608"/>
    <n v="7128.0106733248158"/>
  </r>
  <r>
    <s v="Regular"/>
    <x v="0"/>
    <x v="1"/>
    <x v="2"/>
    <x v="0"/>
    <x v="0"/>
    <x v="0"/>
    <x v="0"/>
    <x v="9"/>
    <n v="0"/>
    <n v="0"/>
    <n v="31.334"/>
    <n v="31.334"/>
    <n v="31.334"/>
    <n v="31.334"/>
    <n v="0"/>
    <x v="0"/>
    <n v="0"/>
    <n v="0"/>
    <n v="24"/>
    <n v="83"/>
    <n v="0"/>
    <n v="103.26"/>
    <n v="231.33"/>
    <m/>
    <n v="134.11713893574552"/>
    <n v="260.80314197522284"/>
    <n v="0"/>
    <n v="3235.5488399999999"/>
    <n v="7248.4942200000005"/>
    <n v="0"/>
    <n v="4202.4264314126503"/>
    <n v="8172.0056506516321"/>
  </r>
  <r>
    <s v="Regular"/>
    <x v="0"/>
    <x v="1"/>
    <x v="2"/>
    <x v="0"/>
    <x v="0"/>
    <x v="0"/>
    <x v="0"/>
    <x v="10"/>
    <n v="0"/>
    <n v="0"/>
    <n v="30.015000000000001"/>
    <n v="30.015000000000001"/>
    <n v="30.015000000000001"/>
    <n v="30.015000000000001"/>
    <n v="0"/>
    <x v="0"/>
    <n v="0"/>
    <n v="0"/>
    <n v="24"/>
    <n v="83"/>
    <n v="0"/>
    <n v="103.26"/>
    <n v="231.33"/>
    <m/>
    <n v="134.11713893574552"/>
    <n v="260.80314197522284"/>
    <n v="0"/>
    <n v="3099.3489000000004"/>
    <n v="6943.3699500000002"/>
    <n v="0"/>
    <n v="4025.5259251564016"/>
    <n v="7828.0063063863136"/>
  </r>
  <r>
    <s v="Regular"/>
    <x v="0"/>
    <x v="1"/>
    <x v="2"/>
    <x v="0"/>
    <x v="0"/>
    <x v="0"/>
    <x v="0"/>
    <x v="11"/>
    <n v="0"/>
    <n v="0"/>
    <n v="42.46"/>
    <n v="42.46"/>
    <n v="42.46"/>
    <n v="42.46"/>
    <n v="0"/>
    <x v="0"/>
    <n v="0"/>
    <n v="0"/>
    <n v="24"/>
    <n v="83"/>
    <n v="0"/>
    <n v="103.26"/>
    <n v="231.33"/>
    <m/>
    <n v="134.11713893574552"/>
    <n v="260.80314197522284"/>
    <n v="0"/>
    <n v="4384.4196000000002"/>
    <n v="9822.2718000000004"/>
    <n v="0"/>
    <n v="5694.6137192117549"/>
    <n v="11073.701408267962"/>
  </r>
  <r>
    <s v="Regular"/>
    <x v="0"/>
    <x v="1"/>
    <x v="2"/>
    <x v="0"/>
    <x v="0"/>
    <x v="0"/>
    <x v="2"/>
    <x v="0"/>
    <n v="240"/>
    <n v="240"/>
    <n v="0"/>
    <n v="0"/>
    <n v="0"/>
    <n v="0"/>
    <n v="2"/>
    <x v="0"/>
    <n v="0"/>
    <n v="22"/>
    <n v="0"/>
    <n v="0"/>
    <n v="63.83"/>
    <n v="0"/>
    <n v="0"/>
    <n v="77.970056746860777"/>
    <m/>
    <m/>
    <n v="15319.199999999999"/>
    <n v="0"/>
    <n v="0"/>
    <n v="18712.813619246586"/>
    <n v="0"/>
    <n v="0"/>
  </r>
  <r>
    <s v="Regular"/>
    <x v="0"/>
    <x v="1"/>
    <x v="2"/>
    <x v="0"/>
    <x v="0"/>
    <x v="0"/>
    <x v="2"/>
    <x v="1"/>
    <n v="240"/>
    <n v="240"/>
    <n v="0"/>
    <n v="0"/>
    <n v="0"/>
    <n v="0"/>
    <n v="2"/>
    <x v="0"/>
    <n v="0"/>
    <n v="22"/>
    <n v="0"/>
    <n v="0"/>
    <n v="63.83"/>
    <n v="0"/>
    <n v="0"/>
    <n v="77.970056746860777"/>
    <m/>
    <m/>
    <n v="15319.199999999999"/>
    <n v="0"/>
    <n v="0"/>
    <n v="18712.813619246586"/>
    <n v="0"/>
    <n v="0"/>
  </r>
  <r>
    <s v="Regular"/>
    <x v="0"/>
    <x v="1"/>
    <x v="2"/>
    <x v="0"/>
    <x v="0"/>
    <x v="0"/>
    <x v="2"/>
    <x v="2"/>
    <n v="240"/>
    <n v="240"/>
    <n v="0"/>
    <n v="0"/>
    <n v="0"/>
    <n v="0"/>
    <n v="2"/>
    <x v="0"/>
    <n v="0"/>
    <n v="22"/>
    <n v="0"/>
    <n v="0"/>
    <n v="63.83"/>
    <n v="0"/>
    <n v="0"/>
    <n v="77.970056746860777"/>
    <m/>
    <m/>
    <n v="15319.199999999999"/>
    <n v="0"/>
    <n v="0"/>
    <n v="18712.813619246586"/>
    <n v="0"/>
    <n v="0"/>
  </r>
  <r>
    <s v="Regular"/>
    <x v="0"/>
    <x v="1"/>
    <x v="2"/>
    <x v="0"/>
    <x v="0"/>
    <x v="0"/>
    <x v="2"/>
    <x v="3"/>
    <n v="240"/>
    <n v="240"/>
    <n v="0"/>
    <n v="0"/>
    <n v="0"/>
    <n v="0"/>
    <n v="2"/>
    <x v="0"/>
    <n v="0"/>
    <n v="22"/>
    <n v="0"/>
    <n v="0"/>
    <n v="63.83"/>
    <n v="0"/>
    <n v="0"/>
    <n v="77.970056746860777"/>
    <m/>
    <m/>
    <n v="15319.199999999999"/>
    <n v="0"/>
    <n v="0"/>
    <n v="18712.813619246586"/>
    <n v="0"/>
    <n v="0"/>
  </r>
  <r>
    <s v="Regular"/>
    <x v="0"/>
    <x v="1"/>
    <x v="2"/>
    <x v="0"/>
    <x v="0"/>
    <x v="0"/>
    <x v="2"/>
    <x v="4"/>
    <n v="240"/>
    <n v="240"/>
    <n v="0"/>
    <n v="0"/>
    <n v="0"/>
    <n v="0"/>
    <n v="2"/>
    <x v="0"/>
    <n v="0"/>
    <n v="22"/>
    <n v="0"/>
    <n v="0"/>
    <n v="63.83"/>
    <n v="0"/>
    <n v="0"/>
    <n v="77.970056746860777"/>
    <m/>
    <m/>
    <n v="15319.199999999999"/>
    <n v="0"/>
    <n v="0"/>
    <n v="18712.813619246586"/>
    <n v="0"/>
    <n v="0"/>
  </r>
  <r>
    <s v="Regular"/>
    <x v="0"/>
    <x v="1"/>
    <x v="2"/>
    <x v="0"/>
    <x v="0"/>
    <x v="0"/>
    <x v="2"/>
    <x v="5"/>
    <n v="240"/>
    <n v="240"/>
    <n v="0"/>
    <n v="0"/>
    <n v="0"/>
    <n v="0"/>
    <n v="2"/>
    <x v="0"/>
    <n v="0"/>
    <n v="22"/>
    <n v="0"/>
    <n v="0"/>
    <n v="63.83"/>
    <n v="0"/>
    <n v="0"/>
    <n v="77.970056746860777"/>
    <m/>
    <m/>
    <n v="15319.199999999999"/>
    <n v="0"/>
    <n v="0"/>
    <n v="18712.813619246586"/>
    <n v="0"/>
    <n v="0"/>
  </r>
  <r>
    <s v="Regular"/>
    <x v="0"/>
    <x v="1"/>
    <x v="2"/>
    <x v="0"/>
    <x v="0"/>
    <x v="0"/>
    <x v="2"/>
    <x v="6"/>
    <n v="240"/>
    <n v="240"/>
    <n v="0"/>
    <n v="0"/>
    <n v="0"/>
    <n v="0"/>
    <n v="2"/>
    <x v="0"/>
    <n v="0"/>
    <n v="22"/>
    <n v="0"/>
    <n v="0"/>
    <n v="63.83"/>
    <n v="0"/>
    <n v="0"/>
    <n v="77.970056746860777"/>
    <m/>
    <m/>
    <n v="15319.199999999999"/>
    <n v="0"/>
    <n v="0"/>
    <n v="18712.813619246586"/>
    <n v="0"/>
    <n v="0"/>
  </r>
  <r>
    <s v="Regular"/>
    <x v="0"/>
    <x v="1"/>
    <x v="2"/>
    <x v="0"/>
    <x v="0"/>
    <x v="0"/>
    <x v="2"/>
    <x v="7"/>
    <n v="241"/>
    <n v="241"/>
    <n v="0"/>
    <n v="0"/>
    <n v="0"/>
    <n v="0"/>
    <n v="2"/>
    <x v="0"/>
    <n v="0"/>
    <n v="22"/>
    <n v="0"/>
    <n v="0"/>
    <n v="63.83"/>
    <n v="0"/>
    <n v="0"/>
    <n v="77.970056746860777"/>
    <m/>
    <m/>
    <n v="15383.029999999999"/>
    <n v="0"/>
    <n v="0"/>
    <n v="18790.783675993447"/>
    <n v="0"/>
    <n v="0"/>
  </r>
  <r>
    <s v="Regular"/>
    <x v="0"/>
    <x v="1"/>
    <x v="2"/>
    <x v="0"/>
    <x v="0"/>
    <x v="0"/>
    <x v="2"/>
    <x v="8"/>
    <n v="240"/>
    <n v="240"/>
    <n v="0"/>
    <n v="0"/>
    <n v="0"/>
    <n v="0"/>
    <n v="2"/>
    <x v="0"/>
    <n v="0"/>
    <n v="22"/>
    <n v="0"/>
    <n v="0"/>
    <n v="63.83"/>
    <n v="0"/>
    <n v="0"/>
    <n v="77.970056746860777"/>
    <m/>
    <m/>
    <n v="15319.199999999999"/>
    <n v="0"/>
    <n v="0"/>
    <n v="18712.813619246586"/>
    <n v="0"/>
    <n v="0"/>
  </r>
  <r>
    <s v="Regular"/>
    <x v="0"/>
    <x v="1"/>
    <x v="2"/>
    <x v="0"/>
    <x v="0"/>
    <x v="0"/>
    <x v="2"/>
    <x v="9"/>
    <n v="244"/>
    <n v="244"/>
    <n v="0"/>
    <n v="0"/>
    <n v="0"/>
    <n v="0"/>
    <n v="2"/>
    <x v="0"/>
    <n v="0"/>
    <n v="22"/>
    <n v="0"/>
    <n v="0"/>
    <n v="63.83"/>
    <n v="0"/>
    <n v="0"/>
    <n v="77.970056746860777"/>
    <m/>
    <m/>
    <n v="15574.52"/>
    <n v="0"/>
    <n v="0"/>
    <n v="19024.693846234029"/>
    <n v="0"/>
    <n v="0"/>
  </r>
  <r>
    <s v="Regular"/>
    <x v="0"/>
    <x v="1"/>
    <x v="2"/>
    <x v="0"/>
    <x v="0"/>
    <x v="0"/>
    <x v="2"/>
    <x v="10"/>
    <n v="240"/>
    <n v="240"/>
    <n v="0"/>
    <n v="0"/>
    <n v="0"/>
    <n v="0"/>
    <n v="2"/>
    <x v="0"/>
    <n v="0"/>
    <n v="22"/>
    <n v="0"/>
    <n v="0"/>
    <n v="63.83"/>
    <n v="0"/>
    <n v="0"/>
    <n v="77.970056746860777"/>
    <m/>
    <m/>
    <n v="15319.199999999999"/>
    <n v="0"/>
    <n v="0"/>
    <n v="18712.813619246586"/>
    <n v="0"/>
    <n v="0"/>
  </r>
  <r>
    <s v="Regular"/>
    <x v="0"/>
    <x v="1"/>
    <x v="2"/>
    <x v="0"/>
    <x v="0"/>
    <x v="0"/>
    <x v="2"/>
    <x v="11"/>
    <n v="244"/>
    <n v="244"/>
    <n v="0"/>
    <n v="0"/>
    <n v="0"/>
    <n v="0"/>
    <n v="2"/>
    <x v="0"/>
    <n v="0"/>
    <n v="22"/>
    <n v="0"/>
    <n v="0"/>
    <n v="63.83"/>
    <n v="0"/>
    <n v="0"/>
    <n v="77.970056746860777"/>
    <m/>
    <m/>
    <n v="15574.52"/>
    <n v="0"/>
    <n v="0"/>
    <n v="19024.693846234029"/>
    <n v="0"/>
    <n v="0"/>
  </r>
  <r>
    <s v="Regular"/>
    <x v="0"/>
    <x v="1"/>
    <x v="2"/>
    <x v="0"/>
    <x v="0"/>
    <x v="0"/>
    <x v="1"/>
    <x v="0"/>
    <n v="0"/>
    <n v="0"/>
    <n v="0.89200000000000002"/>
    <n v="0.89200000000000002"/>
    <n v="0.89200000000000002"/>
    <n v="0.89200000000000002"/>
    <n v="0"/>
    <x v="0"/>
    <n v="0"/>
    <n v="0"/>
    <n v="23"/>
    <n v="82"/>
    <n v="0"/>
    <n v="4048.87"/>
    <n v="231.33"/>
    <m/>
    <n v="4887.521063090805"/>
    <n v="260.80314197522284"/>
    <n v="0"/>
    <n v="3611.59204"/>
    <n v="206.34636"/>
    <n v="0"/>
    <n v="4359.6687882769984"/>
    <n v="232.63640264189877"/>
  </r>
  <r>
    <s v="Regular"/>
    <x v="0"/>
    <x v="1"/>
    <x v="2"/>
    <x v="0"/>
    <x v="0"/>
    <x v="0"/>
    <x v="1"/>
    <x v="1"/>
    <n v="0"/>
    <n v="0"/>
    <n v="0.84299999999999997"/>
    <n v="0.84299999999999997"/>
    <n v="0.84299999999999997"/>
    <n v="0.84299999999999997"/>
    <n v="0"/>
    <x v="0"/>
    <n v="0"/>
    <n v="0"/>
    <n v="23"/>
    <n v="82"/>
    <n v="0"/>
    <n v="4048.87"/>
    <n v="231.33"/>
    <m/>
    <n v="4887.521063090805"/>
    <n v="260.80314197522284"/>
    <n v="0"/>
    <n v="3413.1974099999998"/>
    <n v="195.01119"/>
    <n v="0"/>
    <n v="4120.1802561855484"/>
    <n v="219.85704868511286"/>
  </r>
  <r>
    <s v="Regular"/>
    <x v="0"/>
    <x v="1"/>
    <x v="2"/>
    <x v="0"/>
    <x v="0"/>
    <x v="0"/>
    <x v="1"/>
    <x v="2"/>
    <n v="0"/>
    <n v="0"/>
    <n v="0.93100000000000005"/>
    <n v="0.93100000000000005"/>
    <n v="0.93100000000000005"/>
    <n v="0.93100000000000005"/>
    <n v="0"/>
    <x v="0"/>
    <n v="0"/>
    <n v="0"/>
    <n v="23"/>
    <n v="82"/>
    <n v="0"/>
    <n v="4048.87"/>
    <n v="231.33"/>
    <m/>
    <n v="4887.521063090805"/>
    <n v="260.80314197522284"/>
    <n v="0"/>
    <n v="3769.4979699999999"/>
    <n v="215.36823000000001"/>
    <n v="0"/>
    <n v="4550.2821097375399"/>
    <n v="242.80772517893249"/>
  </r>
  <r>
    <s v="Regular"/>
    <x v="0"/>
    <x v="1"/>
    <x v="2"/>
    <x v="0"/>
    <x v="0"/>
    <x v="0"/>
    <x v="1"/>
    <x v="3"/>
    <n v="0"/>
    <n v="0"/>
    <n v="0.93700000000000006"/>
    <n v="0.93700000000000006"/>
    <n v="0.93700000000000006"/>
    <n v="0.93700000000000006"/>
    <n v="0"/>
    <x v="0"/>
    <n v="0"/>
    <n v="0"/>
    <n v="23"/>
    <n v="82"/>
    <n v="0"/>
    <n v="4048.87"/>
    <n v="231.33"/>
    <m/>
    <n v="4887.521063090805"/>
    <n v="260.80314197522284"/>
    <n v="0"/>
    <n v="3793.7911899999999"/>
    <n v="216.75621000000004"/>
    <n v="0"/>
    <n v="4579.607236116085"/>
    <n v="244.37254403078381"/>
  </r>
  <r>
    <s v="Regular"/>
    <x v="0"/>
    <x v="1"/>
    <x v="2"/>
    <x v="0"/>
    <x v="0"/>
    <x v="0"/>
    <x v="1"/>
    <x v="4"/>
    <n v="0"/>
    <n v="0"/>
    <n v="1.1100000000000001"/>
    <n v="1.1100000000000001"/>
    <n v="1.1100000000000001"/>
    <n v="1.1100000000000001"/>
    <n v="0"/>
    <x v="0"/>
    <n v="0"/>
    <n v="0"/>
    <n v="23"/>
    <n v="82"/>
    <n v="0"/>
    <n v="4048.87"/>
    <n v="231.33"/>
    <m/>
    <n v="4887.521063090805"/>
    <n v="260.80314197522284"/>
    <n v="0"/>
    <n v="4494.2457000000004"/>
    <n v="256.77630000000005"/>
    <n v="0"/>
    <n v="5425.1483800307942"/>
    <n v="289.49148759249738"/>
  </r>
  <r>
    <s v="Regular"/>
    <x v="0"/>
    <x v="1"/>
    <x v="2"/>
    <x v="0"/>
    <x v="0"/>
    <x v="0"/>
    <x v="1"/>
    <x v="5"/>
    <n v="0"/>
    <n v="0"/>
    <n v="1.2989999999999999"/>
    <n v="1.2989999999999999"/>
    <n v="1.2989999999999999"/>
    <n v="1.2989999999999999"/>
    <n v="0"/>
    <x v="0"/>
    <n v="0"/>
    <n v="0"/>
    <n v="23"/>
    <n v="82"/>
    <n v="0"/>
    <n v="4048.87"/>
    <n v="231.33"/>
    <m/>
    <n v="4887.521063090805"/>
    <n v="260.80314197522284"/>
    <n v="0"/>
    <n v="5259.4821299999994"/>
    <n v="300.49767000000003"/>
    <n v="0"/>
    <n v="6348.8898609549551"/>
    <n v="338.78328142581444"/>
  </r>
  <r>
    <s v="Regular"/>
    <x v="0"/>
    <x v="1"/>
    <x v="2"/>
    <x v="0"/>
    <x v="0"/>
    <x v="0"/>
    <x v="1"/>
    <x v="6"/>
    <n v="0"/>
    <n v="0"/>
    <n v="1.113"/>
    <n v="1.113"/>
    <n v="1.113"/>
    <n v="1.113"/>
    <n v="0"/>
    <x v="0"/>
    <n v="0"/>
    <n v="0"/>
    <n v="23"/>
    <n v="82"/>
    <n v="0"/>
    <n v="4048.87"/>
    <n v="231.33"/>
    <m/>
    <n v="4887.521063090805"/>
    <n v="260.80314197522284"/>
    <n v="0"/>
    <n v="4506.3923100000002"/>
    <n v="257.47029000000003"/>
    <n v="0"/>
    <n v="5439.8109432200663"/>
    <n v="290.27389701842304"/>
  </r>
  <r>
    <s v="Regular"/>
    <x v="0"/>
    <x v="1"/>
    <x v="2"/>
    <x v="0"/>
    <x v="0"/>
    <x v="0"/>
    <x v="1"/>
    <x v="7"/>
    <n v="0"/>
    <n v="0"/>
    <n v="1.841"/>
    <n v="1.841"/>
    <n v="1.841"/>
    <n v="1.841"/>
    <n v="0"/>
    <x v="0"/>
    <n v="0"/>
    <n v="0"/>
    <n v="23"/>
    <n v="82"/>
    <n v="0"/>
    <n v="4048.87"/>
    <n v="231.33"/>
    <m/>
    <n v="4887.521063090805"/>
    <n v="260.80314197522284"/>
    <n v="0"/>
    <n v="7453.9696699999995"/>
    <n v="425.87853000000001"/>
    <n v="0"/>
    <n v="8997.9262771501726"/>
    <n v="480.13858437638527"/>
  </r>
  <r>
    <s v="Regular"/>
    <x v="0"/>
    <x v="1"/>
    <x v="2"/>
    <x v="0"/>
    <x v="0"/>
    <x v="0"/>
    <x v="1"/>
    <x v="8"/>
    <n v="0"/>
    <n v="0"/>
    <n v="1.819"/>
    <n v="1.819"/>
    <n v="1.819"/>
    <n v="1.819"/>
    <n v="0"/>
    <x v="0"/>
    <n v="0"/>
    <n v="0"/>
    <n v="23"/>
    <n v="82"/>
    <n v="0"/>
    <n v="4048.87"/>
    <n v="231.33"/>
    <m/>
    <n v="4887.521063090805"/>
    <n v="260.80314197522284"/>
    <n v="0"/>
    <n v="7364.8945299999996"/>
    <n v="420.78926999999999"/>
    <n v="0"/>
    <n v="8890.4008137621749"/>
    <n v="474.40091525293036"/>
  </r>
  <r>
    <s v="Regular"/>
    <x v="0"/>
    <x v="1"/>
    <x v="2"/>
    <x v="0"/>
    <x v="0"/>
    <x v="0"/>
    <x v="1"/>
    <x v="9"/>
    <n v="0"/>
    <n v="0"/>
    <n v="1.75"/>
    <n v="1.75"/>
    <n v="1.75"/>
    <n v="1.75"/>
    <n v="0"/>
    <x v="0"/>
    <n v="0"/>
    <n v="0"/>
    <n v="23"/>
    <n v="82"/>
    <n v="0"/>
    <n v="4048.87"/>
    <n v="231.33"/>
    <m/>
    <n v="4887.521063090805"/>
    <n v="260.80314197522284"/>
    <n v="0"/>
    <n v="7085.5225"/>
    <n v="404.82750000000004"/>
    <n v="0"/>
    <n v="8553.161860408909"/>
    <n v="456.40549845663998"/>
  </r>
  <r>
    <s v="Regular"/>
    <x v="0"/>
    <x v="1"/>
    <x v="2"/>
    <x v="0"/>
    <x v="0"/>
    <x v="0"/>
    <x v="1"/>
    <x v="10"/>
    <n v="0"/>
    <n v="0"/>
    <n v="1.879"/>
    <n v="1.879"/>
    <n v="1.879"/>
    <n v="1.879"/>
    <n v="0"/>
    <x v="0"/>
    <n v="0"/>
    <n v="0"/>
    <n v="23"/>
    <n v="82"/>
    <n v="0"/>
    <n v="4048.87"/>
    <n v="231.33"/>
    <m/>
    <n v="4887.521063090805"/>
    <n v="260.80314197522284"/>
    <n v="0"/>
    <n v="7607.8267299999998"/>
    <n v="434.66907000000003"/>
    <n v="0"/>
    <n v="9183.652077547622"/>
    <n v="490.0491037714437"/>
  </r>
  <r>
    <s v="Regular"/>
    <x v="0"/>
    <x v="1"/>
    <x v="2"/>
    <x v="0"/>
    <x v="0"/>
    <x v="0"/>
    <x v="1"/>
    <x v="11"/>
    <n v="0"/>
    <n v="0"/>
    <n v="2.6920000000000002"/>
    <n v="2.6920000000000002"/>
    <n v="2.6920000000000002"/>
    <n v="2.6920000000000002"/>
    <n v="0"/>
    <x v="0"/>
    <n v="0"/>
    <n v="0"/>
    <n v="23"/>
    <n v="82"/>
    <n v="0"/>
    <n v="4048.87"/>
    <n v="231.33"/>
    <m/>
    <n v="4887.521063090805"/>
    <n v="260.80314197522284"/>
    <n v="0"/>
    <n v="10899.55804"/>
    <n v="622.74036000000012"/>
    <n v="0"/>
    <n v="13157.206701840449"/>
    <n v="702.08205819729994"/>
  </r>
  <r>
    <s v="Regular"/>
    <x v="0"/>
    <x v="1"/>
    <x v="3"/>
    <x v="1"/>
    <x v="0"/>
    <x v="0"/>
    <x v="0"/>
    <x v="0"/>
    <n v="0"/>
    <n v="0"/>
    <n v="2.3490000000000002"/>
    <n v="2.3490000000000002"/>
    <n v="2.3490000000000002"/>
    <n v="2.3490000000000002"/>
    <n v="0"/>
    <x v="0"/>
    <n v="0"/>
    <n v="0"/>
    <n v="24"/>
    <n v="83"/>
    <n v="0"/>
    <n v="103.26"/>
    <n v="231.33"/>
    <m/>
    <n v="134.11713893574552"/>
    <n v="260.80314197522284"/>
    <n v="0"/>
    <n v="242.55774000000002"/>
    <n v="543.39417000000003"/>
    <n v="0"/>
    <n v="315.04115936006622"/>
    <n v="612.62658049979848"/>
  </r>
  <r>
    <s v="Regular"/>
    <x v="0"/>
    <x v="1"/>
    <x v="3"/>
    <x v="1"/>
    <x v="0"/>
    <x v="0"/>
    <x v="0"/>
    <x v="1"/>
    <n v="0"/>
    <n v="0"/>
    <n v="1.5549999999999999"/>
    <n v="1.5549999999999999"/>
    <n v="1.5549999999999999"/>
    <n v="1.5549999999999999"/>
    <n v="0"/>
    <x v="0"/>
    <n v="0"/>
    <n v="0"/>
    <n v="24"/>
    <n v="83"/>
    <n v="0"/>
    <n v="103.26"/>
    <n v="231.33"/>
    <m/>
    <n v="134.11713893574552"/>
    <n v="260.80314197522284"/>
    <n v="0"/>
    <n v="160.5693"/>
    <n v="359.71814999999998"/>
    <n v="0"/>
    <n v="208.55215104508426"/>
    <n v="405.54888577147153"/>
  </r>
  <r>
    <s v="Regular"/>
    <x v="0"/>
    <x v="1"/>
    <x v="3"/>
    <x v="1"/>
    <x v="0"/>
    <x v="0"/>
    <x v="0"/>
    <x v="2"/>
    <n v="0"/>
    <n v="0"/>
    <n v="1.4970000000000001"/>
    <n v="1.4970000000000001"/>
    <n v="1.4970000000000001"/>
    <n v="1.4970000000000001"/>
    <n v="0"/>
    <x v="0"/>
    <n v="0"/>
    <n v="0"/>
    <n v="24"/>
    <n v="83"/>
    <n v="0"/>
    <n v="103.26"/>
    <n v="231.33"/>
    <m/>
    <n v="134.11713893574552"/>
    <n v="260.80314197522284"/>
    <n v="0"/>
    <n v="154.58022000000003"/>
    <n v="346.30101000000002"/>
    <n v="0"/>
    <n v="200.77335698681105"/>
    <n v="390.4223035369086"/>
  </r>
  <r>
    <s v="Regular"/>
    <x v="0"/>
    <x v="1"/>
    <x v="3"/>
    <x v="1"/>
    <x v="0"/>
    <x v="0"/>
    <x v="0"/>
    <x v="3"/>
    <n v="0"/>
    <n v="0"/>
    <n v="1.48"/>
    <n v="1.48"/>
    <n v="1.48"/>
    <n v="1.48"/>
    <n v="0"/>
    <x v="0"/>
    <n v="0"/>
    <n v="0"/>
    <n v="24"/>
    <n v="83"/>
    <n v="0"/>
    <n v="103.26"/>
    <n v="231.33"/>
    <m/>
    <n v="134.11713893574552"/>
    <n v="260.80314197522284"/>
    <n v="0"/>
    <n v="152.82480000000001"/>
    <n v="342.36840000000001"/>
    <n v="0"/>
    <n v="198.49336562490336"/>
    <n v="385.98865012332982"/>
  </r>
  <r>
    <s v="Regular"/>
    <x v="0"/>
    <x v="1"/>
    <x v="3"/>
    <x v="1"/>
    <x v="0"/>
    <x v="0"/>
    <x v="0"/>
    <x v="4"/>
    <n v="0"/>
    <n v="0"/>
    <n v="1.3759999999999999"/>
    <n v="1.3759999999999999"/>
    <n v="1.3759999999999999"/>
    <n v="1.3759999999999999"/>
    <n v="0"/>
    <x v="0"/>
    <n v="0"/>
    <n v="0"/>
    <n v="24"/>
    <n v="83"/>
    <n v="0"/>
    <n v="103.26"/>
    <n v="231.33"/>
    <m/>
    <n v="134.11713893574552"/>
    <n v="260.80314197522284"/>
    <n v="0"/>
    <n v="142.08575999999999"/>
    <n v="318.31007999999997"/>
    <n v="0"/>
    <n v="184.54518317558581"/>
    <n v="358.86512335790661"/>
  </r>
  <r>
    <s v="Regular"/>
    <x v="0"/>
    <x v="1"/>
    <x v="3"/>
    <x v="1"/>
    <x v="0"/>
    <x v="0"/>
    <x v="0"/>
    <x v="5"/>
    <n v="0"/>
    <n v="0"/>
    <n v="3.7210000000000001"/>
    <n v="3.7210000000000001"/>
    <n v="3.7210000000000001"/>
    <n v="3.7210000000000001"/>
    <n v="0"/>
    <x v="0"/>
    <n v="0"/>
    <n v="0"/>
    <n v="24"/>
    <n v="83"/>
    <n v="0"/>
    <n v="103.26"/>
    <n v="231.33"/>
    <m/>
    <n v="134.11713893574552"/>
    <n v="260.80314197522284"/>
    <n v="0"/>
    <n v="384.23046000000005"/>
    <n v="860.77893000000006"/>
    <n v="0"/>
    <n v="499.04987397990908"/>
    <n v="970.44849128980422"/>
  </r>
  <r>
    <s v="Regular"/>
    <x v="0"/>
    <x v="1"/>
    <x v="3"/>
    <x v="1"/>
    <x v="0"/>
    <x v="0"/>
    <x v="0"/>
    <x v="6"/>
    <n v="0"/>
    <n v="0"/>
    <n v="3.69"/>
    <n v="3.69"/>
    <n v="3.69"/>
    <n v="3.69"/>
    <n v="0"/>
    <x v="0"/>
    <n v="0"/>
    <n v="0"/>
    <n v="24"/>
    <n v="83"/>
    <n v="0"/>
    <n v="103.26"/>
    <n v="231.33"/>
    <m/>
    <n v="134.11713893574552"/>
    <n v="260.80314197522284"/>
    <n v="0"/>
    <n v="381.02940000000001"/>
    <n v="853.60770000000002"/>
    <n v="0"/>
    <n v="494.89224267290092"/>
    <n v="962.36359388857227"/>
  </r>
  <r>
    <s v="Regular"/>
    <x v="0"/>
    <x v="1"/>
    <x v="3"/>
    <x v="1"/>
    <x v="0"/>
    <x v="0"/>
    <x v="0"/>
    <x v="7"/>
    <n v="0"/>
    <n v="0"/>
    <n v="3.1219999999999999"/>
    <n v="3.1219999999999999"/>
    <n v="3.1219999999999999"/>
    <n v="3.1219999999999999"/>
    <n v="0"/>
    <x v="0"/>
    <n v="0"/>
    <n v="0"/>
    <n v="24"/>
    <n v="83"/>
    <n v="0"/>
    <n v="103.26"/>
    <n v="231.33"/>
    <m/>
    <n v="134.11713893574552"/>
    <n v="260.80314197522284"/>
    <n v="0"/>
    <n v="322.37772000000001"/>
    <n v="722.21226000000001"/>
    <n v="0"/>
    <n v="418.71370775739746"/>
    <n v="814.22740924664572"/>
  </r>
  <r>
    <s v="Regular"/>
    <x v="0"/>
    <x v="1"/>
    <x v="3"/>
    <x v="1"/>
    <x v="0"/>
    <x v="0"/>
    <x v="0"/>
    <x v="8"/>
    <n v="0"/>
    <n v="0"/>
    <n v="3.6280000000000001"/>
    <n v="3.6280000000000001"/>
    <n v="3.6280000000000001"/>
    <n v="3.6280000000000001"/>
    <n v="0"/>
    <x v="0"/>
    <n v="0"/>
    <n v="0"/>
    <n v="24"/>
    <n v="83"/>
    <n v="0"/>
    <n v="103.26"/>
    <n v="231.33"/>
    <m/>
    <n v="134.11713893574552"/>
    <n v="260.80314197522284"/>
    <n v="0"/>
    <n v="374.62728000000004"/>
    <n v="839.26524000000006"/>
    <n v="0"/>
    <n v="486.57698005888477"/>
    <n v="946.19379908610847"/>
  </r>
  <r>
    <s v="Regular"/>
    <x v="0"/>
    <x v="1"/>
    <x v="3"/>
    <x v="1"/>
    <x v="0"/>
    <x v="0"/>
    <x v="0"/>
    <x v="9"/>
    <n v="0"/>
    <n v="0"/>
    <n v="3.4660000000000002"/>
    <n v="3.4660000000000002"/>
    <n v="3.4660000000000002"/>
    <n v="3.4660000000000002"/>
    <n v="0"/>
    <x v="0"/>
    <n v="0"/>
    <n v="0"/>
    <n v="24"/>
    <n v="83"/>
    <n v="0"/>
    <n v="103.26"/>
    <n v="231.33"/>
    <m/>
    <n v="134.11713893574552"/>
    <n v="260.80314197522284"/>
    <n v="0"/>
    <n v="357.89916000000005"/>
    <n v="801.78978000000006"/>
    <n v="0"/>
    <n v="464.85000355129398"/>
    <n v="903.94369008612239"/>
  </r>
  <r>
    <s v="Regular"/>
    <x v="0"/>
    <x v="1"/>
    <x v="3"/>
    <x v="1"/>
    <x v="0"/>
    <x v="0"/>
    <x v="0"/>
    <x v="10"/>
    <n v="0"/>
    <n v="0"/>
    <n v="3.0859999999999999"/>
    <n v="3.0859999999999999"/>
    <n v="3.0859999999999999"/>
    <n v="3.0859999999999999"/>
    <n v="0"/>
    <x v="0"/>
    <n v="0"/>
    <n v="0"/>
    <n v="24"/>
    <n v="83"/>
    <n v="0"/>
    <n v="103.26"/>
    <n v="231.33"/>
    <m/>
    <n v="134.11713893574552"/>
    <n v="260.80314197522284"/>
    <n v="0"/>
    <n v="318.66036000000003"/>
    <n v="713.88437999999996"/>
    <n v="0"/>
    <n v="413.88549075571063"/>
    <n v="804.83849613553764"/>
  </r>
  <r>
    <s v="Regular"/>
    <x v="0"/>
    <x v="1"/>
    <x v="3"/>
    <x v="1"/>
    <x v="0"/>
    <x v="0"/>
    <x v="0"/>
    <x v="11"/>
    <n v="0"/>
    <n v="0"/>
    <n v="3.1349999999999998"/>
    <n v="3.1349999999999998"/>
    <n v="3.1349999999999998"/>
    <n v="3.1349999999999998"/>
    <n v="0"/>
    <x v="0"/>
    <n v="0"/>
    <n v="0"/>
    <n v="24"/>
    <n v="83"/>
    <n v="0"/>
    <n v="103.26"/>
    <n v="231.33"/>
    <m/>
    <n v="134.11713893574552"/>
    <n v="260.80314197522284"/>
    <n v="0"/>
    <n v="323.7201"/>
    <n v="725.21955000000003"/>
    <n v="0"/>
    <n v="420.45723056356218"/>
    <n v="817.61785009232358"/>
  </r>
  <r>
    <s v="Regular"/>
    <x v="0"/>
    <x v="1"/>
    <x v="3"/>
    <x v="1"/>
    <x v="0"/>
    <x v="0"/>
    <x v="2"/>
    <x v="0"/>
    <n v="30"/>
    <n v="30"/>
    <n v="0"/>
    <n v="0"/>
    <n v="0"/>
    <n v="0"/>
    <n v="1"/>
    <x v="0"/>
    <n v="0"/>
    <n v="22"/>
    <n v="0"/>
    <n v="0"/>
    <n v="63.83"/>
    <n v="0"/>
    <n v="0"/>
    <n v="77.970056746860777"/>
    <m/>
    <m/>
    <n v="1914.8999999999999"/>
    <n v="0"/>
    <n v="0"/>
    <n v="2339.1017024058233"/>
    <n v="0"/>
    <n v="0"/>
  </r>
  <r>
    <s v="Regular"/>
    <x v="0"/>
    <x v="1"/>
    <x v="3"/>
    <x v="1"/>
    <x v="0"/>
    <x v="0"/>
    <x v="2"/>
    <x v="1"/>
    <n v="30"/>
    <n v="30"/>
    <n v="0"/>
    <n v="0"/>
    <n v="0"/>
    <n v="0"/>
    <n v="1"/>
    <x v="0"/>
    <n v="0"/>
    <n v="22"/>
    <n v="0"/>
    <n v="0"/>
    <n v="63.83"/>
    <n v="0"/>
    <n v="0"/>
    <n v="77.970056746860777"/>
    <m/>
    <m/>
    <n v="1914.8999999999999"/>
    <n v="0"/>
    <n v="0"/>
    <n v="2339.1017024058233"/>
    <n v="0"/>
    <n v="0"/>
  </r>
  <r>
    <s v="Regular"/>
    <x v="0"/>
    <x v="1"/>
    <x v="3"/>
    <x v="1"/>
    <x v="0"/>
    <x v="0"/>
    <x v="2"/>
    <x v="2"/>
    <n v="30"/>
    <n v="30"/>
    <n v="0"/>
    <n v="0"/>
    <n v="0"/>
    <n v="0"/>
    <n v="1"/>
    <x v="0"/>
    <n v="0"/>
    <n v="22"/>
    <n v="0"/>
    <n v="0"/>
    <n v="63.83"/>
    <n v="0"/>
    <n v="0"/>
    <n v="77.970056746860777"/>
    <m/>
    <m/>
    <n v="1914.8999999999999"/>
    <n v="0"/>
    <n v="0"/>
    <n v="2339.1017024058233"/>
    <n v="0"/>
    <n v="0"/>
  </r>
  <r>
    <s v="Regular"/>
    <x v="0"/>
    <x v="1"/>
    <x v="3"/>
    <x v="1"/>
    <x v="0"/>
    <x v="0"/>
    <x v="2"/>
    <x v="3"/>
    <n v="30"/>
    <n v="30"/>
    <n v="0"/>
    <n v="0"/>
    <n v="0"/>
    <n v="0"/>
    <n v="1"/>
    <x v="0"/>
    <n v="0"/>
    <n v="22"/>
    <n v="0"/>
    <n v="0"/>
    <n v="63.83"/>
    <n v="0"/>
    <n v="0"/>
    <n v="77.970056746860777"/>
    <m/>
    <m/>
    <n v="1914.8999999999999"/>
    <n v="0"/>
    <n v="0"/>
    <n v="2339.1017024058233"/>
    <n v="0"/>
    <n v="0"/>
  </r>
  <r>
    <s v="Regular"/>
    <x v="0"/>
    <x v="1"/>
    <x v="3"/>
    <x v="1"/>
    <x v="0"/>
    <x v="0"/>
    <x v="2"/>
    <x v="4"/>
    <n v="30"/>
    <n v="30"/>
    <n v="0"/>
    <n v="0"/>
    <n v="0"/>
    <n v="0"/>
    <n v="1"/>
    <x v="0"/>
    <n v="0"/>
    <n v="22"/>
    <n v="0"/>
    <n v="0"/>
    <n v="63.83"/>
    <n v="0"/>
    <n v="0"/>
    <n v="77.970056746860777"/>
    <m/>
    <m/>
    <n v="1914.8999999999999"/>
    <n v="0"/>
    <n v="0"/>
    <n v="2339.1017024058233"/>
    <n v="0"/>
    <n v="0"/>
  </r>
  <r>
    <s v="Regular"/>
    <x v="0"/>
    <x v="1"/>
    <x v="3"/>
    <x v="1"/>
    <x v="0"/>
    <x v="0"/>
    <x v="2"/>
    <x v="5"/>
    <n v="60"/>
    <n v="60"/>
    <n v="0"/>
    <n v="0"/>
    <n v="0"/>
    <n v="0"/>
    <n v="2"/>
    <x v="0"/>
    <n v="0"/>
    <n v="22"/>
    <n v="0"/>
    <n v="0"/>
    <n v="63.83"/>
    <n v="0"/>
    <n v="0"/>
    <n v="77.970056746860777"/>
    <m/>
    <m/>
    <n v="3829.7999999999997"/>
    <n v="0"/>
    <n v="0"/>
    <n v="4678.2034048116466"/>
    <n v="0"/>
    <n v="0"/>
  </r>
  <r>
    <s v="Regular"/>
    <x v="0"/>
    <x v="1"/>
    <x v="3"/>
    <x v="1"/>
    <x v="0"/>
    <x v="0"/>
    <x v="2"/>
    <x v="6"/>
    <n v="60"/>
    <n v="60"/>
    <n v="0"/>
    <n v="0"/>
    <n v="0"/>
    <n v="0"/>
    <n v="2"/>
    <x v="0"/>
    <n v="0"/>
    <n v="22"/>
    <n v="0"/>
    <n v="0"/>
    <n v="63.83"/>
    <n v="0"/>
    <n v="0"/>
    <n v="77.970056746860777"/>
    <m/>
    <m/>
    <n v="3829.7999999999997"/>
    <n v="0"/>
    <n v="0"/>
    <n v="4678.2034048116466"/>
    <n v="0"/>
    <n v="0"/>
  </r>
  <r>
    <s v="Regular"/>
    <x v="0"/>
    <x v="1"/>
    <x v="3"/>
    <x v="1"/>
    <x v="0"/>
    <x v="0"/>
    <x v="2"/>
    <x v="7"/>
    <n v="60"/>
    <n v="60"/>
    <n v="0"/>
    <n v="0"/>
    <n v="0"/>
    <n v="0"/>
    <n v="2"/>
    <x v="0"/>
    <n v="0"/>
    <n v="22"/>
    <n v="0"/>
    <n v="0"/>
    <n v="63.83"/>
    <n v="0"/>
    <n v="0"/>
    <n v="77.970056746860777"/>
    <m/>
    <m/>
    <n v="3829.7999999999997"/>
    <n v="0"/>
    <n v="0"/>
    <n v="4678.2034048116466"/>
    <n v="0"/>
    <n v="0"/>
  </r>
  <r>
    <s v="Regular"/>
    <x v="0"/>
    <x v="1"/>
    <x v="3"/>
    <x v="1"/>
    <x v="0"/>
    <x v="0"/>
    <x v="2"/>
    <x v="8"/>
    <n v="60"/>
    <n v="60"/>
    <n v="0"/>
    <n v="0"/>
    <n v="0"/>
    <n v="0"/>
    <n v="2"/>
    <x v="0"/>
    <n v="0"/>
    <n v="22"/>
    <n v="0"/>
    <n v="0"/>
    <n v="63.83"/>
    <n v="0"/>
    <n v="0"/>
    <n v="77.970056746860777"/>
    <m/>
    <m/>
    <n v="3829.7999999999997"/>
    <n v="0"/>
    <n v="0"/>
    <n v="4678.2034048116466"/>
    <n v="0"/>
    <n v="0"/>
  </r>
  <r>
    <s v="Regular"/>
    <x v="0"/>
    <x v="1"/>
    <x v="3"/>
    <x v="1"/>
    <x v="0"/>
    <x v="0"/>
    <x v="2"/>
    <x v="9"/>
    <n v="60"/>
    <n v="60"/>
    <n v="0"/>
    <n v="0"/>
    <n v="0"/>
    <n v="0"/>
    <n v="2"/>
    <x v="0"/>
    <n v="0"/>
    <n v="22"/>
    <n v="0"/>
    <n v="0"/>
    <n v="63.83"/>
    <n v="0"/>
    <n v="0"/>
    <n v="77.970056746860777"/>
    <m/>
    <m/>
    <n v="3829.7999999999997"/>
    <n v="0"/>
    <n v="0"/>
    <n v="4678.2034048116466"/>
    <n v="0"/>
    <n v="0"/>
  </r>
  <r>
    <s v="Regular"/>
    <x v="0"/>
    <x v="1"/>
    <x v="3"/>
    <x v="1"/>
    <x v="0"/>
    <x v="0"/>
    <x v="2"/>
    <x v="10"/>
    <n v="60"/>
    <n v="60"/>
    <n v="0"/>
    <n v="0"/>
    <n v="0"/>
    <n v="0"/>
    <n v="2"/>
    <x v="0"/>
    <n v="0"/>
    <n v="22"/>
    <n v="0"/>
    <n v="0"/>
    <n v="63.83"/>
    <n v="0"/>
    <n v="0"/>
    <n v="77.970056746860777"/>
    <m/>
    <m/>
    <n v="3829.7999999999997"/>
    <n v="0"/>
    <n v="0"/>
    <n v="4678.2034048116466"/>
    <n v="0"/>
    <n v="0"/>
  </r>
  <r>
    <s v="Regular"/>
    <x v="0"/>
    <x v="1"/>
    <x v="3"/>
    <x v="1"/>
    <x v="0"/>
    <x v="0"/>
    <x v="2"/>
    <x v="11"/>
    <n v="60"/>
    <n v="60"/>
    <n v="0"/>
    <n v="0"/>
    <n v="0"/>
    <n v="0"/>
    <n v="2"/>
    <x v="0"/>
    <n v="0"/>
    <n v="22"/>
    <n v="0"/>
    <n v="0"/>
    <n v="63.83"/>
    <n v="0"/>
    <n v="0"/>
    <n v="77.970056746860777"/>
    <m/>
    <m/>
    <n v="3829.7999999999997"/>
    <n v="0"/>
    <n v="0"/>
    <n v="4678.2034048116466"/>
    <n v="0"/>
    <n v="0"/>
  </r>
  <r>
    <s v="Regular"/>
    <x v="0"/>
    <x v="1"/>
    <x v="3"/>
    <x v="1"/>
    <x v="0"/>
    <x v="0"/>
    <x v="1"/>
    <x v="0"/>
    <n v="0"/>
    <n v="0"/>
    <n v="0.20499999999999999"/>
    <n v="0.20499999999999999"/>
    <n v="0.20499999999999999"/>
    <n v="0.20499999999999999"/>
    <n v="0"/>
    <x v="0"/>
    <n v="0"/>
    <n v="0"/>
    <n v="23"/>
    <n v="82"/>
    <n v="0"/>
    <n v="4048.87"/>
    <n v="231.33"/>
    <m/>
    <n v="4887.521063090805"/>
    <n v="260.80314197522284"/>
    <n v="0"/>
    <n v="830.01834999999994"/>
    <n v="47.422649999999997"/>
    <n v="0"/>
    <n v="1001.941817933615"/>
    <n v="53.46464410492068"/>
  </r>
  <r>
    <s v="Regular"/>
    <x v="0"/>
    <x v="1"/>
    <x v="3"/>
    <x v="1"/>
    <x v="0"/>
    <x v="0"/>
    <x v="1"/>
    <x v="1"/>
    <n v="0"/>
    <n v="0"/>
    <n v="0.186"/>
    <n v="0.186"/>
    <n v="0.186"/>
    <n v="0.186"/>
    <n v="0"/>
    <x v="0"/>
    <n v="0"/>
    <n v="0"/>
    <n v="23"/>
    <n v="82"/>
    <n v="0"/>
    <n v="4048.87"/>
    <n v="231.33"/>
    <m/>
    <n v="4887.521063090805"/>
    <n v="260.80314197522284"/>
    <n v="0"/>
    <n v="753.08981999999992"/>
    <n v="43.027380000000001"/>
    <n v="0"/>
    <n v="909.07891773488973"/>
    <n v="48.509384407391451"/>
  </r>
  <r>
    <s v="Regular"/>
    <x v="0"/>
    <x v="1"/>
    <x v="3"/>
    <x v="1"/>
    <x v="0"/>
    <x v="0"/>
    <x v="1"/>
    <x v="2"/>
    <n v="0"/>
    <n v="0"/>
    <n v="0.184"/>
    <n v="0.184"/>
    <n v="0.184"/>
    <n v="0.184"/>
    <n v="0"/>
    <x v="0"/>
    <n v="0"/>
    <n v="0"/>
    <n v="23"/>
    <n v="82"/>
    <n v="0"/>
    <n v="4048.87"/>
    <n v="231.33"/>
    <m/>
    <n v="4887.521063090805"/>
    <n v="260.80314197522284"/>
    <n v="0"/>
    <n v="744.99207999999999"/>
    <n v="42.564720000000001"/>
    <n v="0"/>
    <n v="899.30387560870815"/>
    <n v="47.987778123441004"/>
  </r>
  <r>
    <s v="Regular"/>
    <x v="0"/>
    <x v="1"/>
    <x v="3"/>
    <x v="1"/>
    <x v="0"/>
    <x v="0"/>
    <x v="1"/>
    <x v="3"/>
    <n v="0"/>
    <n v="0"/>
    <n v="0.189"/>
    <n v="0.189"/>
    <n v="0.189"/>
    <n v="0.189"/>
    <n v="0"/>
    <x v="0"/>
    <n v="0"/>
    <n v="0"/>
    <n v="23"/>
    <n v="82"/>
    <n v="0"/>
    <n v="4048.87"/>
    <n v="231.33"/>
    <m/>
    <n v="4887.521063090805"/>
    <n v="260.80314197522284"/>
    <n v="0"/>
    <n v="765.23643000000004"/>
    <n v="43.72137"/>
    <n v="0"/>
    <n v="923.74148092416215"/>
    <n v="49.291793833317115"/>
  </r>
  <r>
    <s v="Regular"/>
    <x v="0"/>
    <x v="1"/>
    <x v="3"/>
    <x v="1"/>
    <x v="0"/>
    <x v="0"/>
    <x v="1"/>
    <x v="4"/>
    <n v="0"/>
    <n v="0"/>
    <n v="0.17299999999999999"/>
    <n v="0.17299999999999999"/>
    <n v="0.17299999999999999"/>
    <n v="0.17299999999999999"/>
    <n v="0"/>
    <x v="0"/>
    <n v="0"/>
    <n v="0"/>
    <n v="23"/>
    <n v="82"/>
    <n v="0"/>
    <n v="4048.87"/>
    <n v="231.33"/>
    <m/>
    <n v="4887.521063090805"/>
    <n v="260.80314197522284"/>
    <n v="0"/>
    <n v="700.45450999999991"/>
    <n v="40.020089999999996"/>
    <n v="0"/>
    <n v="845.54114391470921"/>
    <n v="45.11894356171355"/>
  </r>
  <r>
    <s v="Regular"/>
    <x v="0"/>
    <x v="1"/>
    <x v="3"/>
    <x v="1"/>
    <x v="0"/>
    <x v="0"/>
    <x v="1"/>
    <x v="5"/>
    <n v="0"/>
    <n v="0"/>
    <n v="0.436"/>
    <n v="0.436"/>
    <n v="0.436"/>
    <n v="0.436"/>
    <n v="0"/>
    <x v="0"/>
    <n v="0"/>
    <n v="0"/>
    <n v="23"/>
    <n v="82"/>
    <n v="0"/>
    <n v="4048.87"/>
    <n v="231.33"/>
    <m/>
    <n v="4887.521063090805"/>
    <n v="260.80314197522284"/>
    <n v="0"/>
    <n v="1765.3073199999999"/>
    <n v="100.85988"/>
    <n v="0"/>
    <n v="2130.9591835075908"/>
    <n v="113.71016990119716"/>
  </r>
  <r>
    <s v="Regular"/>
    <x v="0"/>
    <x v="1"/>
    <x v="3"/>
    <x v="1"/>
    <x v="0"/>
    <x v="0"/>
    <x v="1"/>
    <x v="6"/>
    <n v="0"/>
    <n v="0"/>
    <n v="0.40400000000000003"/>
    <n v="0.40400000000000003"/>
    <n v="0.40400000000000003"/>
    <n v="0.40400000000000003"/>
    <n v="0"/>
    <x v="0"/>
    <n v="0"/>
    <n v="0"/>
    <n v="23"/>
    <n v="82"/>
    <n v="0"/>
    <n v="4048.87"/>
    <n v="231.33"/>
    <m/>
    <n v="4887.521063090805"/>
    <n v="260.80314197522284"/>
    <n v="0"/>
    <n v="1635.7434800000001"/>
    <n v="93.45732000000001"/>
    <n v="0"/>
    <n v="1974.5585094886853"/>
    <n v="105.36446935799003"/>
  </r>
  <r>
    <s v="Regular"/>
    <x v="0"/>
    <x v="1"/>
    <x v="3"/>
    <x v="1"/>
    <x v="0"/>
    <x v="0"/>
    <x v="1"/>
    <x v="7"/>
    <n v="0"/>
    <n v="0"/>
    <n v="0.372"/>
    <n v="0.372"/>
    <n v="0.372"/>
    <n v="0.372"/>
    <n v="0"/>
    <x v="0"/>
    <n v="0"/>
    <n v="0"/>
    <n v="23"/>
    <n v="82"/>
    <n v="0"/>
    <n v="4048.87"/>
    <n v="231.33"/>
    <m/>
    <n v="4887.521063090805"/>
    <n v="260.80314197522284"/>
    <n v="0"/>
    <n v="1506.1796399999998"/>
    <n v="86.054760000000002"/>
    <n v="0"/>
    <n v="1818.1578354697795"/>
    <n v="97.018768814782902"/>
  </r>
  <r>
    <s v="Regular"/>
    <x v="0"/>
    <x v="1"/>
    <x v="3"/>
    <x v="1"/>
    <x v="0"/>
    <x v="0"/>
    <x v="1"/>
    <x v="8"/>
    <n v="0"/>
    <n v="0"/>
    <n v="0.47"/>
    <n v="0.47"/>
    <n v="0.47"/>
    <n v="0.47"/>
    <n v="0"/>
    <x v="0"/>
    <n v="0"/>
    <n v="0"/>
    <n v="23"/>
    <n v="82"/>
    <n v="0"/>
    <n v="4048.87"/>
    <n v="231.33"/>
    <m/>
    <n v="4887.521063090805"/>
    <n v="260.80314197522284"/>
    <n v="0"/>
    <n v="1902.9688999999998"/>
    <n v="108.7251"/>
    <n v="0"/>
    <n v="2297.1348996526781"/>
    <n v="122.57747672835472"/>
  </r>
  <r>
    <s v="Regular"/>
    <x v="0"/>
    <x v="1"/>
    <x v="3"/>
    <x v="1"/>
    <x v="0"/>
    <x v="0"/>
    <x v="1"/>
    <x v="9"/>
    <n v="0"/>
    <n v="0"/>
    <n v="0.34399999999999997"/>
    <n v="0.34399999999999997"/>
    <n v="0.34399999999999997"/>
    <n v="0.34399999999999997"/>
    <n v="0"/>
    <x v="0"/>
    <n v="0"/>
    <n v="0"/>
    <n v="23"/>
    <n v="82"/>
    <n v="0"/>
    <n v="4048.87"/>
    <n v="231.33"/>
    <m/>
    <n v="4887.521063090805"/>
    <n v="260.80314197522284"/>
    <n v="0"/>
    <n v="1392.8112799999999"/>
    <n v="79.577519999999993"/>
    <n v="0"/>
    <n v="1681.3072457032367"/>
    <n v="89.716280839476653"/>
  </r>
  <r>
    <s v="Regular"/>
    <x v="0"/>
    <x v="1"/>
    <x v="3"/>
    <x v="1"/>
    <x v="0"/>
    <x v="0"/>
    <x v="1"/>
    <x v="10"/>
    <n v="0"/>
    <n v="0"/>
    <n v="0.40500000000000003"/>
    <n v="0.40500000000000003"/>
    <n v="0.40500000000000003"/>
    <n v="0.40500000000000003"/>
    <n v="0"/>
    <x v="0"/>
    <n v="0"/>
    <n v="0"/>
    <n v="23"/>
    <n v="82"/>
    <n v="0"/>
    <n v="4048.87"/>
    <n v="231.33"/>
    <m/>
    <n v="4887.521063090805"/>
    <n v="260.80314197522284"/>
    <n v="0"/>
    <n v="1639.7923500000002"/>
    <n v="93.68865000000001"/>
    <n v="0"/>
    <n v="1979.4460305517762"/>
    <n v="105.62527249996526"/>
  </r>
  <r>
    <s v="Regular"/>
    <x v="0"/>
    <x v="1"/>
    <x v="3"/>
    <x v="1"/>
    <x v="0"/>
    <x v="0"/>
    <x v="1"/>
    <x v="11"/>
    <n v="0"/>
    <n v="0"/>
    <n v="0.41599999999999998"/>
    <n v="0.41599999999999998"/>
    <n v="0.41599999999999998"/>
    <n v="0.41599999999999998"/>
    <n v="0"/>
    <x v="0"/>
    <n v="0"/>
    <n v="0"/>
    <n v="23"/>
    <n v="82"/>
    <n v="0"/>
    <n v="4048.87"/>
    <n v="231.33"/>
    <m/>
    <n v="4887.521063090805"/>
    <n v="260.80314197522284"/>
    <n v="0"/>
    <n v="1684.3299199999999"/>
    <n v="96.233280000000008"/>
    <n v="0"/>
    <n v="2033.2087622457748"/>
    <n v="108.4941070616927"/>
  </r>
  <r>
    <s v="Regular"/>
    <x v="1"/>
    <x v="2"/>
    <x v="3"/>
    <x v="1"/>
    <x v="0"/>
    <x v="0"/>
    <x v="0"/>
    <x v="0"/>
    <n v="0"/>
    <n v="0"/>
    <n v="1.744"/>
    <n v="1.744"/>
    <n v="1.744"/>
    <n v="1.744"/>
    <n v="0"/>
    <x v="0"/>
    <n v="0"/>
    <n v="0"/>
    <n v="35"/>
    <n v="44"/>
    <n v="0"/>
    <n v="492.05"/>
    <n v="231.33"/>
    <m/>
    <n v="604.24433281519919"/>
    <n v="260.80314197522284"/>
    <n v="0"/>
    <n v="858.13520000000005"/>
    <n v="403.43952000000002"/>
    <n v="0"/>
    <n v="1053.8021164297074"/>
    <n v="454.84067960478865"/>
  </r>
  <r>
    <s v="Regular"/>
    <x v="1"/>
    <x v="2"/>
    <x v="3"/>
    <x v="1"/>
    <x v="0"/>
    <x v="0"/>
    <x v="0"/>
    <x v="1"/>
    <n v="0"/>
    <n v="0"/>
    <n v="1.3580000000000001"/>
    <n v="1.3580000000000001"/>
    <n v="1.3580000000000001"/>
    <n v="1.3580000000000001"/>
    <n v="0"/>
    <x v="0"/>
    <n v="0"/>
    <n v="0"/>
    <n v="35"/>
    <n v="44"/>
    <n v="0"/>
    <n v="492.05"/>
    <n v="231.33"/>
    <m/>
    <n v="604.24433281519919"/>
    <n v="260.80314197522284"/>
    <n v="0"/>
    <n v="668.20390000000009"/>
    <n v="314.14614000000006"/>
    <n v="0"/>
    <n v="820.56380396304053"/>
    <n v="354.17066680235263"/>
  </r>
  <r>
    <s v="Regular"/>
    <x v="1"/>
    <x v="2"/>
    <x v="3"/>
    <x v="1"/>
    <x v="0"/>
    <x v="0"/>
    <x v="0"/>
    <x v="2"/>
    <n v="0"/>
    <n v="0"/>
    <n v="1.4119999999999999"/>
    <n v="1.4119999999999999"/>
    <n v="1.4119999999999999"/>
    <n v="1.4119999999999999"/>
    <n v="0"/>
    <x v="0"/>
    <n v="0"/>
    <n v="0"/>
    <n v="35"/>
    <n v="44"/>
    <n v="0"/>
    <n v="492.05"/>
    <n v="231.33"/>
    <m/>
    <n v="604.24433281519919"/>
    <n v="260.80314197522284"/>
    <n v="0"/>
    <n v="694.77459999999996"/>
    <n v="326.63796000000002"/>
    <n v="0"/>
    <n v="853.19299793506116"/>
    <n v="368.25403646901464"/>
  </r>
  <r>
    <s v="Regular"/>
    <x v="1"/>
    <x v="2"/>
    <x v="3"/>
    <x v="1"/>
    <x v="0"/>
    <x v="0"/>
    <x v="0"/>
    <x v="3"/>
    <n v="0"/>
    <n v="0"/>
    <n v="1.2170000000000001"/>
    <n v="1.2170000000000001"/>
    <n v="1.2170000000000001"/>
    <n v="1.2170000000000001"/>
    <n v="0"/>
    <x v="0"/>
    <n v="0"/>
    <n v="0"/>
    <n v="35"/>
    <n v="44"/>
    <n v="0"/>
    <n v="492.05"/>
    <n v="231.33"/>
    <m/>
    <n v="604.24433281519919"/>
    <n v="260.80314197522284"/>
    <n v="0"/>
    <n v="598.82485000000008"/>
    <n v="281.52861000000001"/>
    <n v="0"/>
    <n v="735.36535303609742"/>
    <n v="317.39742378384619"/>
  </r>
  <r>
    <s v="Regular"/>
    <x v="1"/>
    <x v="2"/>
    <x v="3"/>
    <x v="1"/>
    <x v="0"/>
    <x v="0"/>
    <x v="0"/>
    <x v="4"/>
    <n v="0"/>
    <n v="0"/>
    <n v="1.0920000000000001"/>
    <n v="1.0920000000000001"/>
    <n v="1.0920000000000001"/>
    <n v="1.0920000000000001"/>
    <n v="0"/>
    <x v="0"/>
    <n v="0"/>
    <n v="0"/>
    <n v="35"/>
    <n v="44"/>
    <n v="0"/>
    <n v="492.05"/>
    <n v="231.33"/>
    <m/>
    <n v="604.24433281519919"/>
    <n v="260.80314197522284"/>
    <n v="0"/>
    <n v="537.31860000000006"/>
    <n v="252.61236000000002"/>
    <n v="0"/>
    <n v="659.8348114341976"/>
    <n v="284.79703103694334"/>
  </r>
  <r>
    <s v="Regular"/>
    <x v="1"/>
    <x v="2"/>
    <x v="3"/>
    <x v="1"/>
    <x v="0"/>
    <x v="0"/>
    <x v="0"/>
    <x v="5"/>
    <n v="0"/>
    <n v="0"/>
    <n v="1.4079999999999999"/>
    <n v="1.4079999999999999"/>
    <n v="1.4079999999999999"/>
    <n v="1.4079999999999999"/>
    <n v="0"/>
    <x v="0"/>
    <n v="0"/>
    <n v="0"/>
    <n v="35"/>
    <n v="44"/>
    <n v="0"/>
    <n v="492.05"/>
    <n v="231.33"/>
    <m/>
    <n v="604.24433281519919"/>
    <n v="260.80314197522284"/>
    <n v="0"/>
    <n v="692.80639999999994"/>
    <n v="325.71264000000002"/>
    <n v="0"/>
    <n v="850.77602060380036"/>
    <n v="367.21082390111377"/>
  </r>
  <r>
    <s v="Regular"/>
    <x v="1"/>
    <x v="2"/>
    <x v="3"/>
    <x v="1"/>
    <x v="0"/>
    <x v="0"/>
    <x v="0"/>
    <x v="6"/>
    <n v="0"/>
    <n v="0"/>
    <n v="1.2629999999999999"/>
    <n v="1.2629999999999999"/>
    <n v="1.2629999999999999"/>
    <n v="1.2629999999999999"/>
    <n v="0"/>
    <x v="0"/>
    <n v="0"/>
    <n v="0"/>
    <n v="35"/>
    <n v="44"/>
    <n v="0"/>
    <n v="492.05"/>
    <n v="231.33"/>
    <m/>
    <n v="604.24433281519919"/>
    <n v="260.80314197522284"/>
    <n v="0"/>
    <n v="621.45914999999991"/>
    <n v="292.16978999999998"/>
    <n v="0"/>
    <n v="763.16059234559646"/>
    <n v="329.39436831470641"/>
  </r>
  <r>
    <s v="Regular"/>
    <x v="1"/>
    <x v="2"/>
    <x v="3"/>
    <x v="1"/>
    <x v="0"/>
    <x v="0"/>
    <x v="0"/>
    <x v="7"/>
    <n v="0"/>
    <n v="0"/>
    <n v="1.226"/>
    <n v="1.226"/>
    <n v="1.226"/>
    <n v="1.226"/>
    <n v="0"/>
    <x v="0"/>
    <n v="0"/>
    <n v="0"/>
    <n v="35"/>
    <n v="44"/>
    <n v="0"/>
    <n v="492.05"/>
    <n v="231.33"/>
    <m/>
    <n v="604.24433281519919"/>
    <n v="260.80314197522284"/>
    <n v="0"/>
    <n v="603.25329999999997"/>
    <n v="283.61058000000003"/>
    <n v="0"/>
    <n v="740.80355203143415"/>
    <n v="319.74465206162319"/>
  </r>
  <r>
    <s v="Regular"/>
    <x v="1"/>
    <x v="2"/>
    <x v="3"/>
    <x v="1"/>
    <x v="0"/>
    <x v="0"/>
    <x v="0"/>
    <x v="8"/>
    <n v="0"/>
    <n v="0"/>
    <n v="1.002"/>
    <n v="1.002"/>
    <n v="1.002"/>
    <n v="1.002"/>
    <n v="0"/>
    <x v="0"/>
    <n v="0"/>
    <n v="0"/>
    <n v="35"/>
    <n v="44"/>
    <n v="0"/>
    <n v="492.05"/>
    <n v="231.33"/>
    <m/>
    <n v="604.24433281519919"/>
    <n v="260.80314197522284"/>
    <n v="0"/>
    <n v="493.03410000000002"/>
    <n v="231.79266000000001"/>
    <n v="0"/>
    <n v="605.45282148082958"/>
    <n v="261.3247482591733"/>
  </r>
  <r>
    <s v="Sistema de Compensação"/>
    <x v="1"/>
    <x v="2"/>
    <x v="3"/>
    <x v="1"/>
    <x v="0"/>
    <x v="0"/>
    <x v="0"/>
    <x v="8"/>
    <n v="0"/>
    <n v="0"/>
    <n v="0.247"/>
    <n v="0.247"/>
    <n v="0.247"/>
    <n v="0.247"/>
    <n v="0"/>
    <x v="0"/>
    <n v="0"/>
    <n v="0"/>
    <n v="35"/>
    <n v="44"/>
    <n v="0"/>
    <n v="492.05"/>
    <n v="231.33"/>
    <m/>
    <n v="604.24433281519919"/>
    <n v="260.80314197522284"/>
    <n v="0"/>
    <n v="121.53635"/>
    <n v="57.138510000000004"/>
    <n v="0"/>
    <n v="149.2483502053542"/>
    <n v="64.418376067880047"/>
  </r>
  <r>
    <s v="Regular"/>
    <x v="1"/>
    <x v="2"/>
    <x v="3"/>
    <x v="1"/>
    <x v="0"/>
    <x v="0"/>
    <x v="0"/>
    <x v="9"/>
    <n v="0"/>
    <n v="0"/>
    <n v="1.147"/>
    <n v="1.147"/>
    <n v="1.147"/>
    <n v="1.147"/>
    <n v="0"/>
    <x v="0"/>
    <n v="0"/>
    <n v="0"/>
    <n v="35"/>
    <n v="44"/>
    <n v="0"/>
    <n v="492.05"/>
    <n v="231.33"/>
    <m/>
    <n v="604.24433281519919"/>
    <n v="260.80314197522284"/>
    <n v="0"/>
    <n v="564.38135"/>
    <n v="265.33551"/>
    <n v="0"/>
    <n v="693.06824973903349"/>
    <n v="299.14120384558061"/>
  </r>
  <r>
    <s v="Sistema de Compensação"/>
    <x v="1"/>
    <x v="2"/>
    <x v="3"/>
    <x v="1"/>
    <x v="0"/>
    <x v="0"/>
    <x v="0"/>
    <x v="9"/>
    <n v="0"/>
    <n v="0"/>
    <n v="7.0999999999999994E-2"/>
    <n v="7.0999999999999994E-2"/>
    <n v="7.0999999999999994E-2"/>
    <n v="7.0999999999999994E-2"/>
    <n v="0"/>
    <x v="0"/>
    <n v="0"/>
    <n v="0"/>
    <n v="35"/>
    <n v="44"/>
    <n v="0"/>
    <n v="492.05"/>
    <n v="231.33"/>
    <m/>
    <n v="604.24433281519919"/>
    <n v="260.80314197522284"/>
    <n v="0"/>
    <n v="34.935549999999999"/>
    <n v="16.424430000000001"/>
    <n v="0"/>
    <n v="42.90134762987914"/>
    <n v="18.517023080240818"/>
  </r>
  <r>
    <s v="Regular"/>
    <x v="1"/>
    <x v="2"/>
    <x v="3"/>
    <x v="1"/>
    <x v="0"/>
    <x v="0"/>
    <x v="0"/>
    <x v="10"/>
    <n v="0"/>
    <n v="0"/>
    <n v="1.31"/>
    <n v="1.31"/>
    <n v="1.31"/>
    <n v="1.31"/>
    <n v="0"/>
    <x v="0"/>
    <n v="0"/>
    <n v="0"/>
    <n v="35"/>
    <n v="44"/>
    <n v="0"/>
    <n v="492.05"/>
    <n v="231.33"/>
    <m/>
    <n v="604.24433281519919"/>
    <n v="260.80314197522284"/>
    <n v="0"/>
    <n v="644.58550000000002"/>
    <n v="303.04230000000001"/>
    <n v="0"/>
    <n v="791.56007598791098"/>
    <n v="341.65211598754195"/>
  </r>
  <r>
    <s v="Regular"/>
    <x v="1"/>
    <x v="2"/>
    <x v="3"/>
    <x v="1"/>
    <x v="0"/>
    <x v="0"/>
    <x v="0"/>
    <x v="11"/>
    <n v="0"/>
    <n v="0"/>
    <n v="1.2889999999999999"/>
    <n v="1.2889999999999999"/>
    <n v="1.2889999999999999"/>
    <n v="1.2889999999999999"/>
    <n v="0"/>
    <x v="0"/>
    <n v="0"/>
    <n v="0"/>
    <n v="35"/>
    <n v="44"/>
    <n v="0"/>
    <n v="492.05"/>
    <n v="231.33"/>
    <m/>
    <n v="604.24433281519919"/>
    <n v="260.80314197522284"/>
    <n v="0"/>
    <n v="634.25244999999995"/>
    <n v="298.18437"/>
    <n v="0"/>
    <n v="778.87094499879174"/>
    <n v="336.17525000606224"/>
  </r>
  <r>
    <s v="Regular"/>
    <x v="1"/>
    <x v="2"/>
    <x v="3"/>
    <x v="1"/>
    <x v="0"/>
    <x v="0"/>
    <x v="3"/>
    <x v="0"/>
    <n v="0"/>
    <n v="0"/>
    <n v="0.11899999999999999"/>
    <n v="0.11899999999999999"/>
    <n v="0.11899999999999999"/>
    <n v="0.11899999999999999"/>
    <n v="0"/>
    <x v="0"/>
    <n v="0"/>
    <n v="0"/>
    <n v="28"/>
    <n v="43"/>
    <n v="0"/>
    <n v="1197.26"/>
    <n v="231.33"/>
    <m/>
    <n v="1451.9273079221944"/>
    <n v="260.80314197522284"/>
    <n v="0"/>
    <n v="142.47394"/>
    <n v="27.528269999999999"/>
    <n v="0"/>
    <n v="172.77934964274112"/>
    <n v="31.035573895051517"/>
  </r>
  <r>
    <s v="Regular"/>
    <x v="1"/>
    <x v="2"/>
    <x v="3"/>
    <x v="1"/>
    <x v="0"/>
    <x v="0"/>
    <x v="3"/>
    <x v="1"/>
    <n v="0"/>
    <n v="0"/>
    <n v="0.105"/>
    <n v="0.105"/>
    <n v="0.105"/>
    <n v="0.105"/>
    <n v="0"/>
    <x v="0"/>
    <n v="0"/>
    <n v="0"/>
    <n v="28"/>
    <n v="43"/>
    <n v="0"/>
    <n v="1197.26"/>
    <n v="231.33"/>
    <m/>
    <n v="1451.9273079221944"/>
    <n v="260.80314197522284"/>
    <n v="0"/>
    <n v="125.7123"/>
    <n v="24.289650000000002"/>
    <n v="0"/>
    <n v="152.4523673318304"/>
    <n v="27.384329907398399"/>
  </r>
  <r>
    <s v="Regular"/>
    <x v="1"/>
    <x v="2"/>
    <x v="3"/>
    <x v="1"/>
    <x v="0"/>
    <x v="0"/>
    <x v="3"/>
    <x v="2"/>
    <n v="0"/>
    <n v="0"/>
    <n v="9.6000000000000002E-2"/>
    <n v="9.6000000000000002E-2"/>
    <n v="9.6000000000000002E-2"/>
    <n v="9.6000000000000002E-2"/>
    <n v="0"/>
    <x v="0"/>
    <n v="0"/>
    <n v="0"/>
    <n v="28"/>
    <n v="43"/>
    <n v="0"/>
    <n v="1197.26"/>
    <n v="231.33"/>
    <m/>
    <n v="1451.9273079221944"/>
    <n v="260.80314197522284"/>
    <n v="0"/>
    <n v="114.93696"/>
    <n v="22.207680000000003"/>
    <n v="0"/>
    <n v="139.38502156053067"/>
    <n v="25.037101629621393"/>
  </r>
  <r>
    <s v="Regular"/>
    <x v="1"/>
    <x v="2"/>
    <x v="3"/>
    <x v="1"/>
    <x v="0"/>
    <x v="0"/>
    <x v="3"/>
    <x v="3"/>
    <n v="0"/>
    <n v="0"/>
    <n v="0.107"/>
    <n v="0.107"/>
    <n v="0.107"/>
    <n v="0.107"/>
    <n v="0"/>
    <x v="0"/>
    <n v="0"/>
    <n v="0"/>
    <n v="28"/>
    <n v="43"/>
    <n v="0"/>
    <n v="1197.26"/>
    <n v="231.33"/>
    <m/>
    <n v="1451.9273079221944"/>
    <n v="260.80314197522284"/>
    <n v="0"/>
    <n v="128.10682"/>
    <n v="24.752310000000001"/>
    <n v="0"/>
    <n v="155.35622194767478"/>
    <n v="27.905936191348843"/>
  </r>
  <r>
    <s v="Regular"/>
    <x v="1"/>
    <x v="2"/>
    <x v="3"/>
    <x v="1"/>
    <x v="0"/>
    <x v="0"/>
    <x v="3"/>
    <x v="4"/>
    <n v="0"/>
    <n v="0"/>
    <n v="9.4E-2"/>
    <n v="9.4E-2"/>
    <n v="9.4E-2"/>
    <n v="9.4E-2"/>
    <n v="0"/>
    <x v="0"/>
    <n v="0"/>
    <n v="0"/>
    <n v="28"/>
    <n v="43"/>
    <n v="0"/>
    <n v="1197.26"/>
    <n v="231.33"/>
    <m/>
    <n v="1451.9273079221944"/>
    <n v="260.80314197522284"/>
    <n v="0"/>
    <n v="112.54244"/>
    <n v="21.74502"/>
    <n v="0"/>
    <n v="136.48116694468627"/>
    <n v="24.515495345670946"/>
  </r>
  <r>
    <s v="Regular"/>
    <x v="1"/>
    <x v="2"/>
    <x v="3"/>
    <x v="1"/>
    <x v="0"/>
    <x v="0"/>
    <x v="3"/>
    <x v="5"/>
    <n v="0"/>
    <n v="0"/>
    <n v="0.11"/>
    <n v="0.11"/>
    <n v="0.11"/>
    <n v="0.11"/>
    <n v="0"/>
    <x v="0"/>
    <n v="0"/>
    <n v="0"/>
    <n v="28"/>
    <n v="43"/>
    <n v="0"/>
    <n v="1197.26"/>
    <n v="231.33"/>
    <m/>
    <n v="1451.9273079221944"/>
    <n v="260.80314197522284"/>
    <n v="0"/>
    <n v="131.6986"/>
    <n v="25.446300000000001"/>
    <n v="0"/>
    <n v="159.71200387144137"/>
    <n v="28.688345617274514"/>
  </r>
  <r>
    <s v="Regular"/>
    <x v="1"/>
    <x v="2"/>
    <x v="3"/>
    <x v="1"/>
    <x v="0"/>
    <x v="0"/>
    <x v="3"/>
    <x v="6"/>
    <n v="0"/>
    <n v="0"/>
    <n v="8.6999999999999994E-2"/>
    <n v="8.6999999999999994E-2"/>
    <n v="8.6999999999999994E-2"/>
    <n v="8.6999999999999994E-2"/>
    <n v="0"/>
    <x v="0"/>
    <n v="0"/>
    <n v="0"/>
    <n v="28"/>
    <n v="43"/>
    <n v="0"/>
    <n v="1197.26"/>
    <n v="231.33"/>
    <m/>
    <n v="1451.9273079221944"/>
    <n v="260.80314197522284"/>
    <n v="0"/>
    <n v="104.16161999999998"/>
    <n v="20.125709999999998"/>
    <n v="0"/>
    <n v="126.3176757892309"/>
    <n v="22.689873351844387"/>
  </r>
  <r>
    <s v="Regular"/>
    <x v="1"/>
    <x v="2"/>
    <x v="3"/>
    <x v="1"/>
    <x v="0"/>
    <x v="0"/>
    <x v="3"/>
    <x v="7"/>
    <n v="0"/>
    <n v="0"/>
    <n v="0.123"/>
    <n v="0.123"/>
    <n v="0.123"/>
    <n v="0.123"/>
    <n v="0"/>
    <x v="0"/>
    <n v="0"/>
    <n v="0"/>
    <n v="28"/>
    <n v="43"/>
    <n v="0"/>
    <n v="1197.26"/>
    <n v="231.33"/>
    <m/>
    <n v="1451.9273079221944"/>
    <n v="260.80314197522284"/>
    <n v="0"/>
    <n v="147.26298"/>
    <n v="28.453590000000002"/>
    <n v="0"/>
    <n v="178.58705887442991"/>
    <n v="32.078786462952408"/>
  </r>
  <r>
    <s v="Regular"/>
    <x v="1"/>
    <x v="2"/>
    <x v="3"/>
    <x v="1"/>
    <x v="0"/>
    <x v="0"/>
    <x v="3"/>
    <x v="8"/>
    <n v="0"/>
    <n v="0"/>
    <n v="7.5999999999999998E-2"/>
    <n v="7.5999999999999998E-2"/>
    <n v="7.5999999999999998E-2"/>
    <n v="7.5999999999999998E-2"/>
    <n v="0"/>
    <x v="0"/>
    <n v="0"/>
    <n v="0"/>
    <n v="28"/>
    <n v="43"/>
    <n v="0"/>
    <n v="1197.26"/>
    <n v="231.33"/>
    <m/>
    <n v="1451.9273079221944"/>
    <n v="260.80314197522284"/>
    <n v="0"/>
    <n v="90.991759999999999"/>
    <n v="17.58108"/>
    <n v="0"/>
    <n v="110.34647540208677"/>
    <n v="19.821038790116937"/>
  </r>
  <r>
    <s v="Sistema de Compensação"/>
    <x v="1"/>
    <x v="2"/>
    <x v="3"/>
    <x v="1"/>
    <x v="0"/>
    <x v="0"/>
    <x v="3"/>
    <x v="8"/>
    <n v="0"/>
    <n v="0"/>
    <n v="3.1E-2"/>
    <n v="3.1E-2"/>
    <n v="3.1E-2"/>
    <n v="3.1E-2"/>
    <n v="0"/>
    <x v="0"/>
    <n v="0"/>
    <n v="0"/>
    <n v="28"/>
    <n v="43"/>
    <n v="0"/>
    <n v="1197.26"/>
    <n v="231.33"/>
    <m/>
    <n v="1451.9273079221944"/>
    <n v="260.80314197522284"/>
    <n v="0"/>
    <n v="37.11506"/>
    <n v="7.1712300000000004"/>
    <n v="0"/>
    <n v="45.009746545588023"/>
    <n v="8.0848974012319079"/>
  </r>
  <r>
    <s v="Regular"/>
    <x v="1"/>
    <x v="2"/>
    <x v="3"/>
    <x v="1"/>
    <x v="0"/>
    <x v="0"/>
    <x v="3"/>
    <x v="9"/>
    <n v="0"/>
    <n v="0"/>
    <n v="8.5999999999999993E-2"/>
    <n v="8.5999999999999993E-2"/>
    <n v="8.5999999999999993E-2"/>
    <n v="8.5999999999999993E-2"/>
    <n v="0"/>
    <x v="0"/>
    <n v="0"/>
    <n v="0"/>
    <n v="28"/>
    <n v="43"/>
    <n v="0"/>
    <n v="1197.26"/>
    <n v="231.33"/>
    <m/>
    <n v="1451.9273079221944"/>
    <n v="260.80314197522284"/>
    <n v="0"/>
    <n v="102.96435999999999"/>
    <n v="19.894379999999998"/>
    <n v="0"/>
    <n v="124.8657484813087"/>
    <n v="22.429070209869163"/>
  </r>
  <r>
    <s v="Regular"/>
    <x v="1"/>
    <x v="2"/>
    <x v="3"/>
    <x v="1"/>
    <x v="0"/>
    <x v="0"/>
    <x v="3"/>
    <x v="10"/>
    <n v="0"/>
    <n v="0"/>
    <n v="8.8999999999999996E-2"/>
    <n v="8.8999999999999996E-2"/>
    <n v="8.8999999999999996E-2"/>
    <n v="8.8999999999999996E-2"/>
    <n v="0"/>
    <x v="0"/>
    <n v="0"/>
    <n v="0"/>
    <n v="28"/>
    <n v="43"/>
    <n v="0"/>
    <n v="1197.26"/>
    <n v="231.33"/>
    <m/>
    <n v="1451.9273079221944"/>
    <n v="260.80314197522284"/>
    <n v="0"/>
    <n v="106.55614"/>
    <n v="20.588370000000001"/>
    <n v="0"/>
    <n v="129.2215304050753"/>
    <n v="23.211479635794831"/>
  </r>
  <r>
    <s v="Regular"/>
    <x v="1"/>
    <x v="2"/>
    <x v="3"/>
    <x v="1"/>
    <x v="0"/>
    <x v="0"/>
    <x v="3"/>
    <x v="11"/>
    <n v="0"/>
    <n v="0"/>
    <n v="0.1"/>
    <n v="0.1"/>
    <n v="0.1"/>
    <n v="0.1"/>
    <n v="0"/>
    <x v="0"/>
    <n v="0"/>
    <n v="0"/>
    <n v="28"/>
    <n v="43"/>
    <n v="0"/>
    <n v="1197.26"/>
    <n v="231.33"/>
    <m/>
    <n v="1451.9273079221944"/>
    <n v="260.80314197522284"/>
    <n v="0"/>
    <n v="119.726"/>
    <n v="23.133000000000003"/>
    <n v="0"/>
    <n v="145.19273079221944"/>
    <n v="26.080314197522284"/>
  </r>
  <r>
    <s v="Regular"/>
    <x v="1"/>
    <x v="2"/>
    <x v="3"/>
    <x v="1"/>
    <x v="0"/>
    <x v="0"/>
    <x v="1"/>
    <x v="0"/>
    <n v="0"/>
    <n v="0"/>
    <n v="0.182"/>
    <n v="0.182"/>
    <n v="0.182"/>
    <n v="0.182"/>
    <n v="0"/>
    <x v="0"/>
    <n v="0"/>
    <n v="0"/>
    <n v="27"/>
    <n v="42"/>
    <n v="0"/>
    <n v="1902.47"/>
    <n v="231.33"/>
    <m/>
    <n v="2299.6112637396886"/>
    <n v="260.80314197522284"/>
    <n v="0"/>
    <n v="346.24953999999997"/>
    <n v="42.102060000000002"/>
    <n v="0"/>
    <n v="418.52925000062334"/>
    <n v="47.466171839490556"/>
  </r>
  <r>
    <s v="Regular"/>
    <x v="1"/>
    <x v="2"/>
    <x v="3"/>
    <x v="1"/>
    <x v="0"/>
    <x v="0"/>
    <x v="1"/>
    <x v="1"/>
    <n v="0"/>
    <n v="0"/>
    <n v="0.16700000000000001"/>
    <n v="0.16700000000000001"/>
    <n v="0.16700000000000001"/>
    <n v="0.16700000000000001"/>
    <n v="0"/>
    <x v="0"/>
    <n v="0"/>
    <n v="0"/>
    <n v="27"/>
    <n v="42"/>
    <n v="0"/>
    <n v="1902.47"/>
    <n v="231.33"/>
    <m/>
    <n v="2299.6112637396886"/>
    <n v="260.80314197522284"/>
    <n v="0"/>
    <n v="317.71249"/>
    <n v="38.632110000000004"/>
    <n v="0"/>
    <n v="384.035081044528"/>
    <n v="43.554124709862215"/>
  </r>
  <r>
    <s v="Regular"/>
    <x v="1"/>
    <x v="2"/>
    <x v="3"/>
    <x v="1"/>
    <x v="0"/>
    <x v="0"/>
    <x v="1"/>
    <x v="2"/>
    <n v="0"/>
    <n v="0"/>
    <n v="0.16700000000000001"/>
    <n v="0.16700000000000001"/>
    <n v="0.16700000000000001"/>
    <n v="0.16700000000000001"/>
    <n v="0"/>
    <x v="0"/>
    <n v="0"/>
    <n v="0"/>
    <n v="27"/>
    <n v="42"/>
    <n v="0"/>
    <n v="1902.47"/>
    <n v="231.33"/>
    <m/>
    <n v="2299.6112637396886"/>
    <n v="260.80314197522284"/>
    <n v="0"/>
    <n v="317.71249"/>
    <n v="38.632110000000004"/>
    <n v="0"/>
    <n v="384.035081044528"/>
    <n v="43.554124709862215"/>
  </r>
  <r>
    <s v="Regular"/>
    <x v="1"/>
    <x v="2"/>
    <x v="3"/>
    <x v="1"/>
    <x v="0"/>
    <x v="0"/>
    <x v="1"/>
    <x v="3"/>
    <n v="0"/>
    <n v="0"/>
    <n v="0.154"/>
    <n v="0.154"/>
    <n v="0.154"/>
    <n v="0.154"/>
    <n v="0"/>
    <x v="0"/>
    <n v="0"/>
    <n v="0"/>
    <n v="27"/>
    <n v="42"/>
    <n v="0"/>
    <n v="1902.47"/>
    <n v="231.33"/>
    <m/>
    <n v="2299.6112637396886"/>
    <n v="260.80314197522284"/>
    <n v="0"/>
    <n v="292.98038000000003"/>
    <n v="35.62482"/>
    <n v="0"/>
    <n v="354.14013461591202"/>
    <n v="40.163683864184314"/>
  </r>
  <r>
    <s v="Regular"/>
    <x v="1"/>
    <x v="2"/>
    <x v="3"/>
    <x v="1"/>
    <x v="0"/>
    <x v="0"/>
    <x v="1"/>
    <x v="4"/>
    <n v="0"/>
    <n v="0"/>
    <n v="0.16200000000000001"/>
    <n v="0.16200000000000001"/>
    <n v="0.16200000000000001"/>
    <n v="0.16200000000000001"/>
    <n v="0"/>
    <x v="0"/>
    <n v="0"/>
    <n v="0"/>
    <n v="27"/>
    <n v="42"/>
    <n v="0"/>
    <n v="1902.47"/>
    <n v="231.33"/>
    <m/>
    <n v="2299.6112637396886"/>
    <n v="260.80314197522284"/>
    <n v="0"/>
    <n v="308.20014000000003"/>
    <n v="37.475460000000005"/>
    <n v="0"/>
    <n v="372.53702472582955"/>
    <n v="42.250108999986104"/>
  </r>
  <r>
    <s v="Regular"/>
    <x v="1"/>
    <x v="2"/>
    <x v="3"/>
    <x v="1"/>
    <x v="0"/>
    <x v="0"/>
    <x v="1"/>
    <x v="5"/>
    <n v="0"/>
    <n v="0"/>
    <n v="0.17799999999999999"/>
    <n v="0.17799999999999999"/>
    <n v="0.17799999999999999"/>
    <n v="0.17799999999999999"/>
    <n v="0"/>
    <x v="0"/>
    <n v="0"/>
    <n v="0"/>
    <n v="27"/>
    <n v="42"/>
    <n v="0"/>
    <n v="1902.47"/>
    <n v="231.33"/>
    <m/>
    <n v="2299.6112637396886"/>
    <n v="260.80314197522284"/>
    <n v="0"/>
    <n v="338.63965999999999"/>
    <n v="41.176740000000002"/>
    <n v="0"/>
    <n v="409.33080494566457"/>
    <n v="46.422959271589662"/>
  </r>
  <r>
    <s v="Regular"/>
    <x v="1"/>
    <x v="2"/>
    <x v="3"/>
    <x v="1"/>
    <x v="0"/>
    <x v="0"/>
    <x v="1"/>
    <x v="6"/>
    <n v="0"/>
    <n v="0"/>
    <n v="0.13500000000000001"/>
    <n v="0.13500000000000001"/>
    <n v="0.13500000000000001"/>
    <n v="0.13500000000000001"/>
    <n v="0"/>
    <x v="0"/>
    <n v="0"/>
    <n v="0"/>
    <n v="27"/>
    <n v="42"/>
    <n v="0"/>
    <n v="1902.47"/>
    <n v="231.33"/>
    <m/>
    <n v="2299.6112637396886"/>
    <n v="260.80314197522284"/>
    <n v="0"/>
    <n v="256.83345000000003"/>
    <n v="31.229550000000003"/>
    <n v="0"/>
    <n v="310.44752060485797"/>
    <n v="35.208424166655085"/>
  </r>
  <r>
    <s v="Regular"/>
    <x v="1"/>
    <x v="2"/>
    <x v="3"/>
    <x v="1"/>
    <x v="0"/>
    <x v="0"/>
    <x v="1"/>
    <x v="7"/>
    <n v="0"/>
    <n v="0"/>
    <n v="0.56299999999999994"/>
    <n v="0.56299999999999994"/>
    <n v="0.56299999999999994"/>
    <n v="0.56299999999999994"/>
    <n v="0"/>
    <x v="0"/>
    <n v="0"/>
    <n v="0"/>
    <n v="27"/>
    <n v="42"/>
    <n v="0"/>
    <n v="1902.47"/>
    <n v="231.33"/>
    <m/>
    <n v="2299.6112637396886"/>
    <n v="260.80314197522284"/>
    <n v="0"/>
    <n v="1071.09061"/>
    <n v="130.23878999999999"/>
    <n v="0"/>
    <n v="1294.6811414854446"/>
    <n v="146.83216893205045"/>
  </r>
  <r>
    <s v="Regular"/>
    <x v="1"/>
    <x v="2"/>
    <x v="3"/>
    <x v="1"/>
    <x v="0"/>
    <x v="0"/>
    <x v="1"/>
    <x v="8"/>
    <n v="0"/>
    <n v="0"/>
    <n v="0.115"/>
    <n v="0.115"/>
    <n v="0.115"/>
    <n v="0.115"/>
    <n v="0"/>
    <x v="0"/>
    <n v="0"/>
    <n v="0"/>
    <n v="27"/>
    <n v="42"/>
    <n v="0"/>
    <n v="1902.47"/>
    <n v="231.33"/>
    <m/>
    <n v="2299.6112637396886"/>
    <n v="260.80314197522284"/>
    <n v="0"/>
    <n v="218.78405000000001"/>
    <n v="26.602950000000003"/>
    <n v="0"/>
    <n v="264.45529533006419"/>
    <n v="29.992361327150629"/>
  </r>
  <r>
    <s v="Sistema de Compensação"/>
    <x v="1"/>
    <x v="2"/>
    <x v="3"/>
    <x v="1"/>
    <x v="0"/>
    <x v="0"/>
    <x v="1"/>
    <x v="8"/>
    <n v="0"/>
    <n v="0"/>
    <n v="4.1000000000000002E-2"/>
    <n v="4.1000000000000002E-2"/>
    <n v="4.1000000000000002E-2"/>
    <n v="4.1000000000000002E-2"/>
    <n v="0"/>
    <x v="0"/>
    <n v="0"/>
    <n v="0"/>
    <n v="27"/>
    <n v="42"/>
    <n v="0"/>
    <n v="1902.47"/>
    <n v="231.33"/>
    <m/>
    <n v="2299.6112637396886"/>
    <n v="260.80314197522284"/>
    <n v="0"/>
    <n v="78.001270000000005"/>
    <n v="9.4845300000000012"/>
    <n v="0"/>
    <n v="94.284061813327241"/>
    <n v="10.692928820984138"/>
  </r>
  <r>
    <s v="Regular"/>
    <x v="1"/>
    <x v="2"/>
    <x v="3"/>
    <x v="1"/>
    <x v="0"/>
    <x v="0"/>
    <x v="1"/>
    <x v="9"/>
    <n v="0"/>
    <n v="0"/>
    <n v="0.158"/>
    <n v="0.158"/>
    <n v="0.158"/>
    <n v="0.158"/>
    <n v="0"/>
    <x v="0"/>
    <n v="0"/>
    <n v="0"/>
    <n v="27"/>
    <n v="42"/>
    <n v="0"/>
    <n v="1902.47"/>
    <n v="231.33"/>
    <m/>
    <n v="2299.6112637396886"/>
    <n v="260.80314197522284"/>
    <n v="0"/>
    <n v="300.59026"/>
    <n v="36.550139999999999"/>
    <n v="0"/>
    <n v="363.33857967087079"/>
    <n v="41.206896432085209"/>
  </r>
  <r>
    <s v="Regular"/>
    <x v="1"/>
    <x v="2"/>
    <x v="3"/>
    <x v="1"/>
    <x v="0"/>
    <x v="0"/>
    <x v="1"/>
    <x v="10"/>
    <n v="0"/>
    <n v="0"/>
    <n v="0.129"/>
    <n v="0.129"/>
    <n v="0.129"/>
    <n v="0.129"/>
    <n v="0"/>
    <x v="0"/>
    <n v="0"/>
    <n v="0"/>
    <n v="27"/>
    <n v="42"/>
    <n v="0"/>
    <n v="1902.47"/>
    <n v="231.33"/>
    <m/>
    <n v="2299.6112637396886"/>
    <n v="260.80314197522284"/>
    <n v="0"/>
    <n v="245.41863000000001"/>
    <n v="29.841570000000001"/>
    <n v="0"/>
    <n v="296.64985302241985"/>
    <n v="33.64360531480375"/>
  </r>
  <r>
    <s v="Regular"/>
    <x v="1"/>
    <x v="2"/>
    <x v="3"/>
    <x v="1"/>
    <x v="0"/>
    <x v="0"/>
    <x v="1"/>
    <x v="11"/>
    <n v="0"/>
    <n v="0"/>
    <n v="0.16300000000000001"/>
    <n v="0.16300000000000001"/>
    <n v="0.16300000000000001"/>
    <n v="0.16300000000000001"/>
    <n v="0"/>
    <x v="0"/>
    <n v="0"/>
    <n v="0"/>
    <n v="27"/>
    <n v="42"/>
    <n v="0"/>
    <n v="1902.47"/>
    <n v="231.33"/>
    <m/>
    <n v="2299.6112637396886"/>
    <n v="260.80314197522284"/>
    <n v="0"/>
    <n v="310.10261000000003"/>
    <n v="37.706790000000005"/>
    <n v="0"/>
    <n v="374.83663598956929"/>
    <n v="42.510912141961327"/>
  </r>
  <r>
    <s v="Regular"/>
    <x v="1"/>
    <x v="3"/>
    <x v="3"/>
    <x v="1"/>
    <x v="0"/>
    <x v="0"/>
    <x v="2"/>
    <x v="0"/>
    <n v="0"/>
    <n v="0"/>
    <n v="2505.59"/>
    <n v="2505.59"/>
    <n v="2505.59"/>
    <n v="2505.59"/>
    <n v="14846"/>
    <x v="0"/>
    <n v="0"/>
    <n v="0"/>
    <n v="36"/>
    <n v="45"/>
    <n v="0"/>
    <n v="792.41"/>
    <n v="231.33"/>
    <m/>
    <n v="965.29421998367866"/>
    <n v="260.80314197522284"/>
    <n v="0"/>
    <n v="1985454.5719000001"/>
    <n v="579618.13470000005"/>
    <n v="0"/>
    <n v="2418631.5446489058"/>
    <n v="653465.74450169865"/>
  </r>
  <r>
    <s v="Refaturamento - Regular"/>
    <x v="1"/>
    <x v="3"/>
    <x v="3"/>
    <x v="1"/>
    <x v="0"/>
    <x v="0"/>
    <x v="2"/>
    <x v="0"/>
    <n v="0"/>
    <n v="0"/>
    <n v="-1.494"/>
    <n v="-1.494"/>
    <n v="-1.494"/>
    <n v="-1.494"/>
    <n v="0"/>
    <x v="0"/>
    <n v="0"/>
    <n v="0"/>
    <n v="36"/>
    <n v="45"/>
    <n v="0"/>
    <n v="792.41"/>
    <n v="231.33"/>
    <m/>
    <n v="965.29421998367866"/>
    <n v="260.80314197522284"/>
    <n v="0"/>
    <n v="-1183.8605399999999"/>
    <n v="-345.60702000000003"/>
    <n v="0"/>
    <n v="-1442.1495646556159"/>
    <n v="-389.63989411098294"/>
  </r>
  <r>
    <s v="Sistema de Compensação"/>
    <x v="1"/>
    <x v="3"/>
    <x v="3"/>
    <x v="1"/>
    <x v="0"/>
    <x v="0"/>
    <x v="2"/>
    <x v="0"/>
    <n v="0"/>
    <n v="0"/>
    <n v="17.643999999999998"/>
    <n v="17.643999999999998"/>
    <n v="17.643999999999998"/>
    <n v="17.643999999999998"/>
    <n v="115"/>
    <x v="0"/>
    <n v="0"/>
    <n v="0"/>
    <n v="36"/>
    <n v="45"/>
    <n v="0"/>
    <n v="792.41"/>
    <n v="231.33"/>
    <m/>
    <n v="965.29421998367866"/>
    <n v="260.80314197522284"/>
    <n v="0"/>
    <n v="13981.282039999998"/>
    <n v="4081.5865199999998"/>
    <n v="0"/>
    <n v="17031.651217392024"/>
    <n v="4601.6106370108319"/>
  </r>
  <r>
    <s v="Regular"/>
    <x v="1"/>
    <x v="3"/>
    <x v="3"/>
    <x v="1"/>
    <x v="0"/>
    <x v="0"/>
    <x v="2"/>
    <x v="1"/>
    <n v="0"/>
    <n v="0"/>
    <n v="2147.9580000000001"/>
    <n v="2147.9580000000001"/>
    <n v="2147.9580000000001"/>
    <n v="2147.9580000000001"/>
    <n v="14895"/>
    <x v="0"/>
    <n v="0"/>
    <n v="0"/>
    <n v="36"/>
    <n v="45"/>
    <n v="0"/>
    <n v="792.41"/>
    <n v="231.33"/>
    <m/>
    <n v="965.29421998367866"/>
    <n v="260.80314197522284"/>
    <n v="0"/>
    <n v="1702063.3987799999"/>
    <n v="496887.12414000003"/>
    <n v="0"/>
    <n v="2073411.4421677026"/>
    <n v="560194.19523081568"/>
  </r>
  <r>
    <s v="Refaturamento - Regular"/>
    <x v="1"/>
    <x v="3"/>
    <x v="3"/>
    <x v="1"/>
    <x v="0"/>
    <x v="0"/>
    <x v="2"/>
    <x v="1"/>
    <n v="0"/>
    <n v="0"/>
    <n v="-3.4980000000000002"/>
    <n v="-3.4980000000000002"/>
    <n v="-3.4980000000000002"/>
    <n v="-3.4980000000000002"/>
    <n v="0"/>
    <x v="0"/>
    <n v="0"/>
    <n v="0"/>
    <n v="36"/>
    <n v="45"/>
    <n v="0"/>
    <n v="792.41"/>
    <n v="231.33"/>
    <m/>
    <n v="965.29421998367866"/>
    <n v="260.80314197522284"/>
    <n v="0"/>
    <n v="-2771.8501799999999"/>
    <n v="-809.19234000000006"/>
    <n v="0"/>
    <n v="-3376.5991815029083"/>
    <n v="-912.28939062932955"/>
  </r>
  <r>
    <s v="Sistema de Compensação"/>
    <x v="1"/>
    <x v="3"/>
    <x v="3"/>
    <x v="1"/>
    <x v="0"/>
    <x v="0"/>
    <x v="2"/>
    <x v="1"/>
    <n v="0"/>
    <n v="0"/>
    <n v="16.823"/>
    <n v="16.823"/>
    <n v="16.823"/>
    <n v="16.823"/>
    <n v="122"/>
    <x v="0"/>
    <n v="0"/>
    <n v="0"/>
    <n v="36"/>
    <n v="45"/>
    <n v="0"/>
    <n v="792.41"/>
    <n v="231.33"/>
    <m/>
    <n v="965.29421998367866"/>
    <n v="260.80314197522284"/>
    <n v="0"/>
    <n v="13330.71343"/>
    <n v="3891.6645900000003"/>
    <n v="0"/>
    <n v="16239.144662785426"/>
    <n v="4387.4912574491736"/>
  </r>
  <r>
    <s v="Regular"/>
    <x v="1"/>
    <x v="3"/>
    <x v="3"/>
    <x v="1"/>
    <x v="0"/>
    <x v="0"/>
    <x v="2"/>
    <x v="2"/>
    <n v="0"/>
    <n v="0"/>
    <n v="2106.0639999999999"/>
    <n v="2106.0639999999999"/>
    <n v="2106.0639999999999"/>
    <n v="2106.0639999999999"/>
    <n v="14931"/>
    <x v="0"/>
    <n v="0"/>
    <n v="0"/>
    <n v="36"/>
    <n v="45"/>
    <n v="0"/>
    <n v="792.41"/>
    <n v="231.33"/>
    <m/>
    <n v="965.29421998367866"/>
    <n v="260.80314197522284"/>
    <n v="0"/>
    <n v="1668866.1742399998"/>
    <n v="487195.78512000002"/>
    <n v="0"/>
    <n v="2032971.4061157061"/>
    <n v="549268.10840090574"/>
  </r>
  <r>
    <s v="Refaturamento - Regular"/>
    <x v="1"/>
    <x v="3"/>
    <x v="3"/>
    <x v="1"/>
    <x v="0"/>
    <x v="0"/>
    <x v="2"/>
    <x v="2"/>
    <n v="0"/>
    <n v="0"/>
    <n v="-6.3109999999999999"/>
    <n v="-6.3109999999999999"/>
    <n v="-6.3109999999999999"/>
    <n v="-6.3109999999999999"/>
    <n v="0"/>
    <x v="0"/>
    <n v="0"/>
    <n v="0"/>
    <n v="36"/>
    <n v="45"/>
    <n v="0"/>
    <n v="792.41"/>
    <n v="231.33"/>
    <m/>
    <n v="965.29421998367866"/>
    <n v="260.80314197522284"/>
    <n v="0"/>
    <n v="-5000.8995100000002"/>
    <n v="-1459.92363"/>
    <n v="0"/>
    <n v="-6091.9718223169957"/>
    <n v="-1645.9286290056314"/>
  </r>
  <r>
    <s v="Sistema de Compensação"/>
    <x v="1"/>
    <x v="3"/>
    <x v="3"/>
    <x v="1"/>
    <x v="0"/>
    <x v="0"/>
    <x v="2"/>
    <x v="2"/>
    <n v="0"/>
    <n v="0"/>
    <n v="23.161000000000001"/>
    <n v="23.161000000000001"/>
    <n v="23.161000000000001"/>
    <n v="23.161000000000001"/>
    <n v="131"/>
    <x v="0"/>
    <n v="0"/>
    <n v="0"/>
    <n v="36"/>
    <n v="45"/>
    <n v="0"/>
    <n v="792.41"/>
    <n v="231.33"/>
    <m/>
    <n v="965.29421998367866"/>
    <n v="260.80314197522284"/>
    <n v="0"/>
    <n v="18353.008010000001"/>
    <n v="5357.8341300000002"/>
    <n v="0"/>
    <n v="22357.179429041982"/>
    <n v="6040.4615712881368"/>
  </r>
  <r>
    <s v="Regular"/>
    <x v="1"/>
    <x v="3"/>
    <x v="3"/>
    <x v="1"/>
    <x v="0"/>
    <x v="0"/>
    <x v="2"/>
    <x v="3"/>
    <n v="0"/>
    <n v="0"/>
    <n v="1875.779"/>
    <n v="1875.779"/>
    <n v="1875.779"/>
    <n v="1875.779"/>
    <n v="14931"/>
    <x v="0"/>
    <n v="0"/>
    <n v="0"/>
    <n v="36"/>
    <n v="45"/>
    <n v="0"/>
    <n v="792.41"/>
    <n v="231.33"/>
    <m/>
    <n v="965.29421998367866"/>
    <n v="260.80314197522284"/>
    <n v="0"/>
    <n v="1486386.03739"/>
    <n v="433923.95607000001"/>
    <n v="0"/>
    <n v="1810678.6266667647"/>
    <n v="489209.0568511415"/>
  </r>
  <r>
    <s v="Refaturamento - Regular"/>
    <x v="1"/>
    <x v="3"/>
    <x v="3"/>
    <x v="1"/>
    <x v="0"/>
    <x v="0"/>
    <x v="2"/>
    <x v="3"/>
    <n v="0"/>
    <n v="0"/>
    <n v="-2.4430000000000001"/>
    <n v="-2.4430000000000001"/>
    <n v="-2.4430000000000001"/>
    <n v="-2.4430000000000001"/>
    <n v="0"/>
    <x v="0"/>
    <n v="0"/>
    <n v="0"/>
    <n v="36"/>
    <n v="45"/>
    <n v="0"/>
    <n v="792.41"/>
    <n v="231.33"/>
    <m/>
    <n v="965.29421998367866"/>
    <n v="260.80314197522284"/>
    <n v="0"/>
    <n v="-1935.85763"/>
    <n v="-565.1391900000001"/>
    <n v="0"/>
    <n v="-2358.2137794201271"/>
    <n v="-637.14207584546944"/>
  </r>
  <r>
    <s v="Sistema de Compensação"/>
    <x v="1"/>
    <x v="3"/>
    <x v="3"/>
    <x v="1"/>
    <x v="0"/>
    <x v="0"/>
    <x v="2"/>
    <x v="3"/>
    <n v="0"/>
    <n v="0"/>
    <n v="22.52"/>
    <n v="22.52"/>
    <n v="22.52"/>
    <n v="22.52"/>
    <n v="141"/>
    <x v="0"/>
    <n v="0"/>
    <n v="0"/>
    <n v="36"/>
    <n v="45"/>
    <n v="0"/>
    <n v="792.41"/>
    <n v="231.33"/>
    <m/>
    <n v="965.29421998367866"/>
    <n v="260.80314197522284"/>
    <n v="0"/>
    <n v="17845.073199999999"/>
    <n v="5209.5515999999998"/>
    <n v="0"/>
    <n v="21738.425834032441"/>
    <n v="5873.2867572820187"/>
  </r>
  <r>
    <s v="Regular"/>
    <x v="1"/>
    <x v="3"/>
    <x v="3"/>
    <x v="1"/>
    <x v="0"/>
    <x v="0"/>
    <x v="2"/>
    <x v="4"/>
    <n v="0"/>
    <n v="0"/>
    <n v="1879.2909999999999"/>
    <n v="1879.2909999999999"/>
    <n v="1879.2909999999999"/>
    <n v="1879.2909999999999"/>
    <n v="14910"/>
    <x v="0"/>
    <n v="0"/>
    <n v="0"/>
    <n v="36"/>
    <n v="45"/>
    <n v="0"/>
    <n v="792.41"/>
    <n v="231.33"/>
    <m/>
    <n v="965.29421998367866"/>
    <n v="260.80314197522284"/>
    <n v="0"/>
    <n v="1489168.9813099999"/>
    <n v="434736.38702999998"/>
    <n v="0"/>
    <n v="1814068.7399673474"/>
    <n v="490124.9974857585"/>
  </r>
  <r>
    <s v="Refaturamento - Regular"/>
    <x v="1"/>
    <x v="3"/>
    <x v="3"/>
    <x v="1"/>
    <x v="0"/>
    <x v="0"/>
    <x v="2"/>
    <x v="4"/>
    <n v="0"/>
    <n v="0"/>
    <n v="-1.458"/>
    <n v="-1.458"/>
    <n v="-1.458"/>
    <n v="-1.458"/>
    <n v="0"/>
    <x v="0"/>
    <n v="0"/>
    <n v="0"/>
    <n v="36"/>
    <n v="45"/>
    <n v="0"/>
    <n v="792.41"/>
    <n v="231.33"/>
    <m/>
    <n v="965.29421998367866"/>
    <n v="260.80314197522284"/>
    <n v="0"/>
    <n v="-1155.3337799999999"/>
    <n v="-337.27913999999998"/>
    <n v="0"/>
    <n v="-1407.3989727362034"/>
    <n v="-380.25098099987491"/>
  </r>
  <r>
    <s v="Sistema de Compensação"/>
    <x v="1"/>
    <x v="3"/>
    <x v="3"/>
    <x v="1"/>
    <x v="0"/>
    <x v="0"/>
    <x v="2"/>
    <x v="4"/>
    <n v="0"/>
    <n v="0"/>
    <n v="22.29"/>
    <n v="22.29"/>
    <n v="22.29"/>
    <n v="22.29"/>
    <n v="157"/>
    <x v="0"/>
    <n v="0"/>
    <n v="0"/>
    <n v="36"/>
    <n v="45"/>
    <n v="0"/>
    <n v="792.41"/>
    <n v="231.33"/>
    <m/>
    <n v="965.29421998367866"/>
    <n v="260.80314197522284"/>
    <n v="0"/>
    <n v="17662.818899999998"/>
    <n v="5156.3456999999999"/>
    <n v="0"/>
    <n v="21516.408163436197"/>
    <n v="5813.3020346277171"/>
  </r>
  <r>
    <s v="Regular"/>
    <x v="1"/>
    <x v="3"/>
    <x v="3"/>
    <x v="1"/>
    <x v="0"/>
    <x v="0"/>
    <x v="2"/>
    <x v="5"/>
    <n v="0"/>
    <n v="0"/>
    <n v="2177.0700000000002"/>
    <n v="2177.0700000000002"/>
    <n v="2177.0700000000002"/>
    <n v="2177.0700000000002"/>
    <n v="14981"/>
    <x v="0"/>
    <n v="0"/>
    <n v="0"/>
    <n v="36"/>
    <n v="45"/>
    <n v="0"/>
    <n v="792.41"/>
    <n v="231.33"/>
    <m/>
    <n v="965.29421998367866"/>
    <n v="260.80314197522284"/>
    <n v="0"/>
    <n v="1725132.0387000002"/>
    <n v="503621.60310000007"/>
    <n v="0"/>
    <n v="2101513.0874998677"/>
    <n v="567786.69629999844"/>
  </r>
  <r>
    <s v="Refaturamento - Regular"/>
    <x v="1"/>
    <x v="3"/>
    <x v="3"/>
    <x v="1"/>
    <x v="0"/>
    <x v="0"/>
    <x v="2"/>
    <x v="5"/>
    <n v="0"/>
    <n v="0"/>
    <n v="-1.1859999999999999"/>
    <n v="-1.1859999999999999"/>
    <n v="-1.1859999999999999"/>
    <n v="-1.1859999999999999"/>
    <n v="0"/>
    <x v="0"/>
    <n v="0"/>
    <n v="0"/>
    <n v="36"/>
    <n v="45"/>
    <n v="0"/>
    <n v="792.41"/>
    <n v="231.33"/>
    <m/>
    <n v="965.29421998367866"/>
    <n v="260.80314197522284"/>
    <n v="0"/>
    <n v="-939.79825999999991"/>
    <n v="-274.35737999999998"/>
    <n v="0"/>
    <n v="-1144.8389449006429"/>
    <n v="-309.31252638261429"/>
  </r>
  <r>
    <s v="Sistema de Compensação"/>
    <x v="1"/>
    <x v="3"/>
    <x v="3"/>
    <x v="1"/>
    <x v="0"/>
    <x v="0"/>
    <x v="2"/>
    <x v="5"/>
    <n v="0"/>
    <n v="0"/>
    <n v="22.503"/>
    <n v="22.503"/>
    <n v="22.503"/>
    <n v="22.503"/>
    <n v="170"/>
    <x v="0"/>
    <n v="0"/>
    <n v="0"/>
    <n v="36"/>
    <n v="45"/>
    <n v="0"/>
    <n v="792.41"/>
    <n v="231.33"/>
    <m/>
    <n v="965.29421998367866"/>
    <n v="260.80314197522284"/>
    <n v="0"/>
    <n v="17831.60223"/>
    <n v="5205.6189899999999"/>
    <n v="0"/>
    <n v="21722.01583229272"/>
    <n v="5868.8531038684396"/>
  </r>
  <r>
    <s v="Sistema de Compensação"/>
    <x v="1"/>
    <x v="3"/>
    <x v="3"/>
    <x v="1"/>
    <x v="0"/>
    <x v="0"/>
    <x v="2"/>
    <x v="5"/>
    <n v="0"/>
    <n v="0"/>
    <n v="0.72299999999999998"/>
    <n v="0.72299999999999998"/>
    <n v="0.72299999999999998"/>
    <n v="0.72299999999999998"/>
    <n v="1"/>
    <x v="0"/>
    <n v="0"/>
    <n v="0"/>
    <n v="36"/>
    <n v="45"/>
    <n v="0"/>
    <n v="792.41"/>
    <n v="231.33"/>
    <m/>
    <n v="965.29421998367866"/>
    <n v="260.80314197522284"/>
    <n v="0"/>
    <n v="572.91242999999997"/>
    <n v="167.25158999999999"/>
    <n v="0"/>
    <n v="697.90772104819962"/>
    <n v="188.5606716480861"/>
  </r>
  <r>
    <s v="Regular"/>
    <x v="1"/>
    <x v="3"/>
    <x v="3"/>
    <x v="1"/>
    <x v="0"/>
    <x v="0"/>
    <x v="2"/>
    <x v="6"/>
    <n v="0"/>
    <n v="0"/>
    <n v="2061.8270000000002"/>
    <n v="2061.8270000000002"/>
    <n v="2061.8270000000002"/>
    <n v="2061.8270000000002"/>
    <n v="14921"/>
    <x v="0"/>
    <n v="0"/>
    <n v="0"/>
    <n v="36"/>
    <n v="45"/>
    <n v="0"/>
    <n v="792.41"/>
    <n v="231.33"/>
    <m/>
    <n v="965.29421998367866"/>
    <n v="260.80314197522284"/>
    <n v="0"/>
    <n v="1633812.3330700002"/>
    <n v="476962.43991000007"/>
    <n v="0"/>
    <n v="1990269.6857062883"/>
    <n v="537730.95980934787"/>
  </r>
  <r>
    <s v="Refaturamento - Regular"/>
    <x v="1"/>
    <x v="3"/>
    <x v="3"/>
    <x v="1"/>
    <x v="0"/>
    <x v="0"/>
    <x v="2"/>
    <x v="6"/>
    <n v="0"/>
    <n v="0"/>
    <n v="-1.9179999999999999"/>
    <n v="-1.9179999999999999"/>
    <n v="-1.9179999999999999"/>
    <n v="-1.9179999999999999"/>
    <n v="0"/>
    <x v="0"/>
    <n v="0"/>
    <n v="0"/>
    <n v="36"/>
    <n v="45"/>
    <n v="0"/>
    <n v="792.41"/>
    <n v="231.33"/>
    <m/>
    <n v="965.29421998367866"/>
    <n v="260.80314197522284"/>
    <n v="0"/>
    <n v="-1519.8423799999998"/>
    <n v="-443.69094000000001"/>
    <n v="0"/>
    <n v="-1851.4343139286957"/>
    <n v="-500.22042630847739"/>
  </r>
  <r>
    <s v="Sistema de Compensação"/>
    <x v="1"/>
    <x v="3"/>
    <x v="3"/>
    <x v="1"/>
    <x v="0"/>
    <x v="0"/>
    <x v="2"/>
    <x v="6"/>
    <n v="0"/>
    <n v="0"/>
    <n v="24.122"/>
    <n v="24.122"/>
    <n v="24.122"/>
    <n v="24.122"/>
    <n v="179"/>
    <x v="0"/>
    <n v="0"/>
    <n v="0"/>
    <n v="36"/>
    <n v="45"/>
    <n v="0"/>
    <n v="792.41"/>
    <n v="231.33"/>
    <m/>
    <n v="965.29421998367866"/>
    <n v="260.80314197522284"/>
    <n v="0"/>
    <n v="19114.514019999999"/>
    <n v="5580.1422600000005"/>
    <n v="0"/>
    <n v="23284.827174446298"/>
    <n v="6291.0933907263252"/>
  </r>
  <r>
    <s v="Regular"/>
    <x v="1"/>
    <x v="3"/>
    <x v="3"/>
    <x v="1"/>
    <x v="0"/>
    <x v="0"/>
    <x v="2"/>
    <x v="7"/>
    <n v="0"/>
    <n v="0"/>
    <n v="2043.135"/>
    <n v="2043.135"/>
    <n v="2043.135"/>
    <n v="2043.135"/>
    <n v="14898"/>
    <x v="0"/>
    <n v="0"/>
    <n v="0"/>
    <n v="36"/>
    <n v="45"/>
    <n v="0"/>
    <n v="792.41"/>
    <n v="231.33"/>
    <m/>
    <n v="965.29421998367866"/>
    <n v="260.80314197522284"/>
    <n v="0"/>
    <n v="1619000.6053499999"/>
    <n v="472638.41955000005"/>
    <n v="0"/>
    <n v="1972226.4061463533"/>
    <n v="532856.02747954696"/>
  </r>
  <r>
    <s v="Refaturamento - Regular"/>
    <x v="1"/>
    <x v="3"/>
    <x v="3"/>
    <x v="1"/>
    <x v="0"/>
    <x v="0"/>
    <x v="2"/>
    <x v="7"/>
    <n v="0"/>
    <n v="0"/>
    <n v="-6.23"/>
    <n v="-6.23"/>
    <n v="-6.23"/>
    <n v="-6.23"/>
    <n v="0"/>
    <x v="0"/>
    <n v="0"/>
    <n v="0"/>
    <n v="36"/>
    <n v="45"/>
    <n v="0"/>
    <n v="792.41"/>
    <n v="231.33"/>
    <m/>
    <n v="965.29421998367866"/>
    <n v="260.80314197522284"/>
    <n v="0"/>
    <n v="-4936.7143000000005"/>
    <n v="-1441.1859000000002"/>
    <n v="0"/>
    <n v="-6013.7829904983182"/>
    <n v="-1624.8035745056384"/>
  </r>
  <r>
    <s v="Sistema de Compensação"/>
    <x v="1"/>
    <x v="3"/>
    <x v="3"/>
    <x v="1"/>
    <x v="0"/>
    <x v="0"/>
    <x v="2"/>
    <x v="7"/>
    <n v="0"/>
    <n v="0"/>
    <n v="24.597000000000001"/>
    <n v="24.597000000000001"/>
    <n v="24.597000000000001"/>
    <n v="24.597000000000001"/>
    <n v="193"/>
    <x v="0"/>
    <n v="0"/>
    <n v="0"/>
    <n v="36"/>
    <n v="45"/>
    <n v="0"/>
    <n v="792.41"/>
    <n v="231.33"/>
    <m/>
    <n v="965.29421998367866"/>
    <n v="260.80314197522284"/>
    <n v="0"/>
    <n v="19490.908770000002"/>
    <n v="5690.024010000001"/>
    <n v="0"/>
    <n v="23743.341928938546"/>
    <n v="6414.9748831645566"/>
  </r>
  <r>
    <s v="Regular"/>
    <x v="1"/>
    <x v="3"/>
    <x v="3"/>
    <x v="1"/>
    <x v="0"/>
    <x v="0"/>
    <x v="2"/>
    <x v="8"/>
    <n v="0"/>
    <n v="0"/>
    <n v="2159.143"/>
    <n v="2159.143"/>
    <n v="2159.143"/>
    <n v="2159.143"/>
    <n v="14900"/>
    <x v="0"/>
    <n v="0"/>
    <n v="0"/>
    <n v="36"/>
    <n v="45"/>
    <n v="0"/>
    <n v="792.41"/>
    <n v="231.33"/>
    <m/>
    <n v="965.29421998367866"/>
    <n v="260.80314197522284"/>
    <n v="0"/>
    <n v="1710926.5046299999"/>
    <n v="499474.55019000004"/>
    <n v="0"/>
    <n v="2084208.2580182198"/>
    <n v="563111.2783738086"/>
  </r>
  <r>
    <s v="Refaturamento - Regular"/>
    <x v="1"/>
    <x v="3"/>
    <x v="3"/>
    <x v="1"/>
    <x v="0"/>
    <x v="0"/>
    <x v="2"/>
    <x v="8"/>
    <n v="0"/>
    <n v="0"/>
    <n v="-2.7770000000000001"/>
    <n v="-2.7770000000000001"/>
    <n v="-2.7770000000000001"/>
    <n v="-2.7770000000000001"/>
    <n v="0"/>
    <x v="0"/>
    <n v="0"/>
    <n v="0"/>
    <n v="36"/>
    <n v="45"/>
    <n v="0"/>
    <n v="792.41"/>
    <n v="231.33"/>
    <m/>
    <n v="965.29421998367866"/>
    <n v="260.80314197522284"/>
    <n v="0"/>
    <n v="-2200.5225700000001"/>
    <n v="-642.40341000000012"/>
    <n v="0"/>
    <n v="-2680.6220488946756"/>
    <n v="-724.25032526519385"/>
  </r>
  <r>
    <s v="Sistema de Compensação"/>
    <x v="1"/>
    <x v="3"/>
    <x v="3"/>
    <x v="1"/>
    <x v="0"/>
    <x v="0"/>
    <x v="2"/>
    <x v="8"/>
    <n v="0"/>
    <n v="0"/>
    <n v="24.524000000000001"/>
    <n v="24.524000000000001"/>
    <n v="24.524000000000001"/>
    <n v="24.524000000000001"/>
    <n v="210"/>
    <x v="0"/>
    <n v="0"/>
    <n v="0"/>
    <n v="36"/>
    <n v="45"/>
    <n v="0"/>
    <n v="792.41"/>
    <n v="231.33"/>
    <m/>
    <n v="965.29421998367866"/>
    <n v="260.80314197522284"/>
    <n v="0"/>
    <n v="19433.062839999999"/>
    <n v="5673.1369200000008"/>
    <n v="0"/>
    <n v="23672.875450879736"/>
    <n v="6395.9362538003652"/>
  </r>
  <r>
    <s v="Regular"/>
    <x v="1"/>
    <x v="3"/>
    <x v="3"/>
    <x v="1"/>
    <x v="0"/>
    <x v="0"/>
    <x v="2"/>
    <x v="9"/>
    <n v="0"/>
    <n v="0"/>
    <n v="2359.4070000000002"/>
    <n v="2359.4070000000002"/>
    <n v="2359.4070000000002"/>
    <n v="2359.4070000000002"/>
    <n v="14891"/>
    <x v="0"/>
    <n v="0"/>
    <n v="0"/>
    <n v="36"/>
    <n v="45"/>
    <n v="0"/>
    <n v="792.41"/>
    <n v="231.33"/>
    <m/>
    <n v="965.29421998367866"/>
    <n v="260.80314197522284"/>
    <n v="0"/>
    <n v="1869617.7008700001"/>
    <n v="545801.62131000008"/>
    <n v="0"/>
    <n v="2277521.9396890313"/>
    <n v="615340.75879833463"/>
  </r>
  <r>
    <s v="Refaturamento - Regular"/>
    <x v="1"/>
    <x v="3"/>
    <x v="3"/>
    <x v="1"/>
    <x v="0"/>
    <x v="0"/>
    <x v="2"/>
    <x v="9"/>
    <n v="0"/>
    <n v="0"/>
    <n v="-5.7320000000000002"/>
    <n v="-5.7320000000000002"/>
    <n v="-5.7320000000000002"/>
    <n v="-5.7320000000000002"/>
    <n v="0"/>
    <x v="0"/>
    <n v="0"/>
    <n v="0"/>
    <n v="36"/>
    <n v="45"/>
    <n v="0"/>
    <n v="792.41"/>
    <n v="231.33"/>
    <m/>
    <n v="965.29421998367866"/>
    <n v="260.80314197522284"/>
    <n v="0"/>
    <n v="-4542.0941199999997"/>
    <n v="-1325.9835600000001"/>
    <n v="0"/>
    <n v="-5533.0664689464465"/>
    <n v="-1494.9236098019774"/>
  </r>
  <r>
    <s v="Sistema de Compensação"/>
    <x v="1"/>
    <x v="3"/>
    <x v="3"/>
    <x v="1"/>
    <x v="0"/>
    <x v="0"/>
    <x v="2"/>
    <x v="9"/>
    <n v="0"/>
    <n v="0"/>
    <n v="31.800999999999998"/>
    <n v="31.800999999999998"/>
    <n v="31.800999999999998"/>
    <n v="31.800999999999998"/>
    <n v="217"/>
    <x v="0"/>
    <n v="0"/>
    <n v="0"/>
    <n v="36"/>
    <n v="45"/>
    <n v="0"/>
    <n v="792.41"/>
    <n v="231.33"/>
    <m/>
    <n v="965.29421998367866"/>
    <n v="260.80314197522284"/>
    <n v="0"/>
    <n v="25199.430409999997"/>
    <n v="7356.5253300000004"/>
    <n v="0"/>
    <n v="30697.321489700964"/>
    <n v="8293.8007179540618"/>
  </r>
  <r>
    <s v="Regular"/>
    <x v="1"/>
    <x v="3"/>
    <x v="3"/>
    <x v="1"/>
    <x v="0"/>
    <x v="0"/>
    <x v="2"/>
    <x v="10"/>
    <n v="0"/>
    <n v="0"/>
    <n v="2520.4279999999999"/>
    <n v="2520.4279999999999"/>
    <n v="2520.4279999999999"/>
    <n v="2520.4279999999999"/>
    <n v="14872"/>
    <x v="0"/>
    <n v="0"/>
    <n v="0"/>
    <n v="36"/>
    <n v="45"/>
    <n v="0"/>
    <n v="792.41"/>
    <n v="231.33"/>
    <m/>
    <n v="965.29421998367866"/>
    <n v="260.80314197522284"/>
    <n v="0"/>
    <n v="1997212.3514799997"/>
    <n v="583050.60924000002"/>
    <n v="0"/>
    <n v="2432954.580285023"/>
    <n v="657335.54152232688"/>
  </r>
  <r>
    <s v="Refaturamento - Regular"/>
    <x v="1"/>
    <x v="3"/>
    <x v="3"/>
    <x v="1"/>
    <x v="0"/>
    <x v="0"/>
    <x v="2"/>
    <x v="10"/>
    <n v="0"/>
    <n v="0"/>
    <n v="0.23400000000000001"/>
    <n v="0.23400000000000001"/>
    <n v="0.23400000000000001"/>
    <n v="0.23400000000000001"/>
    <n v="0"/>
    <x v="0"/>
    <n v="0"/>
    <n v="0"/>
    <n v="36"/>
    <n v="45"/>
    <n v="0"/>
    <n v="792.41"/>
    <n v="231.33"/>
    <m/>
    <n v="965.29421998367866"/>
    <n v="260.80314197522284"/>
    <n v="0"/>
    <n v="185.42394000000002"/>
    <n v="54.131220000000006"/>
    <n v="0"/>
    <n v="225.87884747618082"/>
    <n v="61.027935222202146"/>
  </r>
  <r>
    <s v="Sistema de Compensação"/>
    <x v="1"/>
    <x v="3"/>
    <x v="3"/>
    <x v="1"/>
    <x v="0"/>
    <x v="0"/>
    <x v="2"/>
    <x v="10"/>
    <n v="0"/>
    <n v="0"/>
    <n v="38.475999999999999"/>
    <n v="38.475999999999999"/>
    <n v="38.475999999999999"/>
    <n v="38.475999999999999"/>
    <n v="230"/>
    <x v="0"/>
    <n v="0"/>
    <n v="0"/>
    <n v="36"/>
    <n v="45"/>
    <n v="0"/>
    <n v="792.41"/>
    <n v="231.33"/>
    <m/>
    <n v="965.29421998367866"/>
    <n v="260.80314197522284"/>
    <n v="0"/>
    <n v="30488.767159999999"/>
    <n v="8900.65308"/>
    <n v="0"/>
    <n v="37140.660408092022"/>
    <n v="10034.661690638673"/>
  </r>
  <r>
    <s v="Regular"/>
    <x v="1"/>
    <x v="3"/>
    <x v="3"/>
    <x v="1"/>
    <x v="0"/>
    <x v="0"/>
    <x v="2"/>
    <x v="11"/>
    <n v="0"/>
    <n v="0"/>
    <n v="2401.373"/>
    <n v="2401.373"/>
    <n v="2401.373"/>
    <n v="2401.373"/>
    <n v="14119"/>
    <x v="0"/>
    <n v="0"/>
    <n v="0"/>
    <n v="36"/>
    <n v="45"/>
    <n v="0"/>
    <n v="792.41"/>
    <n v="231.33"/>
    <m/>
    <n v="965.29421998367866"/>
    <n v="260.80314197522284"/>
    <n v="0"/>
    <n v="1902871.97893"/>
    <n v="555509.61609000002"/>
    <n v="0"/>
    <n v="2318031.4769248664"/>
    <n v="626285.62345446681"/>
  </r>
  <r>
    <s v="Refaturamento - Regular"/>
    <x v="1"/>
    <x v="3"/>
    <x v="3"/>
    <x v="1"/>
    <x v="0"/>
    <x v="0"/>
    <x v="2"/>
    <x v="11"/>
    <n v="0"/>
    <n v="0"/>
    <n v="-0.41899999999999998"/>
    <n v="-0.41899999999999998"/>
    <n v="-0.41899999999999998"/>
    <n v="-0.41899999999999998"/>
    <n v="0"/>
    <x v="0"/>
    <n v="0"/>
    <n v="0"/>
    <n v="36"/>
    <n v="45"/>
    <n v="0"/>
    <n v="792.41"/>
    <n v="231.33"/>
    <m/>
    <n v="965.29421998367866"/>
    <n v="260.80314197522284"/>
    <n v="0"/>
    <n v="-332.01979"/>
    <n v="-96.927270000000007"/>
    <n v="0"/>
    <n v="-404.45827817316132"/>
    <n v="-109.27651648761837"/>
  </r>
  <r>
    <s v="Sistema de Compensação"/>
    <x v="1"/>
    <x v="3"/>
    <x v="3"/>
    <x v="1"/>
    <x v="0"/>
    <x v="0"/>
    <x v="2"/>
    <x v="11"/>
    <n v="0"/>
    <n v="0"/>
    <n v="37.073999999999998"/>
    <n v="37.073999999999998"/>
    <n v="37.073999999999998"/>
    <n v="37.073999999999998"/>
    <n v="234"/>
    <x v="0"/>
    <n v="0"/>
    <n v="0"/>
    <n v="36"/>
    <n v="45"/>
    <n v="0"/>
    <n v="792.41"/>
    <n v="231.33"/>
    <m/>
    <n v="965.29421998367866"/>
    <n v="260.80314197522284"/>
    <n v="0"/>
    <n v="29377.808339999996"/>
    <n v="8576.3284199999998"/>
    <n v="0"/>
    <n v="35787.317911674902"/>
    <n v="9669.0156855894111"/>
  </r>
  <r>
    <s v="Regular"/>
    <x v="1"/>
    <x v="3"/>
    <x v="3"/>
    <x v="2"/>
    <x v="0"/>
    <x v="0"/>
    <x v="2"/>
    <x v="0"/>
    <n v="0"/>
    <n v="0"/>
    <n v="12.57"/>
    <n v="12.57"/>
    <n v="12.57"/>
    <n v="12.57"/>
    <n v="15"/>
    <x v="0"/>
    <n v="0"/>
    <n v="0"/>
    <n v="29"/>
    <n v="50"/>
    <n v="0"/>
    <n v="244.97"/>
    <n v="80.97"/>
    <m/>
    <n v="291.74910259255694"/>
    <n v="91.281099691327995"/>
    <n v="0"/>
    <n v="3079.2728999999999"/>
    <n v="1017.7929"/>
    <n v="0"/>
    <n v="3667.2862195884409"/>
    <n v="1147.403423119993"/>
  </r>
  <r>
    <s v="Regular"/>
    <x v="1"/>
    <x v="3"/>
    <x v="3"/>
    <x v="2"/>
    <x v="0"/>
    <x v="0"/>
    <x v="2"/>
    <x v="1"/>
    <n v="0"/>
    <n v="0"/>
    <n v="20.033999999999999"/>
    <n v="20.033999999999999"/>
    <n v="20.033999999999999"/>
    <n v="20.033999999999999"/>
    <n v="68"/>
    <x v="0"/>
    <n v="0"/>
    <n v="0"/>
    <n v="29"/>
    <n v="50"/>
    <n v="0"/>
    <n v="244.97"/>
    <n v="80.97"/>
    <m/>
    <n v="291.74910259255694"/>
    <n v="91.281099691327995"/>
    <n v="0"/>
    <n v="4907.7289799999999"/>
    <n v="1622.1529799999998"/>
    <n v="0"/>
    <n v="5844.901521339285"/>
    <n v="1828.725551216065"/>
  </r>
  <r>
    <s v="Refaturamento - Regular"/>
    <x v="1"/>
    <x v="3"/>
    <x v="3"/>
    <x v="2"/>
    <x v="0"/>
    <x v="0"/>
    <x v="2"/>
    <x v="1"/>
    <n v="0"/>
    <n v="0"/>
    <n v="-5.1070000000000002"/>
    <n v="-5.1070000000000002"/>
    <n v="-5.1070000000000002"/>
    <n v="-5.1070000000000002"/>
    <n v="0"/>
    <x v="0"/>
    <n v="0"/>
    <n v="0"/>
    <n v="29"/>
    <n v="50"/>
    <n v="0"/>
    <n v="244.97"/>
    <n v="80.97"/>
    <m/>
    <n v="291.74910259255694"/>
    <n v="91.281099691327995"/>
    <n v="0"/>
    <n v="-1251.06179"/>
    <n v="-413.51379000000003"/>
    <n v="0"/>
    <n v="-1489.9626669401882"/>
    <n v="-466.17257612361209"/>
  </r>
  <r>
    <s v="Sistema de Compensação"/>
    <x v="1"/>
    <x v="3"/>
    <x v="3"/>
    <x v="2"/>
    <x v="0"/>
    <x v="0"/>
    <x v="2"/>
    <x v="1"/>
    <n v="0"/>
    <n v="0"/>
    <n v="0.03"/>
    <n v="1.0500000000000001E-2"/>
    <n v="0.03"/>
    <n v="1.0500000000000001E-2"/>
    <n v="1"/>
    <x v="0"/>
    <n v="0"/>
    <n v="0"/>
    <n v="29"/>
    <n v="50"/>
    <n v="0"/>
    <n v="244.97"/>
    <n v="80.97"/>
    <m/>
    <n v="291.74910259255694"/>
    <n v="91.281099691327995"/>
    <n v="0"/>
    <n v="2.5721850000000002"/>
    <n v="0.85018500000000008"/>
    <n v="0"/>
    <n v="3.0633655772218482"/>
    <n v="0.95845154675894406"/>
  </r>
  <r>
    <s v="Regular"/>
    <x v="1"/>
    <x v="3"/>
    <x v="3"/>
    <x v="2"/>
    <x v="0"/>
    <x v="0"/>
    <x v="2"/>
    <x v="2"/>
    <n v="0"/>
    <n v="0"/>
    <n v="14.04"/>
    <n v="14.04"/>
    <n v="14.04"/>
    <n v="14.04"/>
    <n v="18"/>
    <x v="0"/>
    <n v="0"/>
    <n v="0"/>
    <n v="29"/>
    <n v="50"/>
    <n v="0"/>
    <n v="244.97"/>
    <n v="80.97"/>
    <m/>
    <n v="291.74910259255694"/>
    <n v="91.281099691327995"/>
    <n v="0"/>
    <n v="3439.3788"/>
    <n v="1136.8188"/>
    <n v="0"/>
    <n v="4096.1574003994992"/>
    <n v="1281.586639666245"/>
  </r>
  <r>
    <s v="Refaturamento - Regular"/>
    <x v="1"/>
    <x v="3"/>
    <x v="3"/>
    <x v="2"/>
    <x v="0"/>
    <x v="0"/>
    <x v="2"/>
    <x v="2"/>
    <n v="0"/>
    <n v="0"/>
    <n v="-1.528"/>
    <n v="-1.528"/>
    <n v="-1.528"/>
    <n v="-1.528"/>
    <n v="0"/>
    <x v="0"/>
    <n v="0"/>
    <n v="0"/>
    <n v="29"/>
    <n v="50"/>
    <n v="0"/>
    <n v="244.97"/>
    <n v="80.97"/>
    <m/>
    <n v="291.74910259255694"/>
    <n v="91.281099691327995"/>
    <n v="0"/>
    <n v="-374.31416000000002"/>
    <n v="-123.72216"/>
    <n v="0"/>
    <n v="-445.79262876142701"/>
    <n v="-139.47752032834919"/>
  </r>
  <r>
    <s v="Sistema de Compensação"/>
    <x v="1"/>
    <x v="3"/>
    <x v="3"/>
    <x v="2"/>
    <x v="0"/>
    <x v="0"/>
    <x v="2"/>
    <x v="2"/>
    <n v="0"/>
    <n v="0"/>
    <n v="0.03"/>
    <n v="1.0500000000000001E-2"/>
    <n v="0.03"/>
    <n v="1.0500000000000001E-2"/>
    <n v="1"/>
    <x v="0"/>
    <n v="0"/>
    <n v="0"/>
    <n v="29"/>
    <n v="50"/>
    <n v="0"/>
    <n v="244.97"/>
    <n v="80.97"/>
    <m/>
    <n v="291.74910259255694"/>
    <n v="91.281099691327995"/>
    <n v="0"/>
    <n v="2.5721850000000002"/>
    <n v="0.85018500000000008"/>
    <n v="0"/>
    <n v="3.0633655772218482"/>
    <n v="0.95845154675894406"/>
  </r>
  <r>
    <s v="Regular"/>
    <x v="1"/>
    <x v="3"/>
    <x v="3"/>
    <x v="2"/>
    <x v="0"/>
    <x v="0"/>
    <x v="2"/>
    <x v="3"/>
    <n v="0"/>
    <n v="0"/>
    <n v="14.82"/>
    <n v="14.82"/>
    <n v="14.82"/>
    <n v="14.82"/>
    <n v="23"/>
    <x v="0"/>
    <n v="0"/>
    <n v="0"/>
    <n v="29"/>
    <n v="50"/>
    <n v="0"/>
    <n v="244.97"/>
    <n v="80.97"/>
    <m/>
    <n v="291.74910259255694"/>
    <n v="91.281099691327995"/>
    <n v="0"/>
    <n v="3630.4553999999998"/>
    <n v="1199.9754"/>
    <n v="0"/>
    <n v="4323.7217004216936"/>
    <n v="1352.7858974254809"/>
  </r>
  <r>
    <s v="Sistema de Compensação"/>
    <x v="1"/>
    <x v="3"/>
    <x v="3"/>
    <x v="2"/>
    <x v="0"/>
    <x v="0"/>
    <x v="2"/>
    <x v="3"/>
    <n v="0"/>
    <n v="0"/>
    <n v="0.03"/>
    <n v="1.0500000000000001E-2"/>
    <n v="0.03"/>
    <n v="1.0500000000000001E-2"/>
    <n v="1"/>
    <x v="0"/>
    <n v="0"/>
    <n v="0"/>
    <n v="29"/>
    <n v="50"/>
    <n v="0"/>
    <n v="244.97"/>
    <n v="80.97"/>
    <m/>
    <n v="291.74910259255694"/>
    <n v="91.281099691327995"/>
    <n v="0"/>
    <n v="2.5721850000000002"/>
    <n v="0.85018500000000008"/>
    <n v="0"/>
    <n v="3.0633655772218482"/>
    <n v="0.95845154675894406"/>
  </r>
  <r>
    <s v="Regular"/>
    <x v="1"/>
    <x v="3"/>
    <x v="3"/>
    <x v="2"/>
    <x v="0"/>
    <x v="0"/>
    <x v="2"/>
    <x v="4"/>
    <n v="0"/>
    <n v="0"/>
    <n v="15.33"/>
    <n v="15.33"/>
    <n v="15.33"/>
    <n v="15.33"/>
    <n v="26"/>
    <x v="0"/>
    <n v="0"/>
    <n v="0"/>
    <n v="29"/>
    <n v="50"/>
    <n v="0"/>
    <n v="244.97"/>
    <n v="80.97"/>
    <m/>
    <n v="291.74910259255694"/>
    <n v="91.281099691327995"/>
    <n v="0"/>
    <n v="3755.3901000000001"/>
    <n v="1241.2701"/>
    <n v="0"/>
    <n v="4472.5137427438976"/>
    <n v="1399.3392582680581"/>
  </r>
  <r>
    <s v="Sistema de Compensação"/>
    <x v="1"/>
    <x v="3"/>
    <x v="3"/>
    <x v="2"/>
    <x v="0"/>
    <x v="0"/>
    <x v="2"/>
    <x v="4"/>
    <n v="0"/>
    <n v="0"/>
    <n v="0.03"/>
    <n v="1.0500000000000001E-2"/>
    <n v="0.03"/>
    <n v="1.0500000000000001E-2"/>
    <n v="1"/>
    <x v="0"/>
    <n v="0"/>
    <n v="0"/>
    <n v="29"/>
    <n v="50"/>
    <n v="0"/>
    <n v="244.97"/>
    <n v="80.97"/>
    <m/>
    <n v="291.74910259255694"/>
    <n v="91.281099691327995"/>
    <n v="0"/>
    <n v="2.5721850000000002"/>
    <n v="0.85018500000000008"/>
    <n v="0"/>
    <n v="3.0633655772218482"/>
    <n v="0.95845154675894406"/>
  </r>
  <r>
    <s v="Regular"/>
    <x v="1"/>
    <x v="3"/>
    <x v="3"/>
    <x v="2"/>
    <x v="0"/>
    <x v="0"/>
    <x v="2"/>
    <x v="5"/>
    <n v="0"/>
    <n v="0"/>
    <n v="15.45"/>
    <n v="15.45"/>
    <n v="15.45"/>
    <n v="15.45"/>
    <n v="18"/>
    <x v="0"/>
    <n v="0"/>
    <n v="0"/>
    <n v="29"/>
    <n v="50"/>
    <n v="0"/>
    <n v="244.97"/>
    <n v="80.97"/>
    <m/>
    <n v="291.74910259255694"/>
    <n v="91.281099691327995"/>
    <n v="0"/>
    <n v="3784.7864999999997"/>
    <n v="1250.9865"/>
    <n v="0"/>
    <n v="4507.5236350550049"/>
    <n v="1410.2929902310175"/>
  </r>
  <r>
    <s v="Sistema de Compensação"/>
    <x v="1"/>
    <x v="3"/>
    <x v="3"/>
    <x v="2"/>
    <x v="0"/>
    <x v="0"/>
    <x v="2"/>
    <x v="5"/>
    <n v="0"/>
    <n v="0"/>
    <n v="0.03"/>
    <n v="1.0500000000000001E-2"/>
    <n v="0.03"/>
    <n v="1.0500000000000001E-2"/>
    <n v="1"/>
    <x v="0"/>
    <n v="0"/>
    <n v="0"/>
    <n v="29"/>
    <n v="50"/>
    <n v="0"/>
    <n v="244.97"/>
    <n v="80.97"/>
    <m/>
    <n v="291.74910259255694"/>
    <n v="91.281099691327995"/>
    <n v="0"/>
    <n v="2.5721850000000002"/>
    <n v="0.85018500000000008"/>
    <n v="0"/>
    <n v="3.0633655772218482"/>
    <n v="0.95845154675894406"/>
  </r>
  <r>
    <s v="Regular"/>
    <x v="1"/>
    <x v="3"/>
    <x v="3"/>
    <x v="2"/>
    <x v="0"/>
    <x v="0"/>
    <x v="2"/>
    <x v="6"/>
    <n v="0"/>
    <n v="0"/>
    <n v="17.07"/>
    <n v="17.07"/>
    <n v="17.07"/>
    <n v="17.07"/>
    <n v="20"/>
    <x v="0"/>
    <n v="0"/>
    <n v="0"/>
    <n v="29"/>
    <n v="50"/>
    <n v="0"/>
    <n v="244.97"/>
    <n v="80.97"/>
    <m/>
    <n v="291.74910259255694"/>
    <n v="91.281099691327995"/>
    <n v="0"/>
    <n v="4181.6378999999997"/>
    <n v="1382.1578999999999"/>
    <n v="0"/>
    <n v="4980.1571812549473"/>
    <n v="1558.1683717309688"/>
  </r>
  <r>
    <s v="Sistema de Compensação"/>
    <x v="1"/>
    <x v="3"/>
    <x v="3"/>
    <x v="2"/>
    <x v="0"/>
    <x v="0"/>
    <x v="2"/>
    <x v="6"/>
    <n v="0"/>
    <n v="0"/>
    <n v="0.03"/>
    <n v="1.0500000000000001E-2"/>
    <n v="0.03"/>
    <n v="1.0500000000000001E-2"/>
    <n v="1"/>
    <x v="0"/>
    <n v="0"/>
    <n v="0"/>
    <n v="29"/>
    <n v="50"/>
    <n v="0"/>
    <n v="244.97"/>
    <n v="80.97"/>
    <m/>
    <n v="291.74910259255694"/>
    <n v="91.281099691327995"/>
    <n v="0"/>
    <n v="2.5721850000000002"/>
    <n v="0.85018500000000008"/>
    <n v="0"/>
    <n v="3.0633655772218482"/>
    <n v="0.95845154675894406"/>
  </r>
  <r>
    <s v="Regular"/>
    <x v="1"/>
    <x v="3"/>
    <x v="3"/>
    <x v="2"/>
    <x v="0"/>
    <x v="0"/>
    <x v="2"/>
    <x v="7"/>
    <n v="0"/>
    <n v="0"/>
    <n v="18.035"/>
    <n v="18.035"/>
    <n v="18.035"/>
    <n v="18.035"/>
    <n v="18"/>
    <x v="0"/>
    <n v="0"/>
    <n v="0"/>
    <n v="29"/>
    <n v="50"/>
    <n v="0"/>
    <n v="244.97"/>
    <n v="80.97"/>
    <m/>
    <n v="291.74910259255694"/>
    <n v="91.281099691327995"/>
    <n v="0"/>
    <n v="4418.03395"/>
    <n v="1460.29395"/>
    <n v="0"/>
    <n v="5261.6950652567648"/>
    <n v="1646.2546329331003"/>
  </r>
  <r>
    <s v="Sistema de Compensação"/>
    <x v="1"/>
    <x v="3"/>
    <x v="3"/>
    <x v="2"/>
    <x v="0"/>
    <x v="0"/>
    <x v="2"/>
    <x v="7"/>
    <n v="0"/>
    <n v="0"/>
    <n v="0.06"/>
    <n v="2.1000000000000001E-2"/>
    <n v="0.06"/>
    <n v="2.1000000000000001E-2"/>
    <n v="1"/>
    <x v="0"/>
    <n v="0"/>
    <n v="0"/>
    <n v="29"/>
    <n v="50"/>
    <n v="0"/>
    <n v="244.97"/>
    <n v="80.97"/>
    <m/>
    <n v="291.74910259255694"/>
    <n v="91.281099691327995"/>
    <n v="0"/>
    <n v="5.1443700000000003"/>
    <n v="1.7003700000000002"/>
    <n v="0"/>
    <n v="6.1267311544436964"/>
    <n v="1.9169030935178881"/>
  </r>
  <r>
    <s v="Regular"/>
    <x v="1"/>
    <x v="3"/>
    <x v="3"/>
    <x v="2"/>
    <x v="0"/>
    <x v="0"/>
    <x v="2"/>
    <x v="8"/>
    <n v="0"/>
    <n v="0"/>
    <n v="18.78"/>
    <n v="18.78"/>
    <n v="18.78"/>
    <n v="18.78"/>
    <n v="18"/>
    <x v="0"/>
    <n v="0"/>
    <n v="0"/>
    <n v="29"/>
    <n v="50"/>
    <n v="0"/>
    <n v="244.97"/>
    <n v="80.97"/>
    <m/>
    <n v="291.74910259255694"/>
    <n v="91.281099691327995"/>
    <n v="0"/>
    <n v="4600.5366000000004"/>
    <n v="1520.6166000000001"/>
    <n v="0"/>
    <n v="5479.0481466882193"/>
    <n v="1714.2590522031398"/>
  </r>
  <r>
    <s v="Sistema de Compensação"/>
    <x v="1"/>
    <x v="3"/>
    <x v="3"/>
    <x v="2"/>
    <x v="0"/>
    <x v="0"/>
    <x v="2"/>
    <x v="8"/>
    <n v="0"/>
    <n v="0"/>
    <n v="0.06"/>
    <n v="2.1000000000000001E-2"/>
    <n v="0.06"/>
    <n v="2.1000000000000001E-2"/>
    <n v="1"/>
    <x v="0"/>
    <n v="0"/>
    <n v="0"/>
    <n v="29"/>
    <n v="50"/>
    <n v="0"/>
    <n v="244.97"/>
    <n v="80.97"/>
    <m/>
    <n v="291.74910259255694"/>
    <n v="91.281099691327995"/>
    <n v="0"/>
    <n v="5.1443700000000003"/>
    <n v="1.7003700000000002"/>
    <n v="0"/>
    <n v="6.1267311544436964"/>
    <n v="1.9169030935178881"/>
  </r>
  <r>
    <s v="Regular"/>
    <x v="1"/>
    <x v="3"/>
    <x v="3"/>
    <x v="2"/>
    <x v="0"/>
    <x v="0"/>
    <x v="2"/>
    <x v="9"/>
    <n v="0"/>
    <n v="0"/>
    <n v="19.559999999999999"/>
    <n v="19.559999999999999"/>
    <n v="19.559999999999999"/>
    <n v="19.559999999999999"/>
    <n v="16"/>
    <x v="0"/>
    <n v="0"/>
    <n v="0"/>
    <n v="29"/>
    <n v="50"/>
    <n v="0"/>
    <n v="244.97"/>
    <n v="80.97"/>
    <m/>
    <n v="291.74910259255694"/>
    <n v="91.281099691327995"/>
    <n v="0"/>
    <n v="4791.6131999999998"/>
    <n v="1583.7731999999999"/>
    <n v="0"/>
    <n v="5706.6124467104137"/>
    <n v="1785.4583099623756"/>
  </r>
  <r>
    <s v="Sistema de Compensação"/>
    <x v="1"/>
    <x v="3"/>
    <x v="3"/>
    <x v="2"/>
    <x v="0"/>
    <x v="0"/>
    <x v="2"/>
    <x v="9"/>
    <n v="0"/>
    <n v="0"/>
    <n v="0.06"/>
    <n v="2.1000000000000001E-2"/>
    <n v="0.06"/>
    <n v="2.1000000000000001E-2"/>
    <n v="1"/>
    <x v="0"/>
    <n v="0"/>
    <n v="0"/>
    <n v="29"/>
    <n v="50"/>
    <n v="0"/>
    <n v="244.97"/>
    <n v="80.97"/>
    <m/>
    <n v="291.74910259255694"/>
    <n v="91.281099691327995"/>
    <n v="0"/>
    <n v="5.1443700000000003"/>
    <n v="1.7003700000000002"/>
    <n v="0"/>
    <n v="6.1267311544436964"/>
    <n v="1.9169030935178881"/>
  </r>
  <r>
    <s v="Regular"/>
    <x v="1"/>
    <x v="3"/>
    <x v="3"/>
    <x v="2"/>
    <x v="0"/>
    <x v="0"/>
    <x v="2"/>
    <x v="10"/>
    <n v="0"/>
    <n v="0"/>
    <n v="20.58"/>
    <n v="20.58"/>
    <n v="20.58"/>
    <n v="20.58"/>
    <n v="18"/>
    <x v="0"/>
    <n v="0"/>
    <n v="0"/>
    <n v="29"/>
    <n v="50"/>
    <n v="0"/>
    <n v="244.97"/>
    <n v="80.97"/>
    <m/>
    <n v="291.74910259255694"/>
    <n v="91.281099691327995"/>
    <n v="0"/>
    <n v="5041.4825999999994"/>
    <n v="1666.3625999999999"/>
    <n v="0"/>
    <n v="6004.1965313548217"/>
    <n v="1878.5650316475301"/>
  </r>
  <r>
    <s v="Sistema de Compensação"/>
    <x v="1"/>
    <x v="3"/>
    <x v="3"/>
    <x v="2"/>
    <x v="0"/>
    <x v="0"/>
    <x v="2"/>
    <x v="10"/>
    <n v="0"/>
    <n v="0"/>
    <n v="0.03"/>
    <n v="-8.9999999999999993E-3"/>
    <n v="0.03"/>
    <n v="-8.9999999999999993E-3"/>
    <n v="0"/>
    <x v="0"/>
    <n v="0"/>
    <n v="0"/>
    <n v="29"/>
    <n v="50"/>
    <n v="0"/>
    <n v="244.97"/>
    <n v="80.97"/>
    <m/>
    <n v="291.74910259255694"/>
    <n v="91.281099691327995"/>
    <n v="0"/>
    <n v="-2.2047299999999996"/>
    <n v="-0.72872999999999999"/>
    <n v="0"/>
    <n v="-2.6257419233330124"/>
    <n v="-0.82152989722195191"/>
  </r>
  <r>
    <s v="Regular"/>
    <x v="1"/>
    <x v="3"/>
    <x v="3"/>
    <x v="2"/>
    <x v="0"/>
    <x v="0"/>
    <x v="2"/>
    <x v="11"/>
    <n v="0"/>
    <n v="0"/>
    <n v="44.7"/>
    <n v="44.7"/>
    <n v="44.7"/>
    <n v="44.7"/>
    <n v="79"/>
    <x v="0"/>
    <n v="0"/>
    <n v="0"/>
    <n v="29"/>
    <n v="50"/>
    <n v="0"/>
    <n v="244.97"/>
    <n v="80.97"/>
    <m/>
    <n v="291.74910259255694"/>
    <n v="91.281099691327995"/>
    <n v="0"/>
    <n v="10950.159000000001"/>
    <n v="3619.3590000000004"/>
    <n v="0"/>
    <n v="13041.184885887296"/>
    <n v="4080.2651562023616"/>
  </r>
  <r>
    <s v="Sistema de Compensação"/>
    <x v="1"/>
    <x v="3"/>
    <x v="3"/>
    <x v="2"/>
    <x v="0"/>
    <x v="0"/>
    <x v="2"/>
    <x v="11"/>
    <n v="0"/>
    <n v="0"/>
    <n v="3.0000000000000001E-3"/>
    <n v="-8.6999999999999994E-3"/>
    <n v="3.0000000000000001E-3"/>
    <n v="-8.6999999999999994E-3"/>
    <n v="0"/>
    <x v="0"/>
    <n v="0"/>
    <n v="0"/>
    <n v="29"/>
    <n v="50"/>
    <n v="0"/>
    <n v="244.97"/>
    <n v="80.97"/>
    <m/>
    <n v="291.74910259255694"/>
    <n v="91.281099691327995"/>
    <n v="0"/>
    <n v="-2.1312389999999999"/>
    <n v="-0.70443899999999993"/>
    <n v="0"/>
    <n v="-2.538217192555245"/>
    <n v="-0.79414556731455355"/>
  </r>
  <r>
    <s v="Regular"/>
    <x v="1"/>
    <x v="3"/>
    <x v="3"/>
    <x v="3"/>
    <x v="0"/>
    <x v="0"/>
    <x v="2"/>
    <x v="0"/>
    <n v="0"/>
    <n v="0"/>
    <n v="26.719000000000001"/>
    <n v="26.719000000000001"/>
    <n v="26.719000000000001"/>
    <n v="26.719000000000001"/>
    <n v="71"/>
    <x v="0"/>
    <n v="0"/>
    <n v="0"/>
    <n v="30"/>
    <n v="51"/>
    <n v="0"/>
    <n v="419.95"/>
    <n v="138.80000000000001"/>
    <m/>
    <n v="500.14131873009762"/>
    <n v="156.48188518513371"/>
    <n v="0"/>
    <n v="11220.644050000001"/>
    <n v="3708.5972000000006"/>
    <n v="0"/>
    <n v="13363.27589514948"/>
    <n v="4181.0394902615881"/>
  </r>
  <r>
    <s v="Regular"/>
    <x v="1"/>
    <x v="3"/>
    <x v="3"/>
    <x v="3"/>
    <x v="0"/>
    <x v="0"/>
    <x v="2"/>
    <x v="1"/>
    <n v="0"/>
    <n v="0"/>
    <n v="23.943999999999999"/>
    <n v="23.943999999999999"/>
    <n v="23.943999999999999"/>
    <n v="23.943999999999999"/>
    <n v="91"/>
    <x v="0"/>
    <n v="0"/>
    <n v="0"/>
    <n v="30"/>
    <n v="51"/>
    <n v="0"/>
    <n v="419.95"/>
    <n v="138.80000000000001"/>
    <m/>
    <n v="500.14131873009762"/>
    <n v="156.48188518513371"/>
    <n v="0"/>
    <n v="10055.282799999999"/>
    <n v="3323.4272000000001"/>
    <n v="0"/>
    <n v="11975.383735673457"/>
    <n v="3746.8022588728413"/>
  </r>
  <r>
    <s v="Refaturamento - Regular"/>
    <x v="1"/>
    <x v="3"/>
    <x v="3"/>
    <x v="3"/>
    <x v="0"/>
    <x v="0"/>
    <x v="2"/>
    <x v="1"/>
    <n v="0"/>
    <n v="0"/>
    <n v="2.4630000000000001"/>
    <n v="2.4630000000000001"/>
    <n v="2.4630000000000001"/>
    <n v="2.4630000000000001"/>
    <n v="0"/>
    <x v="0"/>
    <n v="0"/>
    <n v="0"/>
    <n v="30"/>
    <n v="51"/>
    <n v="0"/>
    <n v="419.95"/>
    <n v="138.80000000000001"/>
    <m/>
    <n v="500.14131873009762"/>
    <n v="156.48188518513371"/>
    <n v="0"/>
    <n v="1034.3368499999999"/>
    <n v="341.86440000000005"/>
    <n v="0"/>
    <n v="1231.8480680322305"/>
    <n v="385.41488321098433"/>
  </r>
  <r>
    <s v="Regular"/>
    <x v="1"/>
    <x v="3"/>
    <x v="3"/>
    <x v="3"/>
    <x v="0"/>
    <x v="0"/>
    <x v="2"/>
    <x v="2"/>
    <n v="0"/>
    <n v="0"/>
    <n v="28.617999999999999"/>
    <n v="28.617999999999999"/>
    <n v="28.617999999999999"/>
    <n v="28.617999999999999"/>
    <n v="113"/>
    <x v="0"/>
    <n v="0"/>
    <n v="0"/>
    <n v="30"/>
    <n v="51"/>
    <n v="0"/>
    <n v="419.95"/>
    <n v="138.80000000000001"/>
    <m/>
    <n v="500.14131873009762"/>
    <n v="156.48188518513371"/>
    <n v="0"/>
    <n v="12018.129099999998"/>
    <n v="3972.1784000000002"/>
    <n v="0"/>
    <n v="14313.044259417933"/>
    <n v="4478.1985902281558"/>
  </r>
  <r>
    <s v="Refaturamento - Regular"/>
    <x v="1"/>
    <x v="3"/>
    <x v="3"/>
    <x v="3"/>
    <x v="0"/>
    <x v="0"/>
    <x v="2"/>
    <x v="2"/>
    <n v="0"/>
    <n v="0"/>
    <n v="0.66700000000000004"/>
    <n v="0.66700000000000004"/>
    <n v="0.66700000000000004"/>
    <n v="0.66700000000000004"/>
    <n v="0"/>
    <x v="0"/>
    <n v="0"/>
    <n v="0"/>
    <n v="30"/>
    <n v="51"/>
    <n v="0"/>
    <n v="419.95"/>
    <n v="138.80000000000001"/>
    <m/>
    <n v="500.14131873009762"/>
    <n v="156.48188518513371"/>
    <n v="0"/>
    <n v="280.10665"/>
    <n v="92.579600000000013"/>
    <n v="0"/>
    <n v="333.59425959297511"/>
    <n v="104.37341741848418"/>
  </r>
  <r>
    <s v="Regular"/>
    <x v="1"/>
    <x v="3"/>
    <x v="3"/>
    <x v="3"/>
    <x v="0"/>
    <x v="0"/>
    <x v="2"/>
    <x v="3"/>
    <n v="0"/>
    <n v="0"/>
    <n v="28.423999999999999"/>
    <n v="28.423999999999999"/>
    <n v="28.423999999999999"/>
    <n v="28.423999999999999"/>
    <n v="169"/>
    <x v="0"/>
    <n v="0"/>
    <n v="0"/>
    <n v="30"/>
    <n v="51"/>
    <n v="0"/>
    <n v="419.95"/>
    <n v="138.80000000000001"/>
    <m/>
    <n v="500.14131873009762"/>
    <n v="156.48188518513371"/>
    <n v="0"/>
    <n v="11936.658799999999"/>
    <n v="3945.2512000000002"/>
    <n v="0"/>
    <n v="14216.016843584295"/>
    <n v="4447.8411045022403"/>
  </r>
  <r>
    <s v="Regular"/>
    <x v="1"/>
    <x v="3"/>
    <x v="3"/>
    <x v="3"/>
    <x v="0"/>
    <x v="0"/>
    <x v="2"/>
    <x v="4"/>
    <n v="0"/>
    <n v="0"/>
    <n v="29.297999999999998"/>
    <n v="29.297999999999998"/>
    <n v="29.297999999999998"/>
    <n v="29.297999999999998"/>
    <n v="179"/>
    <x v="0"/>
    <n v="0"/>
    <n v="0"/>
    <n v="30"/>
    <n v="51"/>
    <n v="0"/>
    <n v="419.95"/>
    <n v="138.80000000000001"/>
    <m/>
    <n v="500.14131873009762"/>
    <n v="156.48188518513371"/>
    <n v="0"/>
    <n v="12303.695099999999"/>
    <n v="4066.5624000000003"/>
    <n v="0"/>
    <n v="14653.140356154399"/>
    <n v="4584.6062721540475"/>
  </r>
  <r>
    <s v="Regular"/>
    <x v="1"/>
    <x v="3"/>
    <x v="3"/>
    <x v="3"/>
    <x v="0"/>
    <x v="0"/>
    <x v="2"/>
    <x v="5"/>
    <n v="0"/>
    <n v="0"/>
    <n v="31.83"/>
    <n v="31.83"/>
    <n v="31.83"/>
    <n v="31.83"/>
    <n v="110"/>
    <x v="0"/>
    <n v="0"/>
    <n v="0"/>
    <n v="30"/>
    <n v="51"/>
    <n v="0"/>
    <n v="419.95"/>
    <n v="138.80000000000001"/>
    <m/>
    <n v="500.14131873009762"/>
    <n v="156.48188518513371"/>
    <n v="0"/>
    <n v="13367.008499999998"/>
    <n v="4418.0039999999999"/>
    <n v="0"/>
    <n v="15919.498175179007"/>
    <n v="4980.8184054428057"/>
  </r>
  <r>
    <s v="Regular"/>
    <x v="1"/>
    <x v="3"/>
    <x v="3"/>
    <x v="3"/>
    <x v="0"/>
    <x v="0"/>
    <x v="2"/>
    <x v="6"/>
    <n v="0"/>
    <n v="0"/>
    <n v="34.856999999999999"/>
    <n v="34.856999999999999"/>
    <n v="34.856999999999999"/>
    <n v="34.856999999999999"/>
    <n v="135"/>
    <x v="0"/>
    <n v="0"/>
    <n v="0"/>
    <n v="30"/>
    <n v="51"/>
    <n v="0"/>
    <n v="419.95"/>
    <n v="138.80000000000001"/>
    <m/>
    <n v="500.14131873009762"/>
    <n v="156.48188518513371"/>
    <n v="0"/>
    <n v="14638.19715"/>
    <n v="4838.1516000000001"/>
    <n v="0"/>
    <n v="17433.425946975014"/>
    <n v="5454.4890718982051"/>
  </r>
  <r>
    <s v="Regular"/>
    <x v="1"/>
    <x v="3"/>
    <x v="3"/>
    <x v="3"/>
    <x v="0"/>
    <x v="0"/>
    <x v="2"/>
    <x v="7"/>
    <n v="0"/>
    <n v="0"/>
    <n v="36.473999999999997"/>
    <n v="36.473999999999997"/>
    <n v="36.473999999999997"/>
    <n v="36.473999999999997"/>
    <n v="141"/>
    <x v="0"/>
    <n v="0"/>
    <n v="0"/>
    <n v="30"/>
    <n v="51"/>
    <n v="0"/>
    <n v="419.95"/>
    <n v="138.80000000000001"/>
    <m/>
    <n v="500.14131873009762"/>
    <n v="156.48188518513371"/>
    <n v="0"/>
    <n v="15317.256299999997"/>
    <n v="5062.5911999999998"/>
    <n v="0"/>
    <n v="18242.15445936158"/>
    <n v="5707.5202802425665"/>
  </r>
  <r>
    <s v="Sistema de Compensação"/>
    <x v="1"/>
    <x v="3"/>
    <x v="3"/>
    <x v="3"/>
    <x v="0"/>
    <x v="0"/>
    <x v="2"/>
    <x v="7"/>
    <n v="0"/>
    <n v="0"/>
    <n v="3.7999999999999999E-2"/>
    <n v="2.2800000000000001E-2"/>
    <n v="3.7999999999999999E-2"/>
    <n v="2.2800000000000001E-2"/>
    <n v="1"/>
    <x v="0"/>
    <n v="0"/>
    <n v="0"/>
    <n v="30"/>
    <n v="51"/>
    <n v="0"/>
    <n v="419.95"/>
    <n v="138.80000000000001"/>
    <m/>
    <n v="500.14131873009762"/>
    <n v="156.48188518513371"/>
    <n v="0"/>
    <n v="9.5748599999999993"/>
    <n v="3.1646400000000003"/>
    <n v="0"/>
    <n v="11.403222067046226"/>
    <n v="3.5677869822210488"/>
  </r>
  <r>
    <s v="Regular"/>
    <x v="1"/>
    <x v="3"/>
    <x v="3"/>
    <x v="3"/>
    <x v="0"/>
    <x v="0"/>
    <x v="2"/>
    <x v="8"/>
    <n v="0"/>
    <n v="0"/>
    <n v="39.247999999999998"/>
    <n v="39.247999999999998"/>
    <n v="39.247999999999998"/>
    <n v="39.247999999999998"/>
    <n v="129"/>
    <x v="0"/>
    <n v="0"/>
    <n v="0"/>
    <n v="30"/>
    <n v="51"/>
    <n v="0"/>
    <n v="419.95"/>
    <n v="138.80000000000001"/>
    <m/>
    <n v="500.14131873009762"/>
    <n v="156.48188518513371"/>
    <n v="0"/>
    <n v="16482.1976"/>
    <n v="5447.6224000000002"/>
    <n v="0"/>
    <n v="19629.54647751887"/>
    <n v="6141.6010297461271"/>
  </r>
  <r>
    <s v="Sistema de Compensação"/>
    <x v="1"/>
    <x v="3"/>
    <x v="3"/>
    <x v="3"/>
    <x v="0"/>
    <x v="0"/>
    <x v="2"/>
    <x v="8"/>
    <n v="0"/>
    <n v="0"/>
    <n v="0.02"/>
    <n v="1.2E-2"/>
    <n v="0.02"/>
    <n v="1.2E-2"/>
    <n v="1"/>
    <x v="0"/>
    <n v="0"/>
    <n v="0"/>
    <n v="30"/>
    <n v="51"/>
    <n v="0"/>
    <n v="419.95"/>
    <n v="138.80000000000001"/>
    <m/>
    <n v="500.14131873009762"/>
    <n v="156.48188518513371"/>
    <n v="0"/>
    <n v="5.0393999999999997"/>
    <n v="1.6656000000000002"/>
    <n v="0"/>
    <n v="6.001695824761172"/>
    <n v="1.8777826222216045"/>
  </r>
  <r>
    <s v="Regular"/>
    <x v="1"/>
    <x v="3"/>
    <x v="3"/>
    <x v="3"/>
    <x v="0"/>
    <x v="0"/>
    <x v="2"/>
    <x v="9"/>
    <n v="0"/>
    <n v="0"/>
    <n v="41.478000000000002"/>
    <n v="41.478000000000002"/>
    <n v="41.478000000000002"/>
    <n v="41.478000000000002"/>
    <n v="113"/>
    <x v="0"/>
    <n v="0"/>
    <n v="0"/>
    <n v="30"/>
    <n v="51"/>
    <n v="0"/>
    <n v="419.95"/>
    <n v="138.80000000000001"/>
    <m/>
    <n v="500.14131873009762"/>
    <n v="156.48188518513371"/>
    <n v="0"/>
    <n v="17418.686099999999"/>
    <n v="5757.1464000000005"/>
    <n v="0"/>
    <n v="20744.861618286988"/>
    <n v="6490.5556337089765"/>
  </r>
  <r>
    <s v="Sistema de Compensação"/>
    <x v="1"/>
    <x v="3"/>
    <x v="3"/>
    <x v="3"/>
    <x v="0"/>
    <x v="0"/>
    <x v="2"/>
    <x v="9"/>
    <n v="0"/>
    <n v="0"/>
    <n v="0.02"/>
    <n v="1.2E-2"/>
    <n v="0.02"/>
    <n v="1.2E-2"/>
    <n v="1"/>
    <x v="0"/>
    <n v="0"/>
    <n v="0"/>
    <n v="30"/>
    <n v="51"/>
    <n v="0"/>
    <n v="419.95"/>
    <n v="138.80000000000001"/>
    <m/>
    <n v="500.14131873009762"/>
    <n v="156.48188518513371"/>
    <n v="0"/>
    <n v="5.0393999999999997"/>
    <n v="1.6656000000000002"/>
    <n v="0"/>
    <n v="6.001695824761172"/>
    <n v="1.8777826222216045"/>
  </r>
  <r>
    <s v="Regular"/>
    <x v="1"/>
    <x v="3"/>
    <x v="3"/>
    <x v="3"/>
    <x v="0"/>
    <x v="0"/>
    <x v="2"/>
    <x v="10"/>
    <n v="0"/>
    <n v="0"/>
    <n v="44.061999999999998"/>
    <n v="44.061999999999998"/>
    <n v="44.061999999999998"/>
    <n v="44.061999999999998"/>
    <n v="107"/>
    <x v="0"/>
    <n v="0"/>
    <n v="0"/>
    <n v="30"/>
    <n v="51"/>
    <n v="0"/>
    <n v="419.95"/>
    <n v="138.80000000000001"/>
    <m/>
    <n v="500.14131873009762"/>
    <n v="156.48188518513371"/>
    <n v="0"/>
    <n v="18503.836899999998"/>
    <n v="6115.8056000000006"/>
    <n v="0"/>
    <n v="22037.226785885559"/>
    <n v="6894.9048250273609"/>
  </r>
  <r>
    <s v="Regular"/>
    <x v="1"/>
    <x v="3"/>
    <x v="3"/>
    <x v="3"/>
    <x v="0"/>
    <x v="0"/>
    <x v="2"/>
    <x v="11"/>
    <n v="0"/>
    <n v="0"/>
    <n v="89.213999999999999"/>
    <n v="89.213999999999999"/>
    <n v="89.213999999999999"/>
    <n v="89.213999999999999"/>
    <n v="351"/>
    <x v="0"/>
    <n v="0"/>
    <n v="0"/>
    <n v="30"/>
    <n v="51"/>
    <n v="0"/>
    <n v="419.95"/>
    <n v="138.80000000000001"/>
    <m/>
    <n v="500.14131873009762"/>
    <n v="156.48188518513371"/>
    <n v="0"/>
    <n v="37465.419300000001"/>
    <n v="12382.903200000001"/>
    <n v="0"/>
    <n v="44619.607609186925"/>
    <n v="13960.374904906519"/>
  </r>
  <r>
    <s v="Refaturamento - Regular"/>
    <x v="1"/>
    <x v="3"/>
    <x v="3"/>
    <x v="3"/>
    <x v="0"/>
    <x v="0"/>
    <x v="2"/>
    <x v="11"/>
    <n v="0"/>
    <n v="0"/>
    <n v="7.0000000000000007E-2"/>
    <n v="7.0000000000000007E-2"/>
    <n v="7.0000000000000007E-2"/>
    <n v="7.0000000000000007E-2"/>
    <n v="0"/>
    <x v="0"/>
    <n v="0"/>
    <n v="0"/>
    <n v="30"/>
    <n v="51"/>
    <n v="0"/>
    <n v="419.95"/>
    <n v="138.80000000000001"/>
    <m/>
    <n v="500.14131873009762"/>
    <n v="156.48188518513371"/>
    <n v="0"/>
    <n v="29.396500000000003"/>
    <n v="9.7160000000000011"/>
    <n v="0"/>
    <n v="35.009892311106839"/>
    <n v="10.95373196295936"/>
  </r>
  <r>
    <s v="Regular"/>
    <x v="1"/>
    <x v="3"/>
    <x v="3"/>
    <x v="4"/>
    <x v="0"/>
    <x v="0"/>
    <x v="2"/>
    <x v="0"/>
    <n v="0"/>
    <n v="0"/>
    <n v="25.067"/>
    <n v="25.067"/>
    <n v="25.067"/>
    <n v="25.067"/>
    <n v="238"/>
    <x v="0"/>
    <n v="0"/>
    <n v="0"/>
    <n v="31"/>
    <n v="46"/>
    <n v="0"/>
    <n v="629.91999999999996"/>
    <n v="208.2"/>
    <m/>
    <n v="750.21197809514649"/>
    <n v="234.72282777770056"/>
    <n v="0"/>
    <n v="15790.20464"/>
    <n v="5218.9493999999995"/>
    <n v="0"/>
    <n v="18805.563654911039"/>
    <n v="5883.7971239036196"/>
  </r>
  <r>
    <s v="Sistema de Compensação"/>
    <x v="1"/>
    <x v="3"/>
    <x v="3"/>
    <x v="4"/>
    <x v="0"/>
    <x v="0"/>
    <x v="2"/>
    <x v="0"/>
    <n v="0"/>
    <n v="0"/>
    <n v="0.122"/>
    <n v="0.122"/>
    <n v="0.122"/>
    <n v="0.122"/>
    <n v="1"/>
    <x v="0"/>
    <n v="0"/>
    <n v="0"/>
    <n v="31"/>
    <n v="46"/>
    <n v="0"/>
    <n v="629.91999999999996"/>
    <n v="208.2"/>
    <m/>
    <n v="750.21197809514649"/>
    <n v="234.72282777770056"/>
    <n v="0"/>
    <n v="76.850239999999999"/>
    <n v="25.400399999999998"/>
    <n v="0"/>
    <n v="91.525861327607871"/>
    <n v="28.636184988879467"/>
  </r>
  <r>
    <s v="Regular"/>
    <x v="1"/>
    <x v="3"/>
    <x v="3"/>
    <x v="4"/>
    <x v="0"/>
    <x v="0"/>
    <x v="2"/>
    <x v="1"/>
    <n v="0"/>
    <n v="0"/>
    <n v="17.866"/>
    <n v="17.866"/>
    <n v="17.866"/>
    <n v="17.866"/>
    <n v="234"/>
    <x v="0"/>
    <n v="0"/>
    <n v="0"/>
    <n v="31"/>
    <n v="46"/>
    <n v="0"/>
    <n v="629.91999999999996"/>
    <n v="208.2"/>
    <m/>
    <n v="750.21197809514649"/>
    <n v="234.72282777770056"/>
    <n v="0"/>
    <n v="11254.15072"/>
    <n v="3719.7011999999995"/>
    <n v="0"/>
    <n v="13403.287200647886"/>
    <n v="4193.5580410763978"/>
  </r>
  <r>
    <s v="Refaturamento - Regular"/>
    <x v="1"/>
    <x v="3"/>
    <x v="3"/>
    <x v="4"/>
    <x v="0"/>
    <x v="0"/>
    <x v="2"/>
    <x v="1"/>
    <n v="0"/>
    <n v="0"/>
    <n v="2.2650000000000001"/>
    <n v="2.2650000000000001"/>
    <n v="2.2650000000000001"/>
    <n v="2.2650000000000001"/>
    <n v="0"/>
    <x v="0"/>
    <n v="0"/>
    <n v="0"/>
    <n v="31"/>
    <n v="46"/>
    <n v="0"/>
    <n v="629.91999999999996"/>
    <n v="208.2"/>
    <m/>
    <n v="750.21197809514649"/>
    <n v="234.72282777770056"/>
    <n v="0"/>
    <n v="1426.7688000000001"/>
    <n v="471.57299999999998"/>
    <n v="0"/>
    <n v="1699.230130385507"/>
    <n v="531.64720491649177"/>
  </r>
  <r>
    <s v="Regular"/>
    <x v="1"/>
    <x v="3"/>
    <x v="3"/>
    <x v="4"/>
    <x v="0"/>
    <x v="0"/>
    <x v="2"/>
    <x v="2"/>
    <n v="0"/>
    <n v="0"/>
    <n v="20.646000000000001"/>
    <n v="20.646000000000001"/>
    <n v="20.646000000000001"/>
    <n v="20.646000000000001"/>
    <n v="278"/>
    <x v="0"/>
    <n v="0"/>
    <n v="0"/>
    <n v="31"/>
    <n v="46"/>
    <n v="0"/>
    <n v="629.91999999999996"/>
    <n v="208.2"/>
    <m/>
    <n v="750.21197809514649"/>
    <n v="234.72282777770056"/>
    <n v="0"/>
    <n v="13005.328320000001"/>
    <n v="4298.4971999999998"/>
    <n v="0"/>
    <n v="15488.876499752396"/>
    <n v="4846.0875022984055"/>
  </r>
  <r>
    <s v="Refaturamento - Regular"/>
    <x v="1"/>
    <x v="3"/>
    <x v="3"/>
    <x v="4"/>
    <x v="0"/>
    <x v="0"/>
    <x v="2"/>
    <x v="2"/>
    <n v="0"/>
    <n v="0"/>
    <n v="0.59499999999999997"/>
    <n v="0.59499999999999997"/>
    <n v="0.59499999999999997"/>
    <n v="0.59499999999999997"/>
    <n v="0"/>
    <x v="0"/>
    <n v="0"/>
    <n v="0"/>
    <n v="31"/>
    <n v="46"/>
    <n v="0"/>
    <n v="629.91999999999996"/>
    <n v="208.2"/>
    <m/>
    <n v="750.21197809514649"/>
    <n v="234.72282777770056"/>
    <n v="0"/>
    <n v="374.80239999999998"/>
    <n v="123.87899999999999"/>
    <n v="0"/>
    <n v="446.37612696661216"/>
    <n v="139.66008252773182"/>
  </r>
  <r>
    <s v="Regular"/>
    <x v="1"/>
    <x v="3"/>
    <x v="3"/>
    <x v="4"/>
    <x v="0"/>
    <x v="0"/>
    <x v="2"/>
    <x v="3"/>
    <n v="0"/>
    <n v="0"/>
    <n v="16.478999999999999"/>
    <n v="16.478999999999999"/>
    <n v="16.478999999999999"/>
    <n v="16.478999999999999"/>
    <n v="262"/>
    <x v="0"/>
    <n v="0"/>
    <n v="0"/>
    <n v="31"/>
    <n v="46"/>
    <n v="0"/>
    <n v="629.91999999999996"/>
    <n v="208.2"/>
    <m/>
    <n v="750.21197809514649"/>
    <n v="234.72282777770056"/>
    <n v="0"/>
    <n v="10380.451679999998"/>
    <n v="3430.9277999999995"/>
    <n v="0"/>
    <n v="12362.743187029919"/>
    <n v="3867.9974789487273"/>
  </r>
  <r>
    <s v="Regular"/>
    <x v="1"/>
    <x v="3"/>
    <x v="3"/>
    <x v="4"/>
    <x v="0"/>
    <x v="0"/>
    <x v="2"/>
    <x v="4"/>
    <n v="0"/>
    <n v="0"/>
    <n v="17.085999999999999"/>
    <n v="17.085999999999999"/>
    <n v="17.085999999999999"/>
    <n v="17.085999999999999"/>
    <n v="262"/>
    <x v="0"/>
    <n v="0"/>
    <n v="0"/>
    <n v="31"/>
    <n v="46"/>
    <n v="0"/>
    <n v="629.91999999999996"/>
    <n v="208.2"/>
    <m/>
    <n v="750.21197809514649"/>
    <n v="234.72282777770056"/>
    <n v="0"/>
    <n v="10762.813119999999"/>
    <n v="3557.3051999999993"/>
    <n v="0"/>
    <n v="12818.121857733671"/>
    <n v="4010.4742354097916"/>
  </r>
  <r>
    <s v="Sistema de Compensação"/>
    <x v="1"/>
    <x v="3"/>
    <x v="3"/>
    <x v="4"/>
    <x v="0"/>
    <x v="0"/>
    <x v="2"/>
    <x v="4"/>
    <n v="0"/>
    <n v="0"/>
    <n v="0.03"/>
    <n v="0.03"/>
    <n v="0.03"/>
    <n v="0.03"/>
    <n v="1"/>
    <x v="0"/>
    <n v="0"/>
    <n v="0"/>
    <n v="31"/>
    <n v="46"/>
    <n v="0"/>
    <n v="629.91999999999996"/>
    <n v="208.2"/>
    <m/>
    <n v="750.21197809514649"/>
    <n v="234.72282777770056"/>
    <n v="0"/>
    <n v="18.897599999999997"/>
    <n v="6.2459999999999996"/>
    <n v="0"/>
    <n v="22.506359342854395"/>
    <n v="7.0416848333310167"/>
  </r>
  <r>
    <s v="Regular"/>
    <x v="1"/>
    <x v="3"/>
    <x v="3"/>
    <x v="4"/>
    <x v="0"/>
    <x v="0"/>
    <x v="2"/>
    <x v="5"/>
    <n v="0"/>
    <n v="0"/>
    <n v="25.048999999999999"/>
    <n v="25.048999999999999"/>
    <n v="25.048999999999999"/>
    <n v="25.048999999999999"/>
    <n v="303"/>
    <x v="0"/>
    <n v="0"/>
    <n v="0"/>
    <n v="31"/>
    <n v="46"/>
    <n v="0"/>
    <n v="629.91999999999996"/>
    <n v="208.2"/>
    <m/>
    <n v="750.21197809514649"/>
    <n v="234.72282777770056"/>
    <n v="0"/>
    <n v="15778.866079999998"/>
    <n v="5215.2017999999998"/>
    <n v="0"/>
    <n v="18792.059839305322"/>
    <n v="5879.5721130036209"/>
  </r>
  <r>
    <s v="Regular"/>
    <x v="1"/>
    <x v="3"/>
    <x v="3"/>
    <x v="4"/>
    <x v="0"/>
    <x v="0"/>
    <x v="2"/>
    <x v="6"/>
    <n v="0"/>
    <n v="0"/>
    <n v="25.533000000000001"/>
    <n v="25.533000000000001"/>
    <n v="25.533000000000001"/>
    <n v="25.533000000000001"/>
    <n v="343"/>
    <x v="0"/>
    <n v="0"/>
    <n v="0"/>
    <n v="31"/>
    <n v="46"/>
    <n v="0"/>
    <n v="629.91999999999996"/>
    <n v="208.2"/>
    <m/>
    <n v="750.21197809514649"/>
    <n v="234.72282777770056"/>
    <n v="0"/>
    <n v="16083.747359999999"/>
    <n v="5315.9705999999996"/>
    <n v="0"/>
    <n v="19155.162436703376"/>
    <n v="5993.1779616480289"/>
  </r>
  <r>
    <s v="Regular"/>
    <x v="1"/>
    <x v="3"/>
    <x v="3"/>
    <x v="4"/>
    <x v="0"/>
    <x v="0"/>
    <x v="2"/>
    <x v="7"/>
    <n v="0"/>
    <n v="0"/>
    <n v="26.920999999999999"/>
    <n v="26.920999999999999"/>
    <n v="26.920999999999999"/>
    <n v="26.920999999999999"/>
    <n v="352"/>
    <x v="0"/>
    <n v="0"/>
    <n v="0"/>
    <n v="31"/>
    <n v="46"/>
    <n v="0"/>
    <n v="629.91999999999996"/>
    <n v="208.2"/>
    <m/>
    <n v="750.21197809514649"/>
    <n v="234.72282777770056"/>
    <n v="0"/>
    <n v="16958.07632"/>
    <n v="5604.9521999999997"/>
    <n v="0"/>
    <n v="20196.456662299439"/>
    <n v="6318.9732466034766"/>
  </r>
  <r>
    <s v="Regular"/>
    <x v="1"/>
    <x v="3"/>
    <x v="3"/>
    <x v="4"/>
    <x v="0"/>
    <x v="0"/>
    <x v="2"/>
    <x v="8"/>
    <n v="0"/>
    <n v="0"/>
    <n v="30.305"/>
    <n v="30.305"/>
    <n v="30.305"/>
    <n v="30.305"/>
    <n v="388"/>
    <x v="0"/>
    <n v="0"/>
    <n v="0"/>
    <n v="31"/>
    <n v="46"/>
    <n v="0"/>
    <n v="629.91999999999996"/>
    <n v="208.2"/>
    <m/>
    <n v="750.21197809514649"/>
    <n v="234.72282777770056"/>
    <n v="0"/>
    <n v="19089.725599999998"/>
    <n v="6309.5009999999993"/>
    <n v="0"/>
    <n v="22735.173996173413"/>
    <n v="7113.2752958032152"/>
  </r>
  <r>
    <s v="Regular"/>
    <x v="1"/>
    <x v="3"/>
    <x v="3"/>
    <x v="4"/>
    <x v="0"/>
    <x v="0"/>
    <x v="2"/>
    <x v="9"/>
    <n v="0"/>
    <n v="0"/>
    <n v="38.073"/>
    <n v="38.073"/>
    <n v="38.073"/>
    <n v="38.073"/>
    <n v="382"/>
    <x v="0"/>
    <n v="0"/>
    <n v="0"/>
    <n v="31"/>
    <n v="46"/>
    <n v="0"/>
    <n v="629.91999999999996"/>
    <n v="208.2"/>
    <m/>
    <n v="750.21197809514649"/>
    <n v="234.72282777770056"/>
    <n v="0"/>
    <n v="23982.944159999999"/>
    <n v="7926.7986000000001"/>
    <n v="0"/>
    <n v="28562.820642016512"/>
    <n v="8936.6022219803926"/>
  </r>
  <r>
    <s v="Regular"/>
    <x v="1"/>
    <x v="3"/>
    <x v="3"/>
    <x v="4"/>
    <x v="0"/>
    <x v="0"/>
    <x v="2"/>
    <x v="10"/>
    <n v="0"/>
    <n v="0"/>
    <n v="44.082000000000001"/>
    <n v="44.082000000000001"/>
    <n v="44.082000000000001"/>
    <n v="44.082000000000001"/>
    <n v="375"/>
    <x v="0"/>
    <n v="0"/>
    <n v="0"/>
    <n v="31"/>
    <n v="46"/>
    <n v="0"/>
    <n v="629.91999999999996"/>
    <n v="208.2"/>
    <m/>
    <n v="750.21197809514649"/>
    <n v="234.72282777770056"/>
    <n v="0"/>
    <n v="27768.133439999998"/>
    <n v="9177.8724000000002"/>
    <n v="0"/>
    <n v="33070.844418390247"/>
    <n v="10347.051694096595"/>
  </r>
  <r>
    <s v="Regular"/>
    <x v="1"/>
    <x v="3"/>
    <x v="3"/>
    <x v="4"/>
    <x v="0"/>
    <x v="0"/>
    <x v="2"/>
    <x v="11"/>
    <n v="0"/>
    <n v="0"/>
    <n v="75.691999999999993"/>
    <n v="75.691999999999993"/>
    <n v="75.691999999999993"/>
    <n v="75.691999999999993"/>
    <n v="791"/>
    <x v="0"/>
    <n v="0"/>
    <n v="0"/>
    <n v="31"/>
    <n v="46"/>
    <n v="0"/>
    <n v="629.91999999999996"/>
    <n v="208.2"/>
    <m/>
    <n v="750.21197809514649"/>
    <n v="234.72282777770056"/>
    <n v="0"/>
    <n v="47679.904639999993"/>
    <n v="15759.074399999998"/>
    <n v="0"/>
    <n v="56785.045045977822"/>
    <n v="17766.64028014971"/>
  </r>
  <r>
    <s v="Refaturamento - Regular"/>
    <x v="1"/>
    <x v="3"/>
    <x v="3"/>
    <x v="4"/>
    <x v="0"/>
    <x v="0"/>
    <x v="2"/>
    <x v="11"/>
    <n v="0"/>
    <n v="0"/>
    <n v="0.115"/>
    <n v="0.115"/>
    <n v="0.115"/>
    <n v="0.115"/>
    <n v="0"/>
    <x v="0"/>
    <n v="0"/>
    <n v="0"/>
    <n v="31"/>
    <n v="46"/>
    <n v="0"/>
    <n v="629.91999999999996"/>
    <n v="208.2"/>
    <m/>
    <n v="750.21197809514649"/>
    <n v="234.72282777770056"/>
    <n v="0"/>
    <n v="72.440799999999996"/>
    <n v="23.943000000000001"/>
    <n v="0"/>
    <n v="86.274377480941851"/>
    <n v="26.993125194435564"/>
  </r>
  <r>
    <s v="Regular"/>
    <x v="1"/>
    <x v="3"/>
    <x v="3"/>
    <x v="5"/>
    <x v="0"/>
    <x v="0"/>
    <x v="2"/>
    <x v="0"/>
    <n v="0"/>
    <n v="0"/>
    <n v="7.2460000000000004"/>
    <n v="7.2460000000000004"/>
    <n v="7.2460000000000004"/>
    <n v="7.2460000000000004"/>
    <n v="95"/>
    <x v="0"/>
    <n v="0"/>
    <n v="0"/>
    <n v="32"/>
    <n v="47"/>
    <n v="0"/>
    <n v="699.91"/>
    <n v="231.33"/>
    <m/>
    <n v="833.56886455016274"/>
    <n v="260.80314197522284"/>
    <n v="0"/>
    <n v="5071.5478599999997"/>
    <n v="1676.2171800000001"/>
    <n v="0"/>
    <n v="6040.03999253048"/>
    <n v="1889.7795667524649"/>
  </r>
  <r>
    <s v="Regular"/>
    <x v="1"/>
    <x v="3"/>
    <x v="3"/>
    <x v="5"/>
    <x v="0"/>
    <x v="0"/>
    <x v="2"/>
    <x v="1"/>
    <n v="0"/>
    <n v="0"/>
    <n v="3.1480000000000001"/>
    <n v="3.1480000000000001"/>
    <n v="3.1480000000000001"/>
    <n v="3.1480000000000001"/>
    <n v="52"/>
    <x v="0"/>
    <n v="0"/>
    <n v="0"/>
    <n v="32"/>
    <n v="47"/>
    <n v="0"/>
    <n v="699.91"/>
    <n v="231.33"/>
    <m/>
    <n v="833.56886455016274"/>
    <n v="260.80314197522284"/>
    <n v="0"/>
    <n v="2203.3166799999999"/>
    <n v="728.22684000000004"/>
    <n v="0"/>
    <n v="2624.0747856039125"/>
    <n v="821.00829093800155"/>
  </r>
  <r>
    <s v="Refaturamento - Regular"/>
    <x v="1"/>
    <x v="3"/>
    <x v="3"/>
    <x v="5"/>
    <x v="0"/>
    <x v="0"/>
    <x v="2"/>
    <x v="1"/>
    <n v="0"/>
    <n v="0"/>
    <n v="0.379"/>
    <n v="0.379"/>
    <n v="0.379"/>
    <n v="0.379"/>
    <n v="0"/>
    <x v="0"/>
    <n v="0"/>
    <n v="0"/>
    <n v="32"/>
    <n v="47"/>
    <n v="0"/>
    <n v="699.91"/>
    <n v="231.33"/>
    <m/>
    <n v="833.56886455016274"/>
    <n v="260.80314197522284"/>
    <n v="0"/>
    <n v="265.26589000000001"/>
    <n v="87.67407"/>
    <n v="0"/>
    <n v="315.92259966451167"/>
    <n v="98.844390808609461"/>
  </r>
  <r>
    <s v="Regular"/>
    <x v="1"/>
    <x v="3"/>
    <x v="3"/>
    <x v="5"/>
    <x v="0"/>
    <x v="0"/>
    <x v="2"/>
    <x v="2"/>
    <n v="0"/>
    <n v="0"/>
    <n v="3.1019999999999999"/>
    <n v="3.1019999999999999"/>
    <n v="3.1019999999999999"/>
    <n v="3.1019999999999999"/>
    <n v="59"/>
    <x v="0"/>
    <n v="0"/>
    <n v="0"/>
    <n v="32"/>
    <n v="47"/>
    <n v="0"/>
    <n v="699.91"/>
    <n v="231.33"/>
    <m/>
    <n v="833.56886455016274"/>
    <n v="260.80314197522284"/>
    <n v="0"/>
    <n v="2171.1208199999996"/>
    <n v="717.58565999999996"/>
    <n v="0"/>
    <n v="2585.7306178346048"/>
    <n v="809.01134640714122"/>
  </r>
  <r>
    <s v="Refaturamento - Regular"/>
    <x v="1"/>
    <x v="3"/>
    <x v="3"/>
    <x v="5"/>
    <x v="0"/>
    <x v="0"/>
    <x v="2"/>
    <x v="2"/>
    <n v="0"/>
    <n v="0"/>
    <n v="0.26600000000000001"/>
    <n v="0.26600000000000001"/>
    <n v="0.26600000000000001"/>
    <n v="0.26600000000000001"/>
    <n v="0"/>
    <x v="0"/>
    <n v="0"/>
    <n v="0"/>
    <n v="32"/>
    <n v="47"/>
    <n v="0"/>
    <n v="699.91"/>
    <n v="231.33"/>
    <m/>
    <n v="833.56886455016274"/>
    <n v="260.80314197522284"/>
    <n v="0"/>
    <n v="186.17606000000001"/>
    <n v="61.533780000000007"/>
    <n v="0"/>
    <n v="221.72931797034329"/>
    <n v="69.373635765409276"/>
  </r>
  <r>
    <s v="Regular"/>
    <x v="1"/>
    <x v="3"/>
    <x v="3"/>
    <x v="5"/>
    <x v="0"/>
    <x v="0"/>
    <x v="2"/>
    <x v="3"/>
    <n v="0"/>
    <n v="0"/>
    <n v="2.0070000000000001"/>
    <n v="2.0070000000000001"/>
    <n v="2.0070000000000001"/>
    <n v="2.0070000000000001"/>
    <n v="40"/>
    <x v="0"/>
    <n v="0"/>
    <n v="0"/>
    <n v="32"/>
    <n v="47"/>
    <n v="0"/>
    <n v="699.91"/>
    <n v="231.33"/>
    <m/>
    <n v="833.56886455016274"/>
    <n v="260.80314197522284"/>
    <n v="0"/>
    <n v="1404.71937"/>
    <n v="464.27931000000007"/>
    <n v="0"/>
    <n v="1672.9727111521768"/>
    <n v="523.43190594427233"/>
  </r>
  <r>
    <s v="Regular"/>
    <x v="1"/>
    <x v="3"/>
    <x v="3"/>
    <x v="5"/>
    <x v="0"/>
    <x v="0"/>
    <x v="2"/>
    <x v="4"/>
    <n v="0"/>
    <n v="0"/>
    <n v="1.996"/>
    <n v="1.996"/>
    <n v="1.996"/>
    <n v="1.996"/>
    <n v="44"/>
    <x v="0"/>
    <n v="0"/>
    <n v="0"/>
    <n v="32"/>
    <n v="47"/>
    <n v="0"/>
    <n v="699.91"/>
    <n v="231.33"/>
    <m/>
    <n v="833.56886455016274"/>
    <n v="260.80314197522284"/>
    <n v="0"/>
    <n v="1397.02036"/>
    <n v="461.73468000000003"/>
    <n v="0"/>
    <n v="1663.8034536421249"/>
    <n v="520.56307138254476"/>
  </r>
  <r>
    <s v="Regular"/>
    <x v="1"/>
    <x v="3"/>
    <x v="3"/>
    <x v="5"/>
    <x v="0"/>
    <x v="0"/>
    <x v="2"/>
    <x v="5"/>
    <n v="0"/>
    <n v="0"/>
    <n v="4.6749999999999998"/>
    <n v="4.6749999999999998"/>
    <n v="4.6749999999999998"/>
    <n v="4.6749999999999998"/>
    <n v="84"/>
    <x v="0"/>
    <n v="0"/>
    <n v="0"/>
    <n v="32"/>
    <n v="47"/>
    <n v="0"/>
    <n v="699.91"/>
    <n v="231.33"/>
    <m/>
    <n v="833.56886455016274"/>
    <n v="260.80314197522284"/>
    <n v="0"/>
    <n v="3272.0792499999998"/>
    <n v="1081.46775"/>
    <n v="0"/>
    <n v="3896.9344417720108"/>
    <n v="1219.2546887341668"/>
  </r>
  <r>
    <s v="Regular"/>
    <x v="1"/>
    <x v="3"/>
    <x v="3"/>
    <x v="5"/>
    <x v="0"/>
    <x v="0"/>
    <x v="2"/>
    <x v="6"/>
    <n v="0"/>
    <n v="0"/>
    <n v="4.0620000000000003"/>
    <n v="4.0620000000000003"/>
    <n v="4.0620000000000003"/>
    <n v="4.0620000000000003"/>
    <n v="71"/>
    <x v="0"/>
    <n v="0"/>
    <n v="0"/>
    <n v="32"/>
    <n v="47"/>
    <n v="0"/>
    <n v="699.91"/>
    <n v="231.33"/>
    <m/>
    <n v="833.56886455016274"/>
    <n v="260.80314197522284"/>
    <n v="0"/>
    <n v="2843.03442"/>
    <n v="939.66246000000012"/>
    <n v="0"/>
    <n v="3385.9567278027612"/>
    <n v="1059.3823627033553"/>
  </r>
  <r>
    <s v="Regular"/>
    <x v="1"/>
    <x v="3"/>
    <x v="3"/>
    <x v="5"/>
    <x v="0"/>
    <x v="0"/>
    <x v="2"/>
    <x v="7"/>
    <n v="0"/>
    <n v="0"/>
    <n v="4.5039999999999996"/>
    <n v="4.5039999999999996"/>
    <n v="4.5039999999999996"/>
    <n v="4.5039999999999996"/>
    <n v="81"/>
    <x v="0"/>
    <n v="0"/>
    <n v="0"/>
    <n v="32"/>
    <n v="47"/>
    <n v="0"/>
    <n v="699.91"/>
    <n v="231.33"/>
    <m/>
    <n v="833.56886455016274"/>
    <n v="260.80314197522284"/>
    <n v="0"/>
    <n v="3152.3946399999995"/>
    <n v="1041.91032"/>
    <n v="0"/>
    <n v="3754.3941659339325"/>
    <n v="1174.6573514564036"/>
  </r>
  <r>
    <s v="Regular"/>
    <x v="1"/>
    <x v="3"/>
    <x v="3"/>
    <x v="5"/>
    <x v="0"/>
    <x v="0"/>
    <x v="2"/>
    <x v="8"/>
    <n v="0"/>
    <n v="0"/>
    <n v="5.1580000000000004"/>
    <n v="5.1580000000000004"/>
    <n v="5.1580000000000004"/>
    <n v="5.1580000000000004"/>
    <n v="91"/>
    <x v="0"/>
    <n v="0"/>
    <n v="0"/>
    <n v="32"/>
    <n v="47"/>
    <n v="0"/>
    <n v="699.91"/>
    <n v="231.33"/>
    <m/>
    <n v="833.56886455016274"/>
    <n v="260.80314197522284"/>
    <n v="0"/>
    <n v="3610.1357800000001"/>
    <n v="1193.2001400000001"/>
    <n v="0"/>
    <n v="4299.5482033497401"/>
    <n v="1345.2226063081996"/>
  </r>
  <r>
    <s v="Regular"/>
    <x v="1"/>
    <x v="3"/>
    <x v="3"/>
    <x v="5"/>
    <x v="0"/>
    <x v="0"/>
    <x v="2"/>
    <x v="9"/>
    <n v="0"/>
    <n v="0"/>
    <n v="9.8369999999999997"/>
    <n v="9.8369999999999997"/>
    <n v="9.8369999999999997"/>
    <n v="9.8369999999999997"/>
    <n v="141"/>
    <x v="0"/>
    <n v="0"/>
    <n v="0"/>
    <n v="32"/>
    <n v="47"/>
    <n v="0"/>
    <n v="699.91"/>
    <n v="231.33"/>
    <m/>
    <n v="833.56886455016274"/>
    <n v="260.80314197522284"/>
    <n v="0"/>
    <n v="6885.0146699999996"/>
    <n v="2275.59321"/>
    <n v="0"/>
    <n v="8199.8169205799513"/>
    <n v="2565.520507610267"/>
  </r>
  <r>
    <s v="Regular"/>
    <x v="1"/>
    <x v="3"/>
    <x v="3"/>
    <x v="5"/>
    <x v="0"/>
    <x v="0"/>
    <x v="2"/>
    <x v="10"/>
    <n v="0"/>
    <n v="0"/>
    <n v="14.343999999999999"/>
    <n v="14.343999999999999"/>
    <n v="14.343999999999999"/>
    <n v="14.343999999999999"/>
    <n v="186"/>
    <x v="0"/>
    <n v="0"/>
    <n v="0"/>
    <n v="32"/>
    <n v="47"/>
    <n v="0"/>
    <n v="699.91"/>
    <n v="231.33"/>
    <m/>
    <n v="833.56886455016274"/>
    <n v="260.80314197522284"/>
    <n v="0"/>
    <n v="10039.509039999999"/>
    <n v="3318.1975200000002"/>
    <n v="0"/>
    <n v="11956.711793107534"/>
    <n v="3740.9602684925962"/>
  </r>
  <r>
    <s v="Regular"/>
    <x v="1"/>
    <x v="3"/>
    <x v="3"/>
    <x v="5"/>
    <x v="0"/>
    <x v="0"/>
    <x v="2"/>
    <x v="11"/>
    <n v="0"/>
    <n v="0"/>
    <n v="21.021999999999998"/>
    <n v="21.021999999999998"/>
    <n v="21.021999999999998"/>
    <n v="21.021999999999998"/>
    <n v="271"/>
    <x v="0"/>
    <n v="0"/>
    <n v="0"/>
    <n v="32"/>
    <n v="47"/>
    <n v="0"/>
    <n v="699.91"/>
    <n v="231.33"/>
    <m/>
    <n v="833.56886455016274"/>
    <n v="260.80314197522284"/>
    <n v="0"/>
    <n v="14713.508019999997"/>
    <n v="4863.01926"/>
    <n v="0"/>
    <n v="17523.284670573521"/>
    <n v="5482.6036506031342"/>
  </r>
  <r>
    <s v="Regular"/>
    <x v="2"/>
    <x v="3"/>
    <x v="4"/>
    <x v="6"/>
    <x v="1"/>
    <x v="0"/>
    <x v="2"/>
    <x v="0"/>
    <n v="0"/>
    <n v="0"/>
    <n v="5.9669999999999996"/>
    <n v="5.9669999999999996"/>
    <n v="5.9669999999999996"/>
    <n v="5.9669999999999996"/>
    <n v="0"/>
    <x v="0"/>
    <n v="0"/>
    <n v="0"/>
    <n v="9"/>
    <n v="56"/>
    <n v="0"/>
    <n v="697.32"/>
    <n v="203.57"/>
    <m/>
    <n v="907.37656678465794"/>
    <n v="245.15495345670945"/>
    <n v="0"/>
    <n v="4160.9084400000002"/>
    <n v="1214.70219"/>
    <n v="0"/>
    <n v="5414.3159740040537"/>
    <n v="1462.8396072761852"/>
  </r>
  <r>
    <s v="Sistema de Compensação"/>
    <x v="2"/>
    <x v="3"/>
    <x v="4"/>
    <x v="6"/>
    <x v="1"/>
    <x v="0"/>
    <x v="2"/>
    <x v="1"/>
    <n v="0"/>
    <n v="0"/>
    <n v="0.1"/>
    <n v="0.1"/>
    <n v="0.1"/>
    <n v="0.1"/>
    <n v="0"/>
    <x v="0"/>
    <n v="0"/>
    <n v="0"/>
    <n v="9"/>
    <n v="56"/>
    <n v="0"/>
    <n v="697.32"/>
    <n v="203.57"/>
    <m/>
    <n v="907.37656678465794"/>
    <n v="245.15495345670945"/>
    <n v="0"/>
    <n v="69.732000000000014"/>
    <n v="20.356999999999999"/>
    <n v="0"/>
    <n v="90.737656678465797"/>
    <n v="24.515495345670946"/>
  </r>
  <r>
    <s v="Sistema de Compensação"/>
    <x v="2"/>
    <x v="3"/>
    <x v="4"/>
    <x v="6"/>
    <x v="1"/>
    <x v="0"/>
    <x v="2"/>
    <x v="2"/>
    <n v="0"/>
    <n v="0"/>
    <n v="1.641"/>
    <n v="1.641"/>
    <n v="1.641"/>
    <n v="1.641"/>
    <n v="0"/>
    <x v="0"/>
    <n v="0"/>
    <n v="0"/>
    <n v="9"/>
    <n v="56"/>
    <n v="0"/>
    <n v="697.32"/>
    <n v="203.57"/>
    <m/>
    <n v="907.37656678465794"/>
    <n v="245.15495345670945"/>
    <n v="0"/>
    <n v="1144.3021200000001"/>
    <n v="334.05836999999997"/>
    <n v="0"/>
    <n v="1489.0049460936236"/>
    <n v="402.29927862246024"/>
  </r>
  <r>
    <s v="Sistema de Compensação"/>
    <x v="2"/>
    <x v="3"/>
    <x v="4"/>
    <x v="6"/>
    <x v="1"/>
    <x v="0"/>
    <x v="2"/>
    <x v="3"/>
    <n v="0"/>
    <n v="0"/>
    <n v="2.6859999999999999"/>
    <n v="2.6859999999999999"/>
    <n v="2.6859999999999999"/>
    <n v="2.6859999999999999"/>
    <n v="0"/>
    <x v="0"/>
    <n v="0"/>
    <n v="0"/>
    <n v="9"/>
    <n v="56"/>
    <n v="0"/>
    <n v="697.32"/>
    <n v="203.57"/>
    <m/>
    <n v="907.37656678465794"/>
    <n v="245.15495345670945"/>
    <n v="0"/>
    <n v="1873.00152"/>
    <n v="546.78901999999994"/>
    <n v="0"/>
    <n v="2437.2134583835914"/>
    <n v="658.48620498472155"/>
  </r>
  <r>
    <s v="Sistema de Compensação"/>
    <x v="2"/>
    <x v="3"/>
    <x v="4"/>
    <x v="6"/>
    <x v="1"/>
    <x v="0"/>
    <x v="2"/>
    <x v="4"/>
    <n v="0"/>
    <n v="0"/>
    <n v="2.9529999999999998"/>
    <n v="2.9529999999999998"/>
    <n v="2.9529999999999998"/>
    <n v="2.9529999999999998"/>
    <n v="0"/>
    <x v="0"/>
    <n v="0"/>
    <n v="0"/>
    <n v="9"/>
    <n v="56"/>
    <n v="0"/>
    <n v="697.32"/>
    <n v="203.57"/>
    <m/>
    <n v="907.37656678465794"/>
    <n v="245.15495345670945"/>
    <n v="0"/>
    <n v="2059.1859600000003"/>
    <n v="601.14220999999998"/>
    <n v="0"/>
    <n v="2679.4830017150948"/>
    <n v="723.94257755766296"/>
  </r>
  <r>
    <s v="Sistema de Compensação"/>
    <x v="2"/>
    <x v="3"/>
    <x v="4"/>
    <x v="6"/>
    <x v="1"/>
    <x v="0"/>
    <x v="2"/>
    <x v="6"/>
    <n v="0"/>
    <n v="0"/>
    <n v="0.34699999999999998"/>
    <n v="0.34699999999999998"/>
    <n v="0.34699999999999998"/>
    <n v="0.34699999999999998"/>
    <n v="0"/>
    <x v="0"/>
    <n v="0"/>
    <n v="0"/>
    <n v="9"/>
    <n v="56"/>
    <n v="0"/>
    <n v="697.32"/>
    <n v="203.57"/>
    <m/>
    <n v="907.37656678465794"/>
    <n v="245.15495345670945"/>
    <n v="0"/>
    <n v="241.97004000000001"/>
    <n v="70.638789999999986"/>
    <n v="0"/>
    <n v="314.85966867427629"/>
    <n v="85.068768849478175"/>
  </r>
  <r>
    <s v="Sistema de Compensação"/>
    <x v="2"/>
    <x v="3"/>
    <x v="4"/>
    <x v="6"/>
    <x v="1"/>
    <x v="0"/>
    <x v="2"/>
    <x v="9"/>
    <n v="0"/>
    <n v="0"/>
    <n v="0.78900000000000003"/>
    <n v="0.78900000000000003"/>
    <n v="0.78900000000000003"/>
    <n v="0.78900000000000003"/>
    <n v="0"/>
    <x v="0"/>
    <n v="0"/>
    <n v="0"/>
    <n v="9"/>
    <n v="56"/>
    <n v="0"/>
    <n v="697.32"/>
    <n v="203.57"/>
    <m/>
    <n v="907.37656678465794"/>
    <n v="245.15495345670945"/>
    <n v="0"/>
    <n v="550.1854800000001"/>
    <n v="160.61672999999999"/>
    <n v="0"/>
    <n v="715.92011119309518"/>
    <n v="193.42725827734375"/>
  </r>
  <r>
    <s v="Sistema de Compensação"/>
    <x v="2"/>
    <x v="3"/>
    <x v="4"/>
    <x v="6"/>
    <x v="1"/>
    <x v="0"/>
    <x v="2"/>
    <x v="11"/>
    <n v="0"/>
    <n v="0"/>
    <n v="0.1"/>
    <n v="0.1"/>
    <n v="0.1"/>
    <n v="0.1"/>
    <n v="0"/>
    <x v="0"/>
    <n v="0"/>
    <n v="0"/>
    <n v="9"/>
    <n v="56"/>
    <n v="0"/>
    <n v="697.32"/>
    <n v="203.57"/>
    <m/>
    <n v="907.37656678465794"/>
    <n v="245.15495345670945"/>
    <n v="0"/>
    <n v="69.732000000000014"/>
    <n v="20.356999999999999"/>
    <n v="0"/>
    <n v="90.737656678465797"/>
    <n v="24.515495345670946"/>
  </r>
  <r>
    <s v="Regular"/>
    <x v="2"/>
    <x v="3"/>
    <x v="4"/>
    <x v="6"/>
    <x v="2"/>
    <x v="0"/>
    <x v="2"/>
    <x v="0"/>
    <n v="0"/>
    <n v="0"/>
    <n v="9.3239999999999998"/>
    <n v="3.7296"/>
    <n v="9.3239999999999998"/>
    <n v="3.7296"/>
    <n v="0"/>
    <x v="0"/>
    <n v="0"/>
    <n v="0"/>
    <n v="9"/>
    <n v="56"/>
    <n v="0"/>
    <n v="697.32"/>
    <n v="203.57"/>
    <m/>
    <n v="907.37656678465794"/>
    <n v="245.15495345670945"/>
    <n v="0"/>
    <n v="2600.7246720000003"/>
    <n v="759.23467199999993"/>
    <n v="0"/>
    <n v="3384.1516434800601"/>
    <n v="914.32991441214358"/>
  </r>
  <r>
    <s v="Sistema de Compensação"/>
    <x v="2"/>
    <x v="3"/>
    <x v="4"/>
    <x v="6"/>
    <x v="2"/>
    <x v="0"/>
    <x v="2"/>
    <x v="2"/>
    <n v="0"/>
    <n v="0"/>
    <n v="4.3010000000000002"/>
    <n v="1.7203999999999999"/>
    <n v="4.3010000000000002"/>
    <n v="1.7203999999999999"/>
    <n v="0"/>
    <x v="0"/>
    <n v="0"/>
    <n v="0"/>
    <n v="9"/>
    <n v="56"/>
    <n v="0"/>
    <n v="697.32"/>
    <n v="203.57"/>
    <m/>
    <n v="907.37656678465794"/>
    <n v="245.15495345670945"/>
    <n v="0"/>
    <n v="1199.669328"/>
    <n v="350.22182799999996"/>
    <n v="0"/>
    <n v="1561.0506454963254"/>
    <n v="421.76458192692292"/>
  </r>
  <r>
    <s v="Sistema de Compensação"/>
    <x v="2"/>
    <x v="3"/>
    <x v="4"/>
    <x v="6"/>
    <x v="2"/>
    <x v="0"/>
    <x v="2"/>
    <x v="3"/>
    <n v="0"/>
    <n v="0"/>
    <n v="3.6890000000000001"/>
    <n v="1.4756"/>
    <n v="3.6890000000000001"/>
    <n v="1.4756"/>
    <n v="0"/>
    <x v="0"/>
    <n v="0"/>
    <n v="0"/>
    <n v="9"/>
    <n v="56"/>
    <n v="0"/>
    <n v="697.32"/>
    <n v="203.57"/>
    <m/>
    <n v="907.37656678465794"/>
    <n v="245.15495345670945"/>
    <n v="0"/>
    <n v="1028.9653920000001"/>
    <n v="300.38789200000002"/>
    <n v="0"/>
    <n v="1338.9248619474413"/>
    <n v="361.75064932072047"/>
  </r>
  <r>
    <s v="Sistema de Compensação"/>
    <x v="2"/>
    <x v="3"/>
    <x v="4"/>
    <x v="6"/>
    <x v="2"/>
    <x v="0"/>
    <x v="2"/>
    <x v="4"/>
    <n v="0"/>
    <n v="0"/>
    <n v="4.5810000000000004"/>
    <n v="1.8324"/>
    <n v="4.5810000000000004"/>
    <n v="1.8324"/>
    <n v="0"/>
    <x v="0"/>
    <n v="0"/>
    <n v="0"/>
    <n v="9"/>
    <n v="56"/>
    <n v="0"/>
    <n v="697.32"/>
    <n v="203.57"/>
    <m/>
    <n v="907.37656678465794"/>
    <n v="245.15495345670945"/>
    <n v="0"/>
    <n v="1277.769168"/>
    <n v="373.02166799999998"/>
    <n v="0"/>
    <n v="1662.6768209762072"/>
    <n v="449.22193671407439"/>
  </r>
  <r>
    <s v="Sistema de Compensação"/>
    <x v="2"/>
    <x v="3"/>
    <x v="4"/>
    <x v="6"/>
    <x v="2"/>
    <x v="0"/>
    <x v="2"/>
    <x v="5"/>
    <n v="0"/>
    <n v="0"/>
    <n v="4.3339999999999996"/>
    <n v="1.7336"/>
    <n v="4.3339999999999996"/>
    <n v="1.7336"/>
    <n v="0"/>
    <x v="0"/>
    <n v="0"/>
    <n v="0"/>
    <n v="9"/>
    <n v="56"/>
    <n v="0"/>
    <n v="697.32"/>
    <n v="203.57"/>
    <m/>
    <n v="907.37656678465794"/>
    <n v="245.15495345670945"/>
    <n v="0"/>
    <n v="1208.8739520000001"/>
    <n v="352.908952"/>
    <n v="0"/>
    <n v="1573.028016177883"/>
    <n v="425.0006273125515"/>
  </r>
  <r>
    <s v="Sistema de Compensação"/>
    <x v="2"/>
    <x v="3"/>
    <x v="4"/>
    <x v="6"/>
    <x v="2"/>
    <x v="0"/>
    <x v="2"/>
    <x v="6"/>
    <n v="0"/>
    <n v="0"/>
    <n v="2.9340000000000002"/>
    <n v="1.1736"/>
    <n v="2.9340000000000002"/>
    <n v="1.1736"/>
    <n v="0"/>
    <x v="0"/>
    <n v="0"/>
    <n v="0"/>
    <n v="9"/>
    <n v="56"/>
    <n v="0"/>
    <n v="697.32"/>
    <n v="203.57"/>
    <m/>
    <n v="907.37656678465794"/>
    <n v="245.15495345670945"/>
    <n v="0"/>
    <n v="818.37475200000006"/>
    <n v="238.909752"/>
    <n v="0"/>
    <n v="1064.8971387784745"/>
    <n v="287.71385337679419"/>
  </r>
  <r>
    <s v="Sistema de Compensação"/>
    <x v="2"/>
    <x v="3"/>
    <x v="4"/>
    <x v="6"/>
    <x v="2"/>
    <x v="0"/>
    <x v="2"/>
    <x v="7"/>
    <n v="0"/>
    <n v="0"/>
    <n v="0.47399999999999998"/>
    <n v="0.18959999999999999"/>
    <n v="0.47399999999999998"/>
    <n v="0.18959999999999999"/>
    <n v="0"/>
    <x v="0"/>
    <n v="0"/>
    <n v="0"/>
    <n v="9"/>
    <n v="56"/>
    <n v="0"/>
    <n v="697.32"/>
    <n v="203.57"/>
    <m/>
    <n v="907.37656678465794"/>
    <n v="245.15495345670945"/>
    <n v="0"/>
    <n v="132.211872"/>
    <n v="38.596871999999998"/>
    <n v="0"/>
    <n v="172.03859706237114"/>
    <n v="46.481379175392107"/>
  </r>
  <r>
    <s v="Sistema de Compensação"/>
    <x v="2"/>
    <x v="3"/>
    <x v="4"/>
    <x v="6"/>
    <x v="2"/>
    <x v="0"/>
    <x v="2"/>
    <x v="8"/>
    <n v="0"/>
    <n v="0"/>
    <n v="0.78900000000000003"/>
    <n v="0.31559999999999999"/>
    <n v="0.78900000000000003"/>
    <n v="0.31559999999999999"/>
    <n v="0"/>
    <x v="0"/>
    <n v="0"/>
    <n v="0"/>
    <n v="9"/>
    <n v="56"/>
    <n v="0"/>
    <n v="697.32"/>
    <n v="203.57"/>
    <m/>
    <n v="907.37656678465794"/>
    <n v="245.15495345670945"/>
    <n v="0"/>
    <n v="220.07419200000001"/>
    <n v="64.246691999999996"/>
    <n v="0"/>
    <n v="286.36804447723802"/>
    <n v="77.370903310937507"/>
  </r>
  <r>
    <s v="Sistema de Compensação"/>
    <x v="2"/>
    <x v="3"/>
    <x v="4"/>
    <x v="6"/>
    <x v="2"/>
    <x v="0"/>
    <x v="2"/>
    <x v="9"/>
    <n v="0"/>
    <n v="0"/>
    <n v="3.746"/>
    <n v="1.4984"/>
    <n v="3.746"/>
    <n v="1.4984"/>
    <n v="0"/>
    <x v="0"/>
    <n v="0"/>
    <n v="0"/>
    <n v="9"/>
    <n v="56"/>
    <n v="0"/>
    <n v="697.32"/>
    <n v="203.57"/>
    <m/>
    <n v="907.37656678465794"/>
    <n v="245.15495345670945"/>
    <n v="0"/>
    <n v="1044.864288"/>
    <n v="305.02928800000001"/>
    <n v="0"/>
    <n v="1359.6130476701314"/>
    <n v="367.34018225953344"/>
  </r>
  <r>
    <s v="Sistema de Compensação"/>
    <x v="2"/>
    <x v="3"/>
    <x v="4"/>
    <x v="6"/>
    <x v="2"/>
    <x v="0"/>
    <x v="2"/>
    <x v="10"/>
    <n v="0"/>
    <n v="0"/>
    <n v="3.93"/>
    <n v="1.5720000000000001"/>
    <n v="3.93"/>
    <n v="1.5720000000000001"/>
    <n v="0"/>
    <x v="0"/>
    <n v="0"/>
    <n v="0"/>
    <n v="9"/>
    <n v="56"/>
    <n v="0"/>
    <n v="697.32"/>
    <n v="203.57"/>
    <m/>
    <n v="907.37656678465794"/>
    <n v="245.15495345670945"/>
    <n v="0"/>
    <n v="1096.18704"/>
    <n v="320.01204000000001"/>
    <n v="0"/>
    <n v="1426.3959629854824"/>
    <n v="385.38358683394728"/>
  </r>
  <r>
    <s v="Regular"/>
    <x v="2"/>
    <x v="3"/>
    <x v="4"/>
    <x v="0"/>
    <x v="0"/>
    <x v="0"/>
    <x v="2"/>
    <x v="0"/>
    <n v="0"/>
    <n v="0"/>
    <n v="315.08999999999997"/>
    <n v="315.08999999999997"/>
    <n v="315.08999999999997"/>
    <n v="315.08999999999997"/>
    <n v="577"/>
    <x v="0"/>
    <n v="0"/>
    <n v="0"/>
    <n v="9"/>
    <n v="56"/>
    <n v="0"/>
    <n v="697.32"/>
    <n v="203.57"/>
    <m/>
    <n v="907.37656678465794"/>
    <n v="245.15495345670945"/>
    <n v="0"/>
    <n v="219718.5588"/>
    <n v="64142.871299999992"/>
    <n v="0"/>
    <n v="285905.28242817783"/>
    <n v="77245.874284674574"/>
  </r>
  <r>
    <s v="Refaturamento - Regular"/>
    <x v="2"/>
    <x v="3"/>
    <x v="4"/>
    <x v="0"/>
    <x v="0"/>
    <x v="0"/>
    <x v="2"/>
    <x v="0"/>
    <n v="0"/>
    <n v="0"/>
    <n v="-1.155"/>
    <n v="-1.155"/>
    <n v="-1.155"/>
    <n v="-1.155"/>
    <n v="0"/>
    <x v="0"/>
    <n v="0"/>
    <n v="0"/>
    <n v="9"/>
    <n v="56"/>
    <n v="0"/>
    <n v="697.32"/>
    <n v="203.57"/>
    <m/>
    <n v="907.37656678465794"/>
    <n v="245.15495345670945"/>
    <n v="0"/>
    <n v="-805.40460000000007"/>
    <n v="-235.12334999999999"/>
    <n v="0"/>
    <n v="-1048.0199346362799"/>
    <n v="-283.15397124249944"/>
  </r>
  <r>
    <s v="Sistema de Compensação"/>
    <x v="2"/>
    <x v="3"/>
    <x v="4"/>
    <x v="0"/>
    <x v="0"/>
    <x v="0"/>
    <x v="2"/>
    <x v="0"/>
    <n v="0"/>
    <n v="0"/>
    <n v="20.838999999999999"/>
    <n v="20.838999999999999"/>
    <n v="20.838999999999999"/>
    <n v="20.838999999999999"/>
    <n v="24"/>
    <x v="0"/>
    <n v="0"/>
    <n v="0"/>
    <n v="9"/>
    <n v="56"/>
    <n v="0"/>
    <n v="697.32"/>
    <n v="203.57"/>
    <m/>
    <n v="907.37656678465794"/>
    <n v="245.15495345670945"/>
    <n v="0"/>
    <n v="14531.45148"/>
    <n v="4242.1952299999994"/>
    <n v="0"/>
    <n v="18908.820275225484"/>
    <n v="5108.7840750843679"/>
  </r>
  <r>
    <s v="Regular"/>
    <x v="2"/>
    <x v="3"/>
    <x v="4"/>
    <x v="0"/>
    <x v="0"/>
    <x v="0"/>
    <x v="2"/>
    <x v="1"/>
    <n v="0"/>
    <n v="0"/>
    <n v="258.86500000000001"/>
    <n v="258.86500000000001"/>
    <n v="258.86500000000001"/>
    <n v="258.86500000000001"/>
    <n v="571"/>
    <x v="0"/>
    <n v="0"/>
    <n v="0"/>
    <n v="9"/>
    <n v="56"/>
    <n v="0"/>
    <n v="697.32"/>
    <n v="203.57"/>
    <m/>
    <n v="907.37656678465794"/>
    <n v="245.15495345670945"/>
    <n v="0"/>
    <n v="180511.74180000002"/>
    <n v="52697.148050000003"/>
    <n v="0"/>
    <n v="234888.03496071047"/>
    <n v="63462.037026571095"/>
  </r>
  <r>
    <s v="Sistema de Compensação"/>
    <x v="2"/>
    <x v="3"/>
    <x v="4"/>
    <x v="0"/>
    <x v="0"/>
    <x v="0"/>
    <x v="2"/>
    <x v="1"/>
    <n v="0"/>
    <n v="0"/>
    <n v="24.317"/>
    <n v="24.317"/>
    <n v="24.317"/>
    <n v="24.317"/>
    <n v="30"/>
    <x v="0"/>
    <n v="0"/>
    <n v="0"/>
    <n v="9"/>
    <n v="56"/>
    <n v="0"/>
    <n v="697.32"/>
    <n v="203.57"/>
    <m/>
    <n v="907.37656678465794"/>
    <n v="245.15495345670945"/>
    <n v="0"/>
    <n v="16956.730440000003"/>
    <n v="4950.2116900000001"/>
    <n v="0"/>
    <n v="22064.675974502527"/>
    <n v="5961.4330032068037"/>
  </r>
  <r>
    <s v="Regular"/>
    <x v="2"/>
    <x v="3"/>
    <x v="4"/>
    <x v="0"/>
    <x v="0"/>
    <x v="0"/>
    <x v="2"/>
    <x v="2"/>
    <n v="0"/>
    <n v="0"/>
    <n v="244.72399999999999"/>
    <n v="244.72399999999999"/>
    <n v="244.72399999999999"/>
    <n v="244.72399999999999"/>
    <n v="574"/>
    <x v="0"/>
    <n v="0"/>
    <n v="0"/>
    <n v="9"/>
    <n v="56"/>
    <n v="0"/>
    <n v="697.32"/>
    <n v="203.57"/>
    <m/>
    <n v="907.37656678465794"/>
    <n v="245.15495345670945"/>
    <n v="0"/>
    <n v="170650.93968000001"/>
    <n v="49818.464679999997"/>
    <n v="0"/>
    <n v="222056.82292980861"/>
    <n v="59995.300829739761"/>
  </r>
  <r>
    <s v="Sistema de Compensação"/>
    <x v="2"/>
    <x v="3"/>
    <x v="4"/>
    <x v="0"/>
    <x v="0"/>
    <x v="0"/>
    <x v="2"/>
    <x v="2"/>
    <n v="0"/>
    <n v="0"/>
    <n v="24.001999999999999"/>
    <n v="24.001999999999999"/>
    <n v="24.001999999999999"/>
    <n v="24.001999999999999"/>
    <n v="29"/>
    <x v="0"/>
    <n v="0"/>
    <n v="0"/>
    <n v="9"/>
    <n v="56"/>
    <n v="0"/>
    <n v="697.32"/>
    <n v="203.57"/>
    <m/>
    <n v="907.37656678465794"/>
    <n v="245.15495345670945"/>
    <n v="0"/>
    <n v="16737.074639999999"/>
    <n v="4886.0871399999996"/>
    <n v="0"/>
    <n v="21778.852355965359"/>
    <n v="5884.2091928679401"/>
  </r>
  <r>
    <s v="Regular"/>
    <x v="2"/>
    <x v="3"/>
    <x v="4"/>
    <x v="0"/>
    <x v="0"/>
    <x v="0"/>
    <x v="2"/>
    <x v="3"/>
    <n v="0"/>
    <n v="0"/>
    <n v="235.14400000000001"/>
    <n v="235.14400000000001"/>
    <n v="235.14400000000001"/>
    <n v="235.14400000000001"/>
    <n v="575"/>
    <x v="0"/>
    <n v="0"/>
    <n v="0"/>
    <n v="9"/>
    <n v="56"/>
    <n v="0"/>
    <n v="697.32"/>
    <n v="203.57"/>
    <m/>
    <n v="907.37656678465794"/>
    <n v="245.15495345670945"/>
    <n v="0"/>
    <n v="163970.61408000003"/>
    <n v="47868.264080000001"/>
    <n v="0"/>
    <n v="213364.15542001161"/>
    <n v="57646.716375624492"/>
  </r>
  <r>
    <s v="Refaturamento - Regular"/>
    <x v="2"/>
    <x v="3"/>
    <x v="4"/>
    <x v="0"/>
    <x v="0"/>
    <x v="0"/>
    <x v="2"/>
    <x v="3"/>
    <n v="0"/>
    <n v="0"/>
    <n v="-9.6000000000000002E-2"/>
    <n v="-9.6000000000000002E-2"/>
    <n v="-9.6000000000000002E-2"/>
    <n v="-9.6000000000000002E-2"/>
    <n v="0"/>
    <x v="0"/>
    <n v="0"/>
    <n v="0"/>
    <n v="9"/>
    <n v="56"/>
    <n v="0"/>
    <n v="697.32"/>
    <n v="203.57"/>
    <m/>
    <n v="907.37656678465794"/>
    <n v="245.15495345670945"/>
    <n v="0"/>
    <n v="-66.942720000000008"/>
    <n v="-19.542719999999999"/>
    <n v="0"/>
    <n v="-87.108150411327159"/>
    <n v="-23.534875531844108"/>
  </r>
  <r>
    <s v="Sistema de Compensação"/>
    <x v="2"/>
    <x v="3"/>
    <x v="4"/>
    <x v="0"/>
    <x v="0"/>
    <x v="0"/>
    <x v="2"/>
    <x v="3"/>
    <n v="0"/>
    <n v="0"/>
    <n v="22.145"/>
    <n v="22.145"/>
    <n v="22.145"/>
    <n v="22.145"/>
    <n v="30"/>
    <x v="0"/>
    <n v="0"/>
    <n v="0"/>
    <n v="9"/>
    <n v="56"/>
    <n v="0"/>
    <n v="697.32"/>
    <n v="203.57"/>
    <m/>
    <n v="907.37656678465794"/>
    <n v="245.15495345670945"/>
    <n v="0"/>
    <n v="15442.151400000001"/>
    <n v="4508.0576499999997"/>
    <n v="0"/>
    <n v="20093.854071446251"/>
    <n v="5428.9564442988303"/>
  </r>
  <r>
    <s v="Regular"/>
    <x v="2"/>
    <x v="3"/>
    <x v="4"/>
    <x v="0"/>
    <x v="0"/>
    <x v="0"/>
    <x v="2"/>
    <x v="4"/>
    <n v="0"/>
    <n v="0"/>
    <n v="221.601"/>
    <n v="221.601"/>
    <n v="221.601"/>
    <n v="221.601"/>
    <n v="571"/>
    <x v="0"/>
    <n v="0"/>
    <n v="0"/>
    <n v="9"/>
    <n v="56"/>
    <n v="0"/>
    <n v="697.32"/>
    <n v="203.57"/>
    <m/>
    <n v="907.37656678465794"/>
    <n v="245.15495345670945"/>
    <n v="0"/>
    <n v="154526.80932"/>
    <n v="45111.315569999999"/>
    <n v="0"/>
    <n v="201075.55457604697"/>
    <n v="54326.582840960269"/>
  </r>
  <r>
    <s v="Sistema de Compensação"/>
    <x v="2"/>
    <x v="3"/>
    <x v="4"/>
    <x v="0"/>
    <x v="0"/>
    <x v="0"/>
    <x v="2"/>
    <x v="4"/>
    <n v="0"/>
    <n v="0"/>
    <n v="22.946000000000002"/>
    <n v="22.946000000000002"/>
    <n v="22.946000000000002"/>
    <n v="22.946000000000002"/>
    <n v="34"/>
    <x v="0"/>
    <n v="0"/>
    <n v="0"/>
    <n v="9"/>
    <n v="56"/>
    <n v="0"/>
    <n v="697.32"/>
    <n v="203.57"/>
    <m/>
    <n v="907.37656678465794"/>
    <n v="245.15495345670945"/>
    <n v="0"/>
    <n v="16000.704720000002"/>
    <n v="4671.1172200000001"/>
    <n v="0"/>
    <n v="20820.662701440764"/>
    <n v="5625.3255620176551"/>
  </r>
  <r>
    <s v="Regular"/>
    <x v="2"/>
    <x v="3"/>
    <x v="4"/>
    <x v="0"/>
    <x v="0"/>
    <x v="0"/>
    <x v="2"/>
    <x v="5"/>
    <n v="0"/>
    <n v="0"/>
    <n v="250.00299999999999"/>
    <n v="250.00299999999999"/>
    <n v="250.00299999999999"/>
    <n v="250.00299999999999"/>
    <n v="568"/>
    <x v="0"/>
    <n v="0"/>
    <n v="0"/>
    <n v="9"/>
    <n v="56"/>
    <n v="0"/>
    <n v="697.32"/>
    <n v="203.57"/>
    <m/>
    <n v="907.37656678465794"/>
    <n v="245.15495345670945"/>
    <n v="0"/>
    <n v="174332.09195999999"/>
    <n v="50893.110709999994"/>
    <n v="0"/>
    <n v="226846.86382586483"/>
    <n v="61289.473829037728"/>
  </r>
  <r>
    <s v="Refaturamento - Regular"/>
    <x v="2"/>
    <x v="3"/>
    <x v="4"/>
    <x v="0"/>
    <x v="0"/>
    <x v="0"/>
    <x v="2"/>
    <x v="5"/>
    <n v="0"/>
    <n v="0"/>
    <n v="-0.1"/>
    <n v="-0.1"/>
    <n v="-0.1"/>
    <n v="-0.1"/>
    <n v="0"/>
    <x v="0"/>
    <n v="0"/>
    <n v="0"/>
    <n v="9"/>
    <n v="56"/>
    <n v="0"/>
    <n v="697.32"/>
    <n v="203.57"/>
    <m/>
    <n v="907.37656678465794"/>
    <n v="245.15495345670945"/>
    <n v="0"/>
    <n v="-69.732000000000014"/>
    <n v="-20.356999999999999"/>
    <n v="0"/>
    <n v="-90.737656678465797"/>
    <n v="-24.515495345670946"/>
  </r>
  <r>
    <s v="Sistema de Compensação"/>
    <x v="2"/>
    <x v="3"/>
    <x v="4"/>
    <x v="0"/>
    <x v="0"/>
    <x v="0"/>
    <x v="2"/>
    <x v="5"/>
    <n v="0"/>
    <n v="0"/>
    <n v="25.404"/>
    <n v="25.404"/>
    <n v="25.404"/>
    <n v="25.404"/>
    <n v="34"/>
    <x v="0"/>
    <n v="0"/>
    <n v="0"/>
    <n v="9"/>
    <n v="56"/>
    <n v="0"/>
    <n v="697.32"/>
    <n v="203.57"/>
    <m/>
    <n v="907.37656678465794"/>
    <n v="245.15495345670945"/>
    <n v="0"/>
    <n v="17714.717280000001"/>
    <n v="5171.4922799999995"/>
    <n v="0"/>
    <n v="23050.99430259745"/>
    <n v="6227.9164376142471"/>
  </r>
  <r>
    <s v="Regular"/>
    <x v="2"/>
    <x v="3"/>
    <x v="4"/>
    <x v="0"/>
    <x v="0"/>
    <x v="0"/>
    <x v="2"/>
    <x v="6"/>
    <n v="0"/>
    <n v="0"/>
    <n v="241.17099999999999"/>
    <n v="241.17099999999999"/>
    <n v="241.17099999999999"/>
    <n v="241.17099999999999"/>
    <n v="566"/>
    <x v="0"/>
    <n v="0"/>
    <n v="0"/>
    <n v="9"/>
    <n v="56"/>
    <n v="0"/>
    <n v="697.32"/>
    <n v="203.57"/>
    <m/>
    <n v="907.37656678465794"/>
    <n v="245.15495345670945"/>
    <n v="0"/>
    <n v="168173.36172000002"/>
    <n v="49095.180469999999"/>
    <n v="0"/>
    <n v="218832.91398802274"/>
    <n v="59124.265280108069"/>
  </r>
  <r>
    <s v="Sistema de Compensação"/>
    <x v="2"/>
    <x v="3"/>
    <x v="4"/>
    <x v="0"/>
    <x v="0"/>
    <x v="0"/>
    <x v="2"/>
    <x v="6"/>
    <n v="0"/>
    <n v="0"/>
    <n v="24.452999999999999"/>
    <n v="24.452999999999999"/>
    <n v="24.452999999999999"/>
    <n v="24.452999999999999"/>
    <n v="37"/>
    <x v="0"/>
    <n v="0"/>
    <n v="0"/>
    <n v="9"/>
    <n v="56"/>
    <n v="0"/>
    <n v="697.32"/>
    <n v="203.57"/>
    <m/>
    <n v="907.37656678465794"/>
    <n v="245.15495345670945"/>
    <n v="0"/>
    <n v="17051.56596"/>
    <n v="4977.8972100000001"/>
    <n v="0"/>
    <n v="22188.079187585241"/>
    <n v="5994.7740768769163"/>
  </r>
  <r>
    <s v="Regular"/>
    <x v="2"/>
    <x v="3"/>
    <x v="4"/>
    <x v="0"/>
    <x v="0"/>
    <x v="0"/>
    <x v="2"/>
    <x v="7"/>
    <n v="0"/>
    <n v="0"/>
    <n v="229.04900000000001"/>
    <n v="229.04900000000001"/>
    <n v="229.04900000000001"/>
    <n v="229.04900000000001"/>
    <n v="559"/>
    <x v="0"/>
    <n v="0"/>
    <n v="0"/>
    <n v="9"/>
    <n v="56"/>
    <n v="0"/>
    <n v="697.32"/>
    <n v="203.57"/>
    <m/>
    <n v="907.37656678465794"/>
    <n v="245.15495345670945"/>
    <n v="0"/>
    <n v="159720.44868000003"/>
    <n v="46627.504930000003"/>
    <n v="0"/>
    <n v="207833.69524545912"/>
    <n v="56152.496934305847"/>
  </r>
  <r>
    <s v="Sistema de Compensação"/>
    <x v="2"/>
    <x v="3"/>
    <x v="4"/>
    <x v="0"/>
    <x v="0"/>
    <x v="0"/>
    <x v="2"/>
    <x v="7"/>
    <n v="0"/>
    <n v="0"/>
    <n v="28.51"/>
    <n v="28.51"/>
    <n v="28.51"/>
    <n v="28.51"/>
    <n v="38"/>
    <x v="0"/>
    <n v="0"/>
    <n v="0"/>
    <n v="9"/>
    <n v="56"/>
    <n v="0"/>
    <n v="697.32"/>
    <n v="203.57"/>
    <m/>
    <n v="907.37656678465794"/>
    <n v="245.15495345670945"/>
    <n v="0"/>
    <n v="19880.593200000003"/>
    <n v="5803.7807000000003"/>
    <n v="0"/>
    <n v="25869.305919030598"/>
    <n v="6989.3677230507865"/>
  </r>
  <r>
    <s v="Regular"/>
    <x v="2"/>
    <x v="3"/>
    <x v="4"/>
    <x v="0"/>
    <x v="0"/>
    <x v="0"/>
    <x v="2"/>
    <x v="8"/>
    <n v="0"/>
    <n v="0"/>
    <n v="233.387"/>
    <n v="233.387"/>
    <n v="233.387"/>
    <n v="233.387"/>
    <n v="545"/>
    <x v="0"/>
    <n v="0"/>
    <n v="0"/>
    <n v="9"/>
    <n v="56"/>
    <n v="0"/>
    <n v="697.32"/>
    <n v="203.57"/>
    <m/>
    <n v="907.37656678465794"/>
    <n v="245.15495345670945"/>
    <n v="0"/>
    <n v="162745.42284000001"/>
    <n v="47510.591589999996"/>
    <n v="0"/>
    <n v="211769.89479217096"/>
    <n v="57215.979122401048"/>
  </r>
  <r>
    <s v="Refaturamento - Regular"/>
    <x v="2"/>
    <x v="3"/>
    <x v="4"/>
    <x v="0"/>
    <x v="0"/>
    <x v="0"/>
    <x v="2"/>
    <x v="8"/>
    <n v="0"/>
    <n v="0"/>
    <n v="-1.0740000000000001"/>
    <n v="-1.0740000000000001"/>
    <n v="-1.0740000000000001"/>
    <n v="-1.0740000000000001"/>
    <n v="0"/>
    <x v="0"/>
    <n v="0"/>
    <n v="0"/>
    <n v="9"/>
    <n v="56"/>
    <n v="0"/>
    <n v="697.32"/>
    <n v="203.57"/>
    <m/>
    <n v="907.37656678465794"/>
    <n v="245.15495345670945"/>
    <n v="0"/>
    <n v="-748.92168000000015"/>
    <n v="-218.63418000000001"/>
    <n v="0"/>
    <n v="-974.52243272672274"/>
    <n v="-263.29642001250596"/>
  </r>
  <r>
    <s v="Sistema de Compensação"/>
    <x v="2"/>
    <x v="3"/>
    <x v="4"/>
    <x v="0"/>
    <x v="0"/>
    <x v="0"/>
    <x v="2"/>
    <x v="8"/>
    <n v="0"/>
    <n v="0"/>
    <n v="22.131"/>
    <n v="22.131"/>
    <n v="22.131"/>
    <n v="22.131"/>
    <n v="37"/>
    <x v="0"/>
    <n v="0"/>
    <n v="0"/>
    <n v="9"/>
    <n v="56"/>
    <n v="0"/>
    <n v="697.32"/>
    <n v="203.57"/>
    <m/>
    <n v="907.37656678465794"/>
    <n v="245.15495345670945"/>
    <n v="0"/>
    <n v="15432.388920000001"/>
    <n v="4505.2076699999998"/>
    <n v="0"/>
    <n v="20081.150799511266"/>
    <n v="5425.5242749504368"/>
  </r>
  <r>
    <s v="Regular"/>
    <x v="2"/>
    <x v="3"/>
    <x v="4"/>
    <x v="0"/>
    <x v="0"/>
    <x v="0"/>
    <x v="2"/>
    <x v="9"/>
    <n v="0"/>
    <n v="0"/>
    <n v="252.148"/>
    <n v="252.148"/>
    <n v="252.148"/>
    <n v="252.148"/>
    <n v="534"/>
    <x v="0"/>
    <n v="0"/>
    <n v="0"/>
    <n v="9"/>
    <n v="56"/>
    <n v="0"/>
    <n v="697.32"/>
    <n v="203.57"/>
    <m/>
    <n v="907.37656678465794"/>
    <n v="245.15495345670945"/>
    <n v="0"/>
    <n v="175827.84336"/>
    <n v="51329.768359999995"/>
    <n v="0"/>
    <n v="228793.18656161791"/>
    <n v="61815.331204202375"/>
  </r>
  <r>
    <s v="Sistema de Compensação"/>
    <x v="2"/>
    <x v="3"/>
    <x v="4"/>
    <x v="0"/>
    <x v="0"/>
    <x v="0"/>
    <x v="2"/>
    <x v="9"/>
    <n v="0"/>
    <n v="0"/>
    <n v="25.52"/>
    <n v="25.52"/>
    <n v="25.52"/>
    <n v="25.52"/>
    <n v="33"/>
    <x v="0"/>
    <n v="0"/>
    <n v="0"/>
    <n v="9"/>
    <n v="56"/>
    <n v="0"/>
    <n v="697.32"/>
    <n v="203.57"/>
    <m/>
    <n v="907.37656678465794"/>
    <n v="245.15495345670945"/>
    <n v="0"/>
    <n v="17795.606400000001"/>
    <n v="5195.1063999999997"/>
    <n v="0"/>
    <n v="23156.249984344471"/>
    <n v="6256.3544122152252"/>
  </r>
  <r>
    <s v="Sistema de Compensação"/>
    <x v="2"/>
    <x v="3"/>
    <x v="4"/>
    <x v="0"/>
    <x v="0"/>
    <x v="0"/>
    <x v="2"/>
    <x v="9"/>
    <n v="0"/>
    <n v="0"/>
    <n v="0.41"/>
    <n v="0.41"/>
    <n v="0.41"/>
    <n v="0.41"/>
    <n v="1"/>
    <x v="0"/>
    <n v="0"/>
    <n v="0"/>
    <n v="9"/>
    <n v="56"/>
    <n v="0"/>
    <n v="697.32"/>
    <n v="203.57"/>
    <m/>
    <n v="907.37656678465794"/>
    <n v="245.15495345670945"/>
    <n v="0"/>
    <n v="285.90120000000002"/>
    <n v="83.463699999999989"/>
    <n v="0"/>
    <n v="372.02439238170973"/>
    <n v="100.51353091725086"/>
  </r>
  <r>
    <s v="Regular"/>
    <x v="2"/>
    <x v="3"/>
    <x v="4"/>
    <x v="0"/>
    <x v="0"/>
    <x v="0"/>
    <x v="2"/>
    <x v="10"/>
    <n v="0"/>
    <n v="0"/>
    <n v="244.285"/>
    <n v="244.285"/>
    <n v="244.285"/>
    <n v="244.285"/>
    <n v="531"/>
    <x v="0"/>
    <n v="0"/>
    <n v="0"/>
    <n v="9"/>
    <n v="56"/>
    <n v="0"/>
    <n v="697.32"/>
    <n v="203.57"/>
    <m/>
    <n v="907.37656678465794"/>
    <n v="245.15495345670945"/>
    <n v="0"/>
    <n v="170344.8162"/>
    <n v="49729.097450000001"/>
    <n v="0"/>
    <n v="221658.48461699017"/>
    <n v="59887.677805172265"/>
  </r>
  <r>
    <s v="Refaturamento - Regular"/>
    <x v="2"/>
    <x v="3"/>
    <x v="4"/>
    <x v="0"/>
    <x v="0"/>
    <x v="0"/>
    <x v="2"/>
    <x v="10"/>
    <n v="0"/>
    <n v="0"/>
    <n v="-0.28000000000000003"/>
    <n v="-0.28000000000000003"/>
    <n v="-0.28000000000000003"/>
    <n v="-0.28000000000000003"/>
    <n v="0"/>
    <x v="0"/>
    <n v="0"/>
    <n v="0"/>
    <n v="9"/>
    <n v="56"/>
    <n v="0"/>
    <n v="697.32"/>
    <n v="203.57"/>
    <m/>
    <n v="907.37656678465794"/>
    <n v="245.15495345670945"/>
    <n v="0"/>
    <n v="-195.24960000000004"/>
    <n v="-56.999600000000001"/>
    <n v="0"/>
    <n v="-254.06543869970426"/>
    <n v="-68.643386967878655"/>
  </r>
  <r>
    <s v="Sistema de Compensação"/>
    <x v="2"/>
    <x v="3"/>
    <x v="4"/>
    <x v="0"/>
    <x v="0"/>
    <x v="0"/>
    <x v="2"/>
    <x v="10"/>
    <n v="0"/>
    <n v="0"/>
    <n v="27.195"/>
    <n v="27.195"/>
    <n v="27.195"/>
    <n v="27.195"/>
    <n v="38"/>
    <x v="0"/>
    <n v="0"/>
    <n v="0"/>
    <n v="9"/>
    <n v="56"/>
    <n v="0"/>
    <n v="697.32"/>
    <n v="203.57"/>
    <m/>
    <n v="907.37656678465794"/>
    <n v="245.15495345670945"/>
    <n v="0"/>
    <n v="18963.617400000003"/>
    <n v="5536.0861500000001"/>
    <n v="0"/>
    <n v="24676.105733708773"/>
    <n v="6666.9889592552136"/>
  </r>
  <r>
    <s v="Regular"/>
    <x v="2"/>
    <x v="3"/>
    <x v="4"/>
    <x v="0"/>
    <x v="0"/>
    <x v="0"/>
    <x v="2"/>
    <x v="11"/>
    <n v="0"/>
    <n v="0"/>
    <n v="235.93100000000001"/>
    <n v="235.93100000000001"/>
    <n v="235.93100000000001"/>
    <n v="235.93100000000001"/>
    <n v="524"/>
    <x v="0"/>
    <n v="0"/>
    <n v="0"/>
    <n v="9"/>
    <n v="56"/>
    <n v="0"/>
    <n v="697.32"/>
    <n v="203.57"/>
    <m/>
    <n v="907.37656678465794"/>
    <n v="245.15495345670945"/>
    <n v="0"/>
    <n v="164519.40492000003"/>
    <n v="48028.473669999999"/>
    <n v="0"/>
    <n v="214078.26077807116"/>
    <n v="57839.65332399492"/>
  </r>
  <r>
    <s v="Refaturamento - Regular"/>
    <x v="2"/>
    <x v="3"/>
    <x v="4"/>
    <x v="0"/>
    <x v="0"/>
    <x v="0"/>
    <x v="2"/>
    <x v="11"/>
    <n v="0"/>
    <n v="0"/>
    <n v="-0.3"/>
    <n v="-0.3"/>
    <n v="-0.3"/>
    <n v="-0.3"/>
    <n v="0"/>
    <x v="0"/>
    <n v="0"/>
    <n v="0"/>
    <n v="9"/>
    <n v="56"/>
    <n v="0"/>
    <n v="697.32"/>
    <n v="203.57"/>
    <m/>
    <n v="907.37656678465794"/>
    <n v="245.15495345670945"/>
    <n v="0"/>
    <n v="-209.196"/>
    <n v="-61.070999999999998"/>
    <n v="0"/>
    <n v="-272.21297003539735"/>
    <n v="-73.546486037012826"/>
  </r>
  <r>
    <s v="Sistema de Compensação"/>
    <x v="2"/>
    <x v="3"/>
    <x v="4"/>
    <x v="0"/>
    <x v="0"/>
    <x v="0"/>
    <x v="2"/>
    <x v="11"/>
    <n v="0"/>
    <n v="0"/>
    <n v="34.454999999999998"/>
    <n v="34.454999999999998"/>
    <n v="34.454999999999998"/>
    <n v="34.454999999999998"/>
    <n v="40"/>
    <x v="0"/>
    <n v="0"/>
    <n v="0"/>
    <n v="9"/>
    <n v="56"/>
    <n v="0"/>
    <n v="697.32"/>
    <n v="203.57"/>
    <m/>
    <n v="907.37656678465794"/>
    <n v="245.15495345670945"/>
    <n v="0"/>
    <n v="24026.160599999999"/>
    <n v="7014.0043499999992"/>
    <n v="0"/>
    <n v="31263.659608565387"/>
    <n v="8446.8139213509239"/>
  </r>
  <r>
    <s v="Regular"/>
    <x v="3"/>
    <x v="3"/>
    <x v="1"/>
    <x v="0"/>
    <x v="0"/>
    <x v="0"/>
    <x v="2"/>
    <x v="0"/>
    <n v="0"/>
    <n v="0"/>
    <n v="288.08100000000002"/>
    <n v="288.08100000000002"/>
    <n v="288.08100000000002"/>
    <n v="288.08100000000002"/>
    <n v="652"/>
    <x v="0"/>
    <n v="0"/>
    <n v="0"/>
    <n v="39"/>
    <n v="73"/>
    <n v="0"/>
    <n v="792.41"/>
    <n v="231.33"/>
    <m/>
    <n v="965.29421998367866"/>
    <n v="260.80314197522284"/>
    <n v="0"/>
    <n v="228278.26521000001"/>
    <n v="66641.777730000002"/>
    <n v="0"/>
    <n v="278082.92418711813"/>
    <n v="75132.429943364172"/>
  </r>
  <r>
    <s v="Refaturamento - Regular"/>
    <x v="3"/>
    <x v="3"/>
    <x v="1"/>
    <x v="0"/>
    <x v="0"/>
    <x v="0"/>
    <x v="2"/>
    <x v="0"/>
    <n v="0"/>
    <n v="0"/>
    <n v="-0.47899999999999998"/>
    <n v="-0.47899999999999998"/>
    <n v="-0.47899999999999998"/>
    <n v="-0.47899999999999998"/>
    <n v="0"/>
    <x v="0"/>
    <n v="0"/>
    <n v="0"/>
    <n v="39"/>
    <n v="73"/>
    <n v="0"/>
    <n v="792.41"/>
    <n v="231.33"/>
    <m/>
    <n v="965.29421998367866"/>
    <n v="260.80314197522284"/>
    <n v="0"/>
    <n v="-379.56438999999995"/>
    <n v="-110.80707"/>
    <n v="0"/>
    <n v="-462.37593137218204"/>
    <n v="-124.92470500613173"/>
  </r>
  <r>
    <s v="Sistema de Compensação"/>
    <x v="3"/>
    <x v="3"/>
    <x v="1"/>
    <x v="0"/>
    <x v="0"/>
    <x v="0"/>
    <x v="2"/>
    <x v="0"/>
    <n v="0"/>
    <n v="0"/>
    <n v="2.069"/>
    <n v="2.069"/>
    <n v="2.069"/>
    <n v="2.069"/>
    <n v="6"/>
    <x v="0"/>
    <n v="0"/>
    <n v="0"/>
    <n v="39"/>
    <n v="73"/>
    <n v="0"/>
    <n v="792.41"/>
    <n v="231.33"/>
    <m/>
    <n v="965.29421998367866"/>
    <n v="260.80314197522284"/>
    <n v="0"/>
    <n v="1639.4962899999998"/>
    <n v="478.62177000000003"/>
    <n v="0"/>
    <n v="1997.1937411462311"/>
    <n v="539.60170074673601"/>
  </r>
  <r>
    <s v="Regular"/>
    <x v="3"/>
    <x v="3"/>
    <x v="1"/>
    <x v="0"/>
    <x v="0"/>
    <x v="0"/>
    <x v="2"/>
    <x v="1"/>
    <n v="0"/>
    <n v="0"/>
    <n v="256.959"/>
    <n v="256.959"/>
    <n v="256.959"/>
    <n v="256.959"/>
    <n v="656"/>
    <x v="0"/>
    <n v="0"/>
    <n v="0"/>
    <n v="39"/>
    <n v="73"/>
    <n v="0"/>
    <n v="792.41"/>
    <n v="231.33"/>
    <m/>
    <n v="965.29421998367866"/>
    <n v="260.80314197522284"/>
    <n v="0"/>
    <n v="203616.88118999999"/>
    <n v="59442.325470000003"/>
    <n v="0"/>
    <n v="248041.03747278609"/>
    <n v="67015.714558811291"/>
  </r>
  <r>
    <s v="Sistema de Compensação"/>
    <x v="3"/>
    <x v="3"/>
    <x v="1"/>
    <x v="0"/>
    <x v="0"/>
    <x v="0"/>
    <x v="2"/>
    <x v="1"/>
    <n v="0"/>
    <n v="0"/>
    <n v="2.9409999999999998"/>
    <n v="2.9409999999999998"/>
    <n v="2.9409999999999998"/>
    <n v="2.9409999999999998"/>
    <n v="7"/>
    <x v="0"/>
    <n v="0"/>
    <n v="0"/>
    <n v="39"/>
    <n v="73"/>
    <n v="0"/>
    <n v="792.41"/>
    <n v="231.33"/>
    <m/>
    <n v="965.29421998367866"/>
    <n v="260.80314197522284"/>
    <n v="0"/>
    <n v="2330.4778099999999"/>
    <n v="680.34153000000003"/>
    <n v="0"/>
    <n v="2838.9303009719988"/>
    <n v="767.02204054913034"/>
  </r>
  <r>
    <s v="Regular"/>
    <x v="3"/>
    <x v="3"/>
    <x v="1"/>
    <x v="0"/>
    <x v="0"/>
    <x v="0"/>
    <x v="2"/>
    <x v="2"/>
    <n v="0"/>
    <n v="0"/>
    <n v="262.52999999999997"/>
    <n v="262.52999999999997"/>
    <n v="262.52999999999997"/>
    <n v="262.52999999999997"/>
    <n v="660"/>
    <x v="0"/>
    <n v="0"/>
    <n v="0"/>
    <n v="39"/>
    <n v="73"/>
    <n v="0"/>
    <n v="792.41"/>
    <n v="231.33"/>
    <m/>
    <n v="965.29421998367866"/>
    <n v="260.80314197522284"/>
    <n v="0"/>
    <n v="208031.39729999998"/>
    <n v="60731.064899999998"/>
    <n v="0"/>
    <n v="253418.69157231512"/>
    <n v="68468.648862755246"/>
  </r>
  <r>
    <s v="Sistema de Compensação"/>
    <x v="3"/>
    <x v="3"/>
    <x v="1"/>
    <x v="0"/>
    <x v="0"/>
    <x v="0"/>
    <x v="2"/>
    <x v="2"/>
    <n v="0"/>
    <n v="0"/>
    <n v="3.2669999999999999"/>
    <n v="3.2669999999999999"/>
    <n v="3.2669999999999999"/>
    <n v="3.2669999999999999"/>
    <n v="7"/>
    <x v="0"/>
    <n v="0"/>
    <n v="0"/>
    <n v="39"/>
    <n v="73"/>
    <n v="0"/>
    <n v="792.41"/>
    <n v="231.33"/>
    <m/>
    <n v="965.29421998367866"/>
    <n v="260.80314197522284"/>
    <n v="0"/>
    <n v="2588.8034699999998"/>
    <n v="755.75511000000006"/>
    <n v="0"/>
    <n v="3153.6162166866779"/>
    <n v="852.04386483305302"/>
  </r>
  <r>
    <s v="Regular"/>
    <x v="3"/>
    <x v="3"/>
    <x v="1"/>
    <x v="0"/>
    <x v="0"/>
    <x v="0"/>
    <x v="2"/>
    <x v="3"/>
    <n v="0"/>
    <n v="0"/>
    <n v="237.82300000000001"/>
    <n v="237.82300000000001"/>
    <n v="237.82300000000001"/>
    <n v="237.82300000000001"/>
    <n v="665"/>
    <x v="0"/>
    <n v="0"/>
    <n v="0"/>
    <n v="39"/>
    <n v="73"/>
    <n v="0"/>
    <n v="792.41"/>
    <n v="231.33"/>
    <m/>
    <n v="965.29421998367866"/>
    <n v="260.80314197522284"/>
    <n v="0"/>
    <n v="188453.32342999999"/>
    <n v="55015.594590000008"/>
    <n v="0"/>
    <n v="229569.16727917842"/>
    <n v="62024.985633973425"/>
  </r>
  <r>
    <s v="Refaturamento - Regular"/>
    <x v="3"/>
    <x v="3"/>
    <x v="1"/>
    <x v="0"/>
    <x v="0"/>
    <x v="0"/>
    <x v="2"/>
    <x v="3"/>
    <n v="0"/>
    <n v="0"/>
    <n v="0.36"/>
    <n v="0.36"/>
    <n v="0.36"/>
    <n v="0.36"/>
    <n v="0"/>
    <x v="0"/>
    <n v="0"/>
    <n v="0"/>
    <n v="39"/>
    <n v="73"/>
    <n v="0"/>
    <n v="792.41"/>
    <n v="231.33"/>
    <m/>
    <n v="965.29421998367866"/>
    <n v="260.80314197522284"/>
    <n v="0"/>
    <n v="285.26759999999996"/>
    <n v="83.278800000000004"/>
    <n v="0"/>
    <n v="347.50591919412432"/>
    <n v="93.889131111080218"/>
  </r>
  <r>
    <s v="Sistema de Compensação"/>
    <x v="3"/>
    <x v="3"/>
    <x v="1"/>
    <x v="0"/>
    <x v="0"/>
    <x v="0"/>
    <x v="2"/>
    <x v="3"/>
    <n v="0"/>
    <n v="0"/>
    <n v="3.0489999999999999"/>
    <n v="3.0489999999999999"/>
    <n v="3.0489999999999999"/>
    <n v="3.0489999999999999"/>
    <n v="7"/>
    <x v="0"/>
    <n v="0"/>
    <n v="0"/>
    <n v="39"/>
    <n v="73"/>
    <n v="0"/>
    <n v="792.41"/>
    <n v="231.33"/>
    <m/>
    <n v="965.29421998367866"/>
    <n v="260.80314197522284"/>
    <n v="0"/>
    <n v="2416.05809"/>
    <n v="705.32517000000007"/>
    <n v="0"/>
    <n v="2943.1820767302361"/>
    <n v="795.18877988245447"/>
  </r>
  <r>
    <s v="Regular"/>
    <x v="3"/>
    <x v="3"/>
    <x v="1"/>
    <x v="0"/>
    <x v="0"/>
    <x v="0"/>
    <x v="2"/>
    <x v="4"/>
    <n v="0"/>
    <n v="0"/>
    <n v="254.83600000000001"/>
    <n v="254.83600000000001"/>
    <n v="254.83600000000001"/>
    <n v="254.83600000000001"/>
    <n v="664"/>
    <x v="0"/>
    <n v="0"/>
    <n v="0"/>
    <n v="39"/>
    <n v="73"/>
    <n v="0"/>
    <n v="792.41"/>
    <n v="231.33"/>
    <m/>
    <n v="965.29421998367866"/>
    <n v="260.80314197522284"/>
    <n v="0"/>
    <n v="201934.59476000001"/>
    <n v="58951.211880000003"/>
    <n v="0"/>
    <n v="245991.71784376074"/>
    <n v="66462.029488397893"/>
  </r>
  <r>
    <s v="Sistema de Compensação"/>
    <x v="3"/>
    <x v="3"/>
    <x v="1"/>
    <x v="0"/>
    <x v="0"/>
    <x v="0"/>
    <x v="2"/>
    <x v="4"/>
    <n v="0"/>
    <n v="0"/>
    <n v="2.7719999999999998"/>
    <n v="2.7719999999999998"/>
    <n v="2.7719999999999998"/>
    <n v="2.7719999999999998"/>
    <n v="7"/>
    <x v="0"/>
    <n v="0"/>
    <n v="0"/>
    <n v="39"/>
    <n v="73"/>
    <n v="0"/>
    <n v="792.41"/>
    <n v="231.33"/>
    <m/>
    <n v="965.29421998367866"/>
    <n v="260.80314197522284"/>
    <n v="0"/>
    <n v="2196.5605199999995"/>
    <n v="641.24675999999999"/>
    <n v="0"/>
    <n v="2675.7955777947573"/>
    <n v="722.94630955531761"/>
  </r>
  <r>
    <s v="Regular"/>
    <x v="3"/>
    <x v="3"/>
    <x v="1"/>
    <x v="0"/>
    <x v="0"/>
    <x v="0"/>
    <x v="2"/>
    <x v="5"/>
    <n v="0"/>
    <n v="0"/>
    <n v="280.89600000000002"/>
    <n v="280.89600000000002"/>
    <n v="280.89600000000002"/>
    <n v="280.89600000000002"/>
    <n v="662"/>
    <x v="0"/>
    <n v="0"/>
    <n v="0"/>
    <n v="39"/>
    <n v="73"/>
    <n v="0"/>
    <n v="792.41"/>
    <n v="231.33"/>
    <m/>
    <n v="965.29421998367866"/>
    <n v="260.80314197522284"/>
    <n v="0"/>
    <n v="222584.79936"/>
    <n v="64979.671680000007"/>
    <n v="0"/>
    <n v="271147.28521653544"/>
    <n v="73258.559368272196"/>
  </r>
  <r>
    <s v="Sistema de Compensação"/>
    <x v="3"/>
    <x v="3"/>
    <x v="1"/>
    <x v="0"/>
    <x v="0"/>
    <x v="0"/>
    <x v="2"/>
    <x v="5"/>
    <n v="0"/>
    <n v="0"/>
    <n v="4.492"/>
    <n v="4.492"/>
    <n v="4.492"/>
    <n v="4.492"/>
    <n v="8"/>
    <x v="0"/>
    <n v="0"/>
    <n v="0"/>
    <n v="39"/>
    <n v="73"/>
    <n v="0"/>
    <n v="792.41"/>
    <n v="231.33"/>
    <m/>
    <n v="965.29421998367866"/>
    <n v="260.80314197522284"/>
    <n v="0"/>
    <n v="3559.5057199999997"/>
    <n v="1039.13436"/>
    <n v="0"/>
    <n v="4336.1016361666843"/>
    <n v="1171.5277137527009"/>
  </r>
  <r>
    <s v="Regular"/>
    <x v="3"/>
    <x v="3"/>
    <x v="1"/>
    <x v="0"/>
    <x v="0"/>
    <x v="0"/>
    <x v="2"/>
    <x v="6"/>
    <n v="0"/>
    <n v="0"/>
    <n v="272.7"/>
    <n v="272.7"/>
    <n v="272.7"/>
    <n v="272.7"/>
    <n v="663"/>
    <x v="0"/>
    <n v="0"/>
    <n v="0"/>
    <n v="39"/>
    <n v="73"/>
    <n v="0"/>
    <n v="792.41"/>
    <n v="231.33"/>
    <m/>
    <n v="965.29421998367866"/>
    <n v="260.80314197522284"/>
    <n v="0"/>
    <n v="216090.20699999999"/>
    <n v="63083.690999999999"/>
    <n v="0"/>
    <n v="263235.73378954915"/>
    <n v="71121.01681664327"/>
  </r>
  <r>
    <s v="Refaturamento - Regular"/>
    <x v="3"/>
    <x v="3"/>
    <x v="1"/>
    <x v="0"/>
    <x v="0"/>
    <x v="0"/>
    <x v="2"/>
    <x v="6"/>
    <n v="0"/>
    <n v="0"/>
    <n v="-0.56799999999999995"/>
    <n v="-0.56799999999999995"/>
    <n v="-0.56799999999999995"/>
    <n v="-0.56799999999999995"/>
    <n v="0"/>
    <x v="0"/>
    <n v="0"/>
    <n v="0"/>
    <n v="39"/>
    <n v="73"/>
    <n v="0"/>
    <n v="792.41"/>
    <n v="231.33"/>
    <m/>
    <n v="965.29421998367866"/>
    <n v="260.80314197522284"/>
    <n v="0"/>
    <n v="-450.08887999999996"/>
    <n v="-131.39544000000001"/>
    <n v="0"/>
    <n v="-548.28711695072946"/>
    <n v="-148.13618464192655"/>
  </r>
  <r>
    <s v="Sistema de Compensação"/>
    <x v="3"/>
    <x v="3"/>
    <x v="1"/>
    <x v="0"/>
    <x v="0"/>
    <x v="0"/>
    <x v="2"/>
    <x v="6"/>
    <n v="0"/>
    <n v="0"/>
    <n v="4.4340000000000002"/>
    <n v="4.4340000000000002"/>
    <n v="4.4340000000000002"/>
    <n v="4.4340000000000002"/>
    <n v="8"/>
    <x v="0"/>
    <n v="0"/>
    <n v="0"/>
    <n v="39"/>
    <n v="73"/>
    <n v="0"/>
    <n v="792.41"/>
    <n v="231.33"/>
    <m/>
    <n v="965.29421998367866"/>
    <n v="260.80314197522284"/>
    <n v="0"/>
    <n v="3513.54594"/>
    <n v="1025.71722"/>
    <n v="0"/>
    <n v="4280.114571407631"/>
    <n v="1156.4011315181381"/>
  </r>
  <r>
    <s v="Regular"/>
    <x v="3"/>
    <x v="3"/>
    <x v="1"/>
    <x v="0"/>
    <x v="0"/>
    <x v="0"/>
    <x v="2"/>
    <x v="7"/>
    <n v="0"/>
    <n v="0"/>
    <n v="272.077"/>
    <n v="272.077"/>
    <n v="272.077"/>
    <n v="272.077"/>
    <n v="661"/>
    <x v="0"/>
    <n v="0"/>
    <n v="0"/>
    <n v="39"/>
    <n v="73"/>
    <n v="0"/>
    <n v="792.41"/>
    <n v="231.33"/>
    <m/>
    <n v="965.29421998367866"/>
    <n v="260.80314197522284"/>
    <n v="0"/>
    <n v="215596.53556999998"/>
    <n v="62939.572410000001"/>
    <n v="0"/>
    <n v="262634.35549049935"/>
    <n v="70958.536459192706"/>
  </r>
  <r>
    <s v="Sistema de Compensação"/>
    <x v="3"/>
    <x v="3"/>
    <x v="1"/>
    <x v="0"/>
    <x v="0"/>
    <x v="0"/>
    <x v="2"/>
    <x v="7"/>
    <n v="0"/>
    <n v="0"/>
    <n v="4.4800000000000004"/>
    <n v="4.4800000000000004"/>
    <n v="4.4800000000000004"/>
    <n v="4.4800000000000004"/>
    <n v="9"/>
    <x v="0"/>
    <n v="0"/>
    <n v="0"/>
    <n v="39"/>
    <n v="73"/>
    <n v="0"/>
    <n v="792.41"/>
    <n v="231.33"/>
    <m/>
    <n v="965.29421998367866"/>
    <n v="260.80314197522284"/>
    <n v="0"/>
    <n v="3549.9968000000003"/>
    <n v="1036.3584000000001"/>
    <n v="0"/>
    <n v="4324.5181055268804"/>
    <n v="1168.3980760489985"/>
  </r>
  <r>
    <s v="Regular"/>
    <x v="3"/>
    <x v="3"/>
    <x v="1"/>
    <x v="0"/>
    <x v="0"/>
    <x v="0"/>
    <x v="2"/>
    <x v="8"/>
    <n v="0"/>
    <n v="0"/>
    <n v="280.637"/>
    <n v="280.637"/>
    <n v="280.637"/>
    <n v="280.637"/>
    <n v="664"/>
    <x v="0"/>
    <n v="0"/>
    <n v="0"/>
    <n v="39"/>
    <n v="73"/>
    <n v="0"/>
    <n v="792.41"/>
    <n v="231.33"/>
    <m/>
    <n v="965.29421998367866"/>
    <n v="260.80314197522284"/>
    <n v="0"/>
    <n v="222379.56516999999"/>
    <n v="64919.757210000003"/>
    <n v="0"/>
    <n v="270897.27401355963"/>
    <n v="73191.011354500617"/>
  </r>
  <r>
    <s v="Sistema de Compensação"/>
    <x v="3"/>
    <x v="3"/>
    <x v="1"/>
    <x v="0"/>
    <x v="0"/>
    <x v="0"/>
    <x v="2"/>
    <x v="8"/>
    <n v="0"/>
    <n v="0"/>
    <n v="3.5219999999999998"/>
    <n v="3.5219999999999998"/>
    <n v="3.5219999999999998"/>
    <n v="3.5219999999999998"/>
    <n v="10"/>
    <x v="0"/>
    <n v="0"/>
    <n v="0"/>
    <n v="39"/>
    <n v="73"/>
    <n v="0"/>
    <n v="792.41"/>
    <n v="231.33"/>
    <m/>
    <n v="965.29421998367866"/>
    <n v="260.80314197522284"/>
    <n v="0"/>
    <n v="2790.8680199999999"/>
    <n v="814.74426000000005"/>
    <n v="0"/>
    <n v="3399.7662427825162"/>
    <n v="918.54866603673474"/>
  </r>
  <r>
    <s v="Regular"/>
    <x v="3"/>
    <x v="3"/>
    <x v="1"/>
    <x v="0"/>
    <x v="0"/>
    <x v="0"/>
    <x v="2"/>
    <x v="9"/>
    <n v="0"/>
    <n v="0"/>
    <n v="289.33"/>
    <n v="289.33"/>
    <n v="289.33"/>
    <n v="289.33"/>
    <n v="664"/>
    <x v="0"/>
    <n v="0"/>
    <n v="0"/>
    <n v="39"/>
    <n v="73"/>
    <n v="0"/>
    <n v="792.41"/>
    <n v="231.33"/>
    <m/>
    <n v="965.29421998367866"/>
    <n v="260.80314197522284"/>
    <n v="0"/>
    <n v="229267.98529999997"/>
    <n v="66930.708899999998"/>
    <n v="0"/>
    <n v="279288.57666787773"/>
    <n v="75458.173067691227"/>
  </r>
  <r>
    <s v="Sistema de Compensação"/>
    <x v="3"/>
    <x v="3"/>
    <x v="1"/>
    <x v="0"/>
    <x v="0"/>
    <x v="0"/>
    <x v="2"/>
    <x v="9"/>
    <n v="0"/>
    <n v="0"/>
    <n v="7.1459999999999999"/>
    <n v="7.1459999999999999"/>
    <n v="7.1459999999999999"/>
    <n v="7.1459999999999999"/>
    <n v="12"/>
    <x v="0"/>
    <n v="0"/>
    <n v="0"/>
    <n v="39"/>
    <n v="73"/>
    <n v="0"/>
    <n v="792.41"/>
    <n v="231.33"/>
    <m/>
    <n v="965.29421998367866"/>
    <n v="260.80314197522284"/>
    <n v="0"/>
    <n v="5662.5618599999998"/>
    <n v="1653.0841800000001"/>
    <n v="0"/>
    <n v="6897.9924960033677"/>
    <n v="1863.6992525549424"/>
  </r>
  <r>
    <s v="Regular"/>
    <x v="3"/>
    <x v="3"/>
    <x v="1"/>
    <x v="0"/>
    <x v="0"/>
    <x v="0"/>
    <x v="2"/>
    <x v="10"/>
    <n v="0"/>
    <n v="0"/>
    <n v="316.45400000000001"/>
    <n v="316.45400000000001"/>
    <n v="316.45400000000001"/>
    <n v="316.45400000000001"/>
    <n v="665"/>
    <x v="0"/>
    <n v="0"/>
    <n v="0"/>
    <n v="39"/>
    <n v="73"/>
    <n v="0"/>
    <n v="792.41"/>
    <n v="231.33"/>
    <m/>
    <n v="965.29421998367866"/>
    <n v="260.80314197522284"/>
    <n v="0"/>
    <n v="250761.31414"/>
    <n v="73205.303820000001"/>
    <n v="0"/>
    <n v="305471.21709071507"/>
    <n v="82532.197490627164"/>
  </r>
  <r>
    <s v="Sistema de Compensação"/>
    <x v="3"/>
    <x v="3"/>
    <x v="1"/>
    <x v="0"/>
    <x v="0"/>
    <x v="0"/>
    <x v="2"/>
    <x v="10"/>
    <n v="0"/>
    <n v="0"/>
    <n v="3.4529999999999998"/>
    <n v="3.4529999999999998"/>
    <n v="3.4529999999999998"/>
    <n v="3.4529999999999998"/>
    <n v="12"/>
    <x v="0"/>
    <n v="0"/>
    <n v="0"/>
    <n v="39"/>
    <n v="73"/>
    <n v="0"/>
    <n v="792.41"/>
    <n v="231.33"/>
    <m/>
    <n v="965.29421998367866"/>
    <n v="260.80314197522284"/>
    <n v="0"/>
    <n v="2736.1917299999996"/>
    <n v="798.78249000000005"/>
    <n v="0"/>
    <n v="3333.1609416036422"/>
    <n v="900.55324924044442"/>
  </r>
  <r>
    <s v="Regular"/>
    <x v="3"/>
    <x v="3"/>
    <x v="1"/>
    <x v="0"/>
    <x v="0"/>
    <x v="0"/>
    <x v="2"/>
    <x v="11"/>
    <n v="0"/>
    <n v="0"/>
    <n v="310.82"/>
    <n v="310.82"/>
    <n v="310.82"/>
    <n v="310.82"/>
    <n v="665"/>
    <x v="0"/>
    <n v="0"/>
    <n v="0"/>
    <n v="39"/>
    <n v="73"/>
    <n v="0"/>
    <n v="792.41"/>
    <n v="231.33"/>
    <m/>
    <n v="965.29421998367866"/>
    <n v="260.80314197522284"/>
    <n v="0"/>
    <n v="246296.8762"/>
    <n v="71901.990600000005"/>
    <n v="0"/>
    <n v="300032.74945532699"/>
    <n v="81062.832588738762"/>
  </r>
  <r>
    <s v="Sistema de Compensação"/>
    <x v="3"/>
    <x v="3"/>
    <x v="1"/>
    <x v="0"/>
    <x v="0"/>
    <x v="0"/>
    <x v="2"/>
    <x v="11"/>
    <n v="0"/>
    <n v="0"/>
    <n v="5.0650000000000004"/>
    <n v="5.0650000000000004"/>
    <n v="5.0650000000000004"/>
    <n v="5.0650000000000004"/>
    <n v="13"/>
    <x v="0"/>
    <n v="0"/>
    <n v="0"/>
    <n v="39"/>
    <n v="73"/>
    <n v="0"/>
    <n v="792.41"/>
    <n v="231.33"/>
    <m/>
    <n v="965.29421998367866"/>
    <n v="260.80314197522284"/>
    <n v="0"/>
    <n v="4013.55665"/>
    <n v="1171.6864500000001"/>
    <n v="0"/>
    <n v="4889.2152242173324"/>
    <n v="1320.9679141045037"/>
  </r>
  <r>
    <s v="Regular"/>
    <x v="3"/>
    <x v="3"/>
    <x v="5"/>
    <x v="0"/>
    <x v="0"/>
    <x v="0"/>
    <x v="2"/>
    <x v="0"/>
    <n v="0"/>
    <n v="0"/>
    <n v="0.38"/>
    <n v="0.38"/>
    <n v="0.38"/>
    <n v="0.38"/>
    <n v="4"/>
    <x v="0"/>
    <n v="0"/>
    <n v="0"/>
    <n v="39"/>
    <n v="73"/>
    <n v="0"/>
    <n v="792.41"/>
    <n v="231.33"/>
    <m/>
    <n v="965.29421998367866"/>
    <n v="260.80314197522284"/>
    <n v="0"/>
    <n v="301.11579999999998"/>
    <n v="87.9054"/>
    <n v="0"/>
    <n v="366.81180359379789"/>
    <n v="99.105193950584678"/>
  </r>
  <r>
    <s v="Sistema de Compensação"/>
    <x v="3"/>
    <x v="3"/>
    <x v="5"/>
    <x v="0"/>
    <x v="0"/>
    <x v="0"/>
    <x v="2"/>
    <x v="0"/>
    <n v="0"/>
    <n v="0"/>
    <n v="2.7160000000000002"/>
    <n v="2.7160000000000002"/>
    <n v="2.7160000000000002"/>
    <n v="2.7160000000000002"/>
    <n v="2"/>
    <x v="0"/>
    <n v="0"/>
    <n v="0"/>
    <n v="39"/>
    <n v="73"/>
    <n v="0"/>
    <n v="792.41"/>
    <n v="231.33"/>
    <m/>
    <n v="965.29421998367866"/>
    <n v="260.80314197522284"/>
    <n v="0"/>
    <n v="2152.1855599999999"/>
    <n v="628.29228000000012"/>
    <n v="0"/>
    <n v="2621.7391014756713"/>
    <n v="708.34133360470526"/>
  </r>
  <r>
    <s v="Regular"/>
    <x v="3"/>
    <x v="3"/>
    <x v="5"/>
    <x v="0"/>
    <x v="0"/>
    <x v="0"/>
    <x v="2"/>
    <x v="1"/>
    <n v="0"/>
    <n v="0"/>
    <n v="2.427"/>
    <n v="2.427"/>
    <n v="2.427"/>
    <n v="2.427"/>
    <n v="5"/>
    <x v="0"/>
    <n v="0"/>
    <n v="0"/>
    <n v="39"/>
    <n v="73"/>
    <n v="0"/>
    <n v="792.41"/>
    <n v="231.33"/>
    <m/>
    <n v="965.29421998367866"/>
    <n v="260.80314197522284"/>
    <n v="0"/>
    <n v="1923.1790699999999"/>
    <n v="561.43790999999999"/>
    <n v="0"/>
    <n v="2342.7690719003881"/>
    <n v="632.96922557386586"/>
  </r>
  <r>
    <s v="Sistema de Compensação"/>
    <x v="3"/>
    <x v="3"/>
    <x v="5"/>
    <x v="0"/>
    <x v="0"/>
    <x v="0"/>
    <x v="2"/>
    <x v="1"/>
    <n v="0"/>
    <n v="0"/>
    <n v="0.1"/>
    <n v="0.1"/>
    <n v="0.1"/>
    <n v="0.1"/>
    <n v="1"/>
    <x v="0"/>
    <n v="0"/>
    <n v="0"/>
    <n v="39"/>
    <n v="73"/>
    <n v="0"/>
    <n v="792.41"/>
    <n v="231.33"/>
    <m/>
    <n v="965.29421998367866"/>
    <n v="260.80314197522284"/>
    <n v="0"/>
    <n v="79.241"/>
    <n v="23.133000000000003"/>
    <n v="0"/>
    <n v="96.529421998367866"/>
    <n v="26.080314197522284"/>
  </r>
  <r>
    <s v="Regular"/>
    <x v="3"/>
    <x v="3"/>
    <x v="5"/>
    <x v="0"/>
    <x v="0"/>
    <x v="0"/>
    <x v="2"/>
    <x v="2"/>
    <n v="0"/>
    <n v="0"/>
    <n v="2.044"/>
    <n v="2.044"/>
    <n v="2.044"/>
    <n v="2.044"/>
    <n v="5"/>
    <x v="0"/>
    <n v="0"/>
    <n v="0"/>
    <n v="39"/>
    <n v="73"/>
    <n v="0"/>
    <n v="792.41"/>
    <n v="231.33"/>
    <m/>
    <n v="965.29421998367866"/>
    <n v="260.80314197522284"/>
    <n v="0"/>
    <n v="1619.68604"/>
    <n v="472.83852000000002"/>
    <n v="0"/>
    <n v="1973.0613856466391"/>
    <n v="533.0816221973555"/>
  </r>
  <r>
    <s v="Sistema de Compensação"/>
    <x v="3"/>
    <x v="3"/>
    <x v="5"/>
    <x v="0"/>
    <x v="0"/>
    <x v="0"/>
    <x v="2"/>
    <x v="2"/>
    <n v="0"/>
    <n v="0"/>
    <n v="0.1"/>
    <n v="0.1"/>
    <n v="0.1"/>
    <n v="0.1"/>
    <n v="1"/>
    <x v="0"/>
    <n v="0"/>
    <n v="0"/>
    <n v="39"/>
    <n v="73"/>
    <n v="0"/>
    <n v="792.41"/>
    <n v="231.33"/>
    <m/>
    <n v="965.29421998367866"/>
    <n v="260.80314197522284"/>
    <n v="0"/>
    <n v="79.241"/>
    <n v="23.133000000000003"/>
    <n v="0"/>
    <n v="96.529421998367866"/>
    <n v="26.080314197522284"/>
  </r>
  <r>
    <s v="Regular"/>
    <x v="3"/>
    <x v="3"/>
    <x v="5"/>
    <x v="0"/>
    <x v="0"/>
    <x v="0"/>
    <x v="2"/>
    <x v="3"/>
    <n v="0"/>
    <n v="0"/>
    <n v="0.254"/>
    <n v="0.254"/>
    <n v="0.254"/>
    <n v="0.254"/>
    <n v="4"/>
    <x v="0"/>
    <n v="0"/>
    <n v="0"/>
    <n v="39"/>
    <n v="73"/>
    <n v="0"/>
    <n v="792.41"/>
    <n v="231.33"/>
    <m/>
    <n v="965.29421998367866"/>
    <n v="260.80314197522284"/>
    <n v="0"/>
    <n v="201.27214000000001"/>
    <n v="58.757820000000002"/>
    <n v="0"/>
    <n v="245.1847318758544"/>
    <n v="66.243998061706606"/>
  </r>
  <r>
    <s v="Sistema de Compensação"/>
    <x v="3"/>
    <x v="3"/>
    <x v="5"/>
    <x v="0"/>
    <x v="0"/>
    <x v="0"/>
    <x v="2"/>
    <x v="3"/>
    <n v="0"/>
    <n v="0"/>
    <n v="1.4650000000000001"/>
    <n v="1.4650000000000001"/>
    <n v="1.4650000000000001"/>
    <n v="1.4650000000000001"/>
    <n v="2"/>
    <x v="0"/>
    <n v="0"/>
    <n v="0"/>
    <n v="39"/>
    <n v="73"/>
    <n v="0"/>
    <n v="792.41"/>
    <n v="231.33"/>
    <m/>
    <n v="965.29421998367866"/>
    <n v="260.80314197522284"/>
    <n v="0"/>
    <n v="1160.8806500000001"/>
    <n v="338.89845000000003"/>
    <n v="0"/>
    <n v="1414.1560322760893"/>
    <n v="382.0766029937015"/>
  </r>
  <r>
    <s v="Regular"/>
    <x v="3"/>
    <x v="3"/>
    <x v="5"/>
    <x v="0"/>
    <x v="0"/>
    <x v="0"/>
    <x v="2"/>
    <x v="4"/>
    <n v="0"/>
    <n v="0"/>
    <n v="0.24199999999999999"/>
    <n v="0.24199999999999999"/>
    <n v="0.24199999999999999"/>
    <n v="0.24199999999999999"/>
    <n v="4"/>
    <x v="0"/>
    <n v="0"/>
    <n v="0"/>
    <n v="39"/>
    <n v="73"/>
    <n v="0"/>
    <n v="792.41"/>
    <n v="231.33"/>
    <m/>
    <n v="965.29421998367866"/>
    <n v="260.80314197522284"/>
    <n v="0"/>
    <n v="191.76321999999999"/>
    <n v="55.981860000000005"/>
    <n v="0"/>
    <n v="233.60120123605023"/>
    <n v="63.114360358003928"/>
  </r>
  <r>
    <s v="Sistema de Compensação"/>
    <x v="3"/>
    <x v="3"/>
    <x v="5"/>
    <x v="0"/>
    <x v="0"/>
    <x v="0"/>
    <x v="2"/>
    <x v="4"/>
    <n v="0"/>
    <n v="0"/>
    <n v="1.3680000000000001"/>
    <n v="1.3680000000000001"/>
    <n v="1.3680000000000001"/>
    <n v="1.3680000000000001"/>
    <n v="2"/>
    <x v="0"/>
    <n v="0"/>
    <n v="0"/>
    <n v="39"/>
    <n v="73"/>
    <n v="0"/>
    <n v="792.41"/>
    <n v="231.33"/>
    <m/>
    <n v="965.29421998367866"/>
    <n v="260.80314197522284"/>
    <n v="0"/>
    <n v="1084.0168800000001"/>
    <n v="316.45944000000003"/>
    <n v="0"/>
    <n v="1320.5224929376725"/>
    <n v="356.77869822210488"/>
  </r>
  <r>
    <s v="Regular"/>
    <x v="3"/>
    <x v="3"/>
    <x v="5"/>
    <x v="0"/>
    <x v="0"/>
    <x v="0"/>
    <x v="2"/>
    <x v="5"/>
    <n v="0"/>
    <n v="0"/>
    <n v="2.2010000000000001"/>
    <n v="2.2010000000000001"/>
    <n v="2.2010000000000001"/>
    <n v="2.2010000000000001"/>
    <n v="5"/>
    <x v="0"/>
    <n v="0"/>
    <n v="0"/>
    <n v="39"/>
    <n v="73"/>
    <n v="0"/>
    <n v="792.41"/>
    <n v="231.33"/>
    <m/>
    <n v="965.29421998367866"/>
    <n v="260.80314197522284"/>
    <n v="0"/>
    <n v="1744.0944099999999"/>
    <n v="509.15733000000006"/>
    <n v="0"/>
    <n v="2124.6125781840769"/>
    <n v="574.02771548746546"/>
  </r>
  <r>
    <s v="Sistema de Compensação"/>
    <x v="3"/>
    <x v="3"/>
    <x v="5"/>
    <x v="0"/>
    <x v="0"/>
    <x v="0"/>
    <x v="2"/>
    <x v="5"/>
    <n v="0"/>
    <n v="0"/>
    <n v="0.1"/>
    <n v="0.1"/>
    <n v="0.1"/>
    <n v="0.1"/>
    <n v="1"/>
    <x v="0"/>
    <n v="0"/>
    <n v="0"/>
    <n v="39"/>
    <n v="73"/>
    <n v="0"/>
    <n v="792.41"/>
    <n v="231.33"/>
    <m/>
    <n v="965.29421998367866"/>
    <n v="260.80314197522284"/>
    <n v="0"/>
    <n v="79.241"/>
    <n v="23.133000000000003"/>
    <n v="0"/>
    <n v="96.529421998367866"/>
    <n v="26.080314197522284"/>
  </r>
  <r>
    <s v="Regular"/>
    <x v="3"/>
    <x v="3"/>
    <x v="5"/>
    <x v="0"/>
    <x v="0"/>
    <x v="0"/>
    <x v="2"/>
    <x v="6"/>
    <n v="0"/>
    <n v="0"/>
    <n v="2.4359999999999999"/>
    <n v="2.4359999999999999"/>
    <n v="2.4359999999999999"/>
    <n v="2.4359999999999999"/>
    <n v="5"/>
    <x v="0"/>
    <n v="0"/>
    <n v="0"/>
    <n v="39"/>
    <n v="73"/>
    <n v="0"/>
    <n v="792.41"/>
    <n v="231.33"/>
    <m/>
    <n v="965.29421998367866"/>
    <n v="260.80314197522284"/>
    <n v="0"/>
    <n v="1930.3107599999998"/>
    <n v="563.51988000000006"/>
    <n v="0"/>
    <n v="2351.4567198802411"/>
    <n v="635.31645385164279"/>
  </r>
  <r>
    <s v="Sistema de Compensação"/>
    <x v="3"/>
    <x v="3"/>
    <x v="5"/>
    <x v="0"/>
    <x v="0"/>
    <x v="0"/>
    <x v="2"/>
    <x v="6"/>
    <n v="0"/>
    <n v="0"/>
    <n v="0.1"/>
    <n v="0.1"/>
    <n v="0.1"/>
    <n v="0.1"/>
    <n v="1"/>
    <x v="0"/>
    <n v="0"/>
    <n v="0"/>
    <n v="39"/>
    <n v="73"/>
    <n v="0"/>
    <n v="792.41"/>
    <n v="231.33"/>
    <m/>
    <n v="965.29421998367866"/>
    <n v="260.80314197522284"/>
    <n v="0"/>
    <n v="79.241"/>
    <n v="23.133000000000003"/>
    <n v="0"/>
    <n v="96.529421998367866"/>
    <n v="26.080314197522284"/>
  </r>
  <r>
    <s v="Regular"/>
    <x v="3"/>
    <x v="3"/>
    <x v="5"/>
    <x v="0"/>
    <x v="0"/>
    <x v="0"/>
    <x v="2"/>
    <x v="7"/>
    <n v="0"/>
    <n v="0"/>
    <n v="2.31"/>
    <n v="2.31"/>
    <n v="2.31"/>
    <n v="2.31"/>
    <n v="5"/>
    <x v="0"/>
    <n v="0"/>
    <n v="0"/>
    <n v="39"/>
    <n v="73"/>
    <n v="0"/>
    <n v="792.41"/>
    <n v="231.33"/>
    <m/>
    <n v="965.29421998367866"/>
    <n v="260.80314197522284"/>
    <n v="0"/>
    <n v="1830.4671000000001"/>
    <n v="534.3723"/>
    <n v="0"/>
    <n v="2229.8296481622979"/>
    <n v="602.45525796276479"/>
  </r>
  <r>
    <s v="Sistema de Compensação"/>
    <x v="3"/>
    <x v="3"/>
    <x v="5"/>
    <x v="0"/>
    <x v="0"/>
    <x v="0"/>
    <x v="2"/>
    <x v="7"/>
    <n v="0"/>
    <n v="0"/>
    <n v="0.1"/>
    <n v="0.1"/>
    <n v="0.1"/>
    <n v="0.1"/>
    <n v="1"/>
    <x v="0"/>
    <n v="0"/>
    <n v="0"/>
    <n v="39"/>
    <n v="73"/>
    <n v="0"/>
    <n v="792.41"/>
    <n v="231.33"/>
    <m/>
    <n v="965.29421998367866"/>
    <n v="260.80314197522284"/>
    <n v="0"/>
    <n v="79.241"/>
    <n v="23.133000000000003"/>
    <n v="0"/>
    <n v="96.529421998367866"/>
    <n v="26.080314197522284"/>
  </r>
  <r>
    <s v="Regular"/>
    <x v="3"/>
    <x v="3"/>
    <x v="5"/>
    <x v="0"/>
    <x v="0"/>
    <x v="0"/>
    <x v="2"/>
    <x v="8"/>
    <n v="0"/>
    <n v="0"/>
    <n v="0.66300000000000003"/>
    <n v="0.66300000000000003"/>
    <n v="0.66300000000000003"/>
    <n v="0.66300000000000003"/>
    <n v="4"/>
    <x v="0"/>
    <n v="0"/>
    <n v="0"/>
    <n v="39"/>
    <n v="73"/>
    <n v="0"/>
    <n v="792.41"/>
    <n v="231.33"/>
    <m/>
    <n v="965.29421998367866"/>
    <n v="260.80314197522284"/>
    <n v="0"/>
    <n v="525.36783000000003"/>
    <n v="153.37179"/>
    <n v="0"/>
    <n v="639.99006784917901"/>
    <n v="172.91248312957276"/>
  </r>
  <r>
    <s v="Sistema de Compensação"/>
    <x v="3"/>
    <x v="3"/>
    <x v="5"/>
    <x v="0"/>
    <x v="0"/>
    <x v="0"/>
    <x v="2"/>
    <x v="8"/>
    <n v="0"/>
    <n v="0"/>
    <n v="2.2400000000000002"/>
    <n v="2.2400000000000002"/>
    <n v="2.2400000000000002"/>
    <n v="2.2400000000000002"/>
    <n v="2"/>
    <x v="0"/>
    <n v="0"/>
    <n v="0"/>
    <n v="39"/>
    <n v="73"/>
    <n v="0"/>
    <n v="792.41"/>
    <n v="231.33"/>
    <m/>
    <n v="965.29421998367866"/>
    <n v="260.80314197522284"/>
    <n v="0"/>
    <n v="1774.9984000000002"/>
    <n v="518.17920000000004"/>
    <n v="0"/>
    <n v="2162.2590527634402"/>
    <n v="584.19903802449926"/>
  </r>
  <r>
    <s v="Regular"/>
    <x v="3"/>
    <x v="3"/>
    <x v="5"/>
    <x v="0"/>
    <x v="0"/>
    <x v="0"/>
    <x v="2"/>
    <x v="9"/>
    <n v="0"/>
    <n v="0"/>
    <n v="3.4569999999999999"/>
    <n v="3.4569999999999999"/>
    <n v="3.4569999999999999"/>
    <n v="3.4569999999999999"/>
    <n v="5"/>
    <x v="0"/>
    <n v="0"/>
    <n v="0"/>
    <n v="39"/>
    <n v="73"/>
    <n v="0"/>
    <n v="792.41"/>
    <n v="231.33"/>
    <m/>
    <n v="965.29421998367866"/>
    <n v="260.80314197522284"/>
    <n v="0"/>
    <n v="2739.3613699999996"/>
    <n v="799.70780999999999"/>
    <n v="0"/>
    <n v="3337.0221184835768"/>
    <n v="901.59646180834534"/>
  </r>
  <r>
    <s v="Sistema de Compensação"/>
    <x v="3"/>
    <x v="3"/>
    <x v="5"/>
    <x v="0"/>
    <x v="0"/>
    <x v="0"/>
    <x v="2"/>
    <x v="9"/>
    <n v="0"/>
    <n v="0"/>
    <n v="0.11700000000000001"/>
    <n v="0.11700000000000001"/>
    <n v="0.11700000000000001"/>
    <n v="0.11700000000000001"/>
    <n v="1"/>
    <x v="0"/>
    <n v="0"/>
    <n v="0"/>
    <n v="39"/>
    <n v="73"/>
    <n v="0"/>
    <n v="792.41"/>
    <n v="231.33"/>
    <m/>
    <n v="965.29421998367866"/>
    <n v="260.80314197522284"/>
    <n v="0"/>
    <n v="92.711970000000008"/>
    <n v="27.065610000000003"/>
    <n v="0"/>
    <n v="112.93942373809041"/>
    <n v="30.513967611101073"/>
  </r>
  <r>
    <s v="Regular"/>
    <x v="3"/>
    <x v="3"/>
    <x v="5"/>
    <x v="0"/>
    <x v="0"/>
    <x v="0"/>
    <x v="2"/>
    <x v="10"/>
    <n v="0"/>
    <n v="0"/>
    <n v="3.8239999999999998"/>
    <n v="3.8239999999999998"/>
    <n v="3.8239999999999998"/>
    <n v="3.8239999999999998"/>
    <n v="5"/>
    <x v="0"/>
    <n v="0"/>
    <n v="0"/>
    <n v="39"/>
    <n v="73"/>
    <n v="0"/>
    <n v="792.41"/>
    <n v="231.33"/>
    <m/>
    <n v="965.29421998367866"/>
    <n v="260.80314197522284"/>
    <n v="0"/>
    <n v="3030.1758399999999"/>
    <n v="884.60591999999997"/>
    <n v="0"/>
    <n v="3691.285097217587"/>
    <n v="997.31121491325212"/>
  </r>
  <r>
    <s v="Sistema de Compensação"/>
    <x v="3"/>
    <x v="3"/>
    <x v="5"/>
    <x v="0"/>
    <x v="0"/>
    <x v="0"/>
    <x v="2"/>
    <x v="10"/>
    <n v="0"/>
    <n v="0"/>
    <n v="0.3"/>
    <n v="0.3"/>
    <n v="0.3"/>
    <n v="0.3"/>
    <n v="1"/>
    <x v="0"/>
    <n v="0"/>
    <n v="0"/>
    <n v="39"/>
    <n v="73"/>
    <n v="0"/>
    <n v="792.41"/>
    <n v="231.33"/>
    <m/>
    <n v="965.29421998367866"/>
    <n v="260.80314197522284"/>
    <n v="0"/>
    <n v="237.72299999999998"/>
    <n v="69.399000000000001"/>
    <n v="0"/>
    <n v="289.5882659951036"/>
    <n v="78.240942592566853"/>
  </r>
  <r>
    <s v="Regular"/>
    <x v="3"/>
    <x v="3"/>
    <x v="5"/>
    <x v="0"/>
    <x v="0"/>
    <x v="0"/>
    <x v="2"/>
    <x v="11"/>
    <n v="0"/>
    <n v="0"/>
    <n v="3.573"/>
    <n v="3.573"/>
    <n v="3.573"/>
    <n v="3.573"/>
    <n v="5"/>
    <x v="0"/>
    <n v="0"/>
    <n v="0"/>
    <n v="39"/>
    <n v="73"/>
    <n v="0"/>
    <n v="792.41"/>
    <n v="231.33"/>
    <m/>
    <n v="965.29421998367866"/>
    <n v="260.80314197522284"/>
    <n v="0"/>
    <n v="2831.2809299999999"/>
    <n v="826.54209000000003"/>
    <n v="0"/>
    <n v="3448.9962480016839"/>
    <n v="931.8496262774712"/>
  </r>
  <r>
    <s v="Sistema de Compensação"/>
    <x v="3"/>
    <x v="3"/>
    <x v="5"/>
    <x v="0"/>
    <x v="0"/>
    <x v="0"/>
    <x v="2"/>
    <x v="11"/>
    <n v="0"/>
    <n v="0"/>
    <n v="0.3"/>
    <n v="0.3"/>
    <n v="0.3"/>
    <n v="0.3"/>
    <n v="1"/>
    <x v="0"/>
    <n v="0"/>
    <n v="0"/>
    <n v="39"/>
    <n v="73"/>
    <n v="0"/>
    <n v="792.41"/>
    <n v="231.33"/>
    <m/>
    <n v="965.29421998367866"/>
    <n v="260.80314197522284"/>
    <n v="0"/>
    <n v="237.72299999999998"/>
    <n v="69.399000000000001"/>
    <n v="0"/>
    <n v="289.5882659951036"/>
    <n v="78.240942592566853"/>
  </r>
  <r>
    <s v="Regular"/>
    <x v="3"/>
    <x v="3"/>
    <x v="0"/>
    <x v="0"/>
    <x v="0"/>
    <x v="0"/>
    <x v="2"/>
    <x v="0"/>
    <n v="0"/>
    <n v="0"/>
    <n v="41.540999999999997"/>
    <n v="41.540999999999997"/>
    <n v="41.540999999999997"/>
    <n v="41.540999999999997"/>
    <n v="21"/>
    <x v="0"/>
    <n v="0"/>
    <n v="0"/>
    <n v="39"/>
    <n v="73"/>
    <n v="0"/>
    <n v="792.41"/>
    <n v="231.33"/>
    <m/>
    <n v="965.29421998367866"/>
    <n v="260.80314197522284"/>
    <n v="0"/>
    <n v="32917.503809999995"/>
    <n v="9609.6795299999994"/>
    <n v="0"/>
    <n v="40099.287192341995"/>
    <n v="10834.023320792732"/>
  </r>
  <r>
    <s v="Regular"/>
    <x v="3"/>
    <x v="3"/>
    <x v="0"/>
    <x v="0"/>
    <x v="0"/>
    <x v="0"/>
    <x v="2"/>
    <x v="1"/>
    <n v="0"/>
    <n v="0"/>
    <n v="43.133000000000003"/>
    <n v="43.133000000000003"/>
    <n v="43.133000000000003"/>
    <n v="43.133000000000003"/>
    <n v="21"/>
    <x v="0"/>
    <n v="0"/>
    <n v="0"/>
    <n v="39"/>
    <n v="73"/>
    <n v="0"/>
    <n v="792.41"/>
    <n v="231.33"/>
    <m/>
    <n v="965.29421998367866"/>
    <n v="260.80314197522284"/>
    <n v="0"/>
    <n v="34179.020530000002"/>
    <n v="9977.9568900000013"/>
    <n v="0"/>
    <n v="41636.035590556014"/>
    <n v="11249.221922817287"/>
  </r>
  <r>
    <s v="Regular"/>
    <x v="3"/>
    <x v="3"/>
    <x v="0"/>
    <x v="0"/>
    <x v="0"/>
    <x v="0"/>
    <x v="2"/>
    <x v="2"/>
    <n v="0"/>
    <n v="0"/>
    <n v="38.334000000000003"/>
    <n v="38.334000000000003"/>
    <n v="38.334000000000003"/>
    <n v="38.334000000000003"/>
    <n v="21"/>
    <x v="0"/>
    <n v="0"/>
    <n v="0"/>
    <n v="39"/>
    <n v="73"/>
    <n v="0"/>
    <n v="792.41"/>
    <n v="231.33"/>
    <m/>
    <n v="965.29421998367866"/>
    <n v="260.80314197522284"/>
    <n v="0"/>
    <n v="30376.24494"/>
    <n v="8867.8042200000018"/>
    <n v="0"/>
    <n v="37003.588628854341"/>
    <n v="9997.6276444781925"/>
  </r>
  <r>
    <s v="Regular"/>
    <x v="3"/>
    <x v="3"/>
    <x v="0"/>
    <x v="0"/>
    <x v="0"/>
    <x v="0"/>
    <x v="2"/>
    <x v="3"/>
    <n v="0"/>
    <n v="0"/>
    <n v="36.808999999999997"/>
    <n v="36.808999999999997"/>
    <n v="36.808999999999997"/>
    <n v="36.808999999999997"/>
    <n v="22"/>
    <x v="0"/>
    <n v="0"/>
    <n v="0"/>
    <n v="39"/>
    <n v="73"/>
    <n v="0"/>
    <n v="792.41"/>
    <n v="231.33"/>
    <m/>
    <n v="965.29421998367866"/>
    <n v="260.80314197522284"/>
    <n v="0"/>
    <n v="29167.819689999997"/>
    <n v="8515.0259700000006"/>
    <n v="0"/>
    <n v="35531.514943379225"/>
    <n v="9599.9028529659772"/>
  </r>
  <r>
    <s v="Regular"/>
    <x v="3"/>
    <x v="3"/>
    <x v="0"/>
    <x v="0"/>
    <x v="0"/>
    <x v="0"/>
    <x v="2"/>
    <x v="4"/>
    <n v="0"/>
    <n v="0"/>
    <n v="32.061"/>
    <n v="32.061"/>
    <n v="32.061"/>
    <n v="32.061"/>
    <n v="22"/>
    <x v="0"/>
    <n v="0"/>
    <n v="0"/>
    <n v="39"/>
    <n v="73"/>
    <n v="0"/>
    <n v="792.41"/>
    <n v="231.33"/>
    <m/>
    <n v="965.29421998367866"/>
    <n v="260.80314197522284"/>
    <n v="0"/>
    <n v="25405.457009999998"/>
    <n v="7416.6711300000006"/>
    <n v="0"/>
    <n v="30948.297986896723"/>
    <n v="8361.609534867619"/>
  </r>
  <r>
    <s v="Regular"/>
    <x v="3"/>
    <x v="3"/>
    <x v="0"/>
    <x v="0"/>
    <x v="0"/>
    <x v="0"/>
    <x v="2"/>
    <x v="5"/>
    <n v="0"/>
    <n v="0"/>
    <n v="38.393000000000001"/>
    <n v="38.393000000000001"/>
    <n v="38.393000000000001"/>
    <n v="38.393000000000001"/>
    <n v="22"/>
    <x v="0"/>
    <n v="0"/>
    <n v="0"/>
    <n v="39"/>
    <n v="73"/>
    <n v="0"/>
    <n v="792.41"/>
    <n v="231.33"/>
    <m/>
    <n v="965.29421998367866"/>
    <n v="260.80314197522284"/>
    <n v="0"/>
    <n v="30422.99713"/>
    <n v="8881.4526900000001"/>
    <n v="0"/>
    <n v="37060.540987833374"/>
    <n v="10013.015029854731"/>
  </r>
  <r>
    <s v="Regular"/>
    <x v="3"/>
    <x v="3"/>
    <x v="0"/>
    <x v="0"/>
    <x v="0"/>
    <x v="0"/>
    <x v="2"/>
    <x v="6"/>
    <n v="0"/>
    <n v="0"/>
    <n v="35.210999999999999"/>
    <n v="35.210999999999999"/>
    <n v="35.210999999999999"/>
    <n v="35.210999999999999"/>
    <n v="22"/>
    <x v="0"/>
    <n v="0"/>
    <n v="0"/>
    <n v="39"/>
    <n v="73"/>
    <n v="0"/>
    <n v="792.41"/>
    <n v="231.33"/>
    <m/>
    <n v="965.29421998367866"/>
    <n v="260.80314197522284"/>
    <n v="0"/>
    <n v="27901.548509999997"/>
    <n v="8145.3606300000001"/>
    <n v="0"/>
    <n v="33988.97477984531"/>
    <n v="9183.1394320895706"/>
  </r>
  <r>
    <s v="Regular"/>
    <x v="3"/>
    <x v="3"/>
    <x v="0"/>
    <x v="0"/>
    <x v="0"/>
    <x v="0"/>
    <x v="2"/>
    <x v="7"/>
    <n v="0"/>
    <n v="0"/>
    <n v="38.518000000000001"/>
    <n v="38.518000000000001"/>
    <n v="38.518000000000001"/>
    <n v="38.518000000000001"/>
    <n v="22"/>
    <x v="0"/>
    <n v="0"/>
    <n v="0"/>
    <n v="39"/>
    <n v="73"/>
    <n v="0"/>
    <n v="792.41"/>
    <n v="231.33"/>
    <m/>
    <n v="965.29421998367866"/>
    <n v="260.80314197522284"/>
    <n v="0"/>
    <n v="30522.04838"/>
    <n v="8910.3689400000003"/>
    <n v="0"/>
    <n v="37181.202765331334"/>
    <n v="10045.615422601633"/>
  </r>
  <r>
    <s v="Regular"/>
    <x v="3"/>
    <x v="3"/>
    <x v="0"/>
    <x v="0"/>
    <x v="0"/>
    <x v="0"/>
    <x v="2"/>
    <x v="8"/>
    <n v="0"/>
    <n v="0"/>
    <n v="40.960999999999999"/>
    <n v="40.960999999999999"/>
    <n v="40.960999999999999"/>
    <n v="40.960999999999999"/>
    <n v="22"/>
    <x v="0"/>
    <n v="0"/>
    <n v="0"/>
    <n v="39"/>
    <n v="73"/>
    <n v="0"/>
    <n v="792.41"/>
    <n v="231.33"/>
    <m/>
    <n v="965.29421998367866"/>
    <n v="260.80314197522284"/>
    <n v="0"/>
    <n v="32457.906009999999"/>
    <n v="9475.5081300000002"/>
    <n v="0"/>
    <n v="39539.416544751461"/>
    <n v="10682.757498447103"/>
  </r>
  <r>
    <s v="Regular"/>
    <x v="3"/>
    <x v="3"/>
    <x v="0"/>
    <x v="0"/>
    <x v="0"/>
    <x v="0"/>
    <x v="2"/>
    <x v="9"/>
    <n v="0"/>
    <n v="0"/>
    <n v="39.140999999999998"/>
    <n v="39.140999999999998"/>
    <n v="39.140999999999998"/>
    <n v="39.140999999999998"/>
    <n v="22"/>
    <x v="0"/>
    <n v="0"/>
    <n v="0"/>
    <n v="39"/>
    <n v="73"/>
    <n v="0"/>
    <n v="792.41"/>
    <n v="231.33"/>
    <m/>
    <n v="965.29421998367866"/>
    <n v="260.80314197522284"/>
    <n v="0"/>
    <n v="31015.719809999999"/>
    <n v="9054.4875300000003"/>
    <n v="0"/>
    <n v="37782.581064381164"/>
    <n v="10208.095780052197"/>
  </r>
  <r>
    <s v="Regular"/>
    <x v="3"/>
    <x v="3"/>
    <x v="0"/>
    <x v="0"/>
    <x v="0"/>
    <x v="0"/>
    <x v="2"/>
    <x v="10"/>
    <n v="0"/>
    <n v="0"/>
    <n v="49.326999999999998"/>
    <n v="49.326999999999998"/>
    <n v="49.326999999999998"/>
    <n v="49.326999999999998"/>
    <n v="23"/>
    <x v="0"/>
    <n v="0"/>
    <n v="0"/>
    <n v="39"/>
    <n v="73"/>
    <n v="0"/>
    <n v="792.41"/>
    <n v="231.33"/>
    <m/>
    <n v="965.29421998367866"/>
    <n v="260.80314197522284"/>
    <n v="0"/>
    <n v="39087.208070000001"/>
    <n v="11410.814910000001"/>
    <n v="0"/>
    <n v="47615.067989134914"/>
    <n v="12864.636584211818"/>
  </r>
  <r>
    <s v="Regular"/>
    <x v="3"/>
    <x v="3"/>
    <x v="0"/>
    <x v="0"/>
    <x v="0"/>
    <x v="0"/>
    <x v="2"/>
    <x v="11"/>
    <n v="0"/>
    <n v="0"/>
    <n v="50.21"/>
    <n v="50.21"/>
    <n v="50.21"/>
    <n v="50.21"/>
    <n v="23"/>
    <x v="0"/>
    <n v="0"/>
    <n v="0"/>
    <n v="39"/>
    <n v="73"/>
    <n v="0"/>
    <n v="792.41"/>
    <n v="231.33"/>
    <m/>
    <n v="965.29421998367866"/>
    <n v="260.80314197522284"/>
    <n v="0"/>
    <n v="39786.9061"/>
    <n v="11615.079300000001"/>
    <n v="0"/>
    <n v="48467.422785380506"/>
    <n v="13094.925758575939"/>
  </r>
  <r>
    <s v="Regular"/>
    <x v="3"/>
    <x v="3"/>
    <x v="2"/>
    <x v="0"/>
    <x v="0"/>
    <x v="0"/>
    <x v="2"/>
    <x v="0"/>
    <n v="0"/>
    <n v="0"/>
    <n v="44.279000000000003"/>
    <n v="44.279000000000003"/>
    <n v="44.279000000000003"/>
    <n v="44.279000000000003"/>
    <n v="94"/>
    <x v="0"/>
    <n v="0"/>
    <n v="0"/>
    <n v="39"/>
    <n v="73"/>
    <n v="0"/>
    <n v="792.41"/>
    <n v="231.33"/>
    <m/>
    <n v="965.29421998367866"/>
    <n v="260.80314197522284"/>
    <n v="0"/>
    <n v="35087.122390000004"/>
    <n v="10243.061070000002"/>
    <n v="0"/>
    <n v="42742.26276665731"/>
    <n v="11548.102323520894"/>
  </r>
  <r>
    <s v="Regular"/>
    <x v="3"/>
    <x v="3"/>
    <x v="2"/>
    <x v="0"/>
    <x v="0"/>
    <x v="0"/>
    <x v="2"/>
    <x v="1"/>
    <n v="0"/>
    <n v="0"/>
    <n v="37.851999999999997"/>
    <n v="37.851999999999997"/>
    <n v="37.851999999999997"/>
    <n v="37.851999999999997"/>
    <n v="92"/>
    <x v="0"/>
    <n v="0"/>
    <n v="0"/>
    <n v="39"/>
    <n v="73"/>
    <n v="0"/>
    <n v="792.41"/>
    <n v="231.33"/>
    <m/>
    <n v="965.29421998367866"/>
    <n v="260.80314197522284"/>
    <n v="0"/>
    <n v="29994.303319999995"/>
    <n v="8756.3031599999995"/>
    <n v="0"/>
    <n v="36538.316814822203"/>
    <n v="9871.9205300461344"/>
  </r>
  <r>
    <s v="Regular"/>
    <x v="3"/>
    <x v="3"/>
    <x v="2"/>
    <x v="0"/>
    <x v="0"/>
    <x v="0"/>
    <x v="2"/>
    <x v="2"/>
    <n v="0"/>
    <n v="0"/>
    <n v="38.540999999999997"/>
    <n v="38.540999999999997"/>
    <n v="38.540999999999997"/>
    <n v="38.540999999999997"/>
    <n v="92"/>
    <x v="0"/>
    <n v="0"/>
    <n v="0"/>
    <n v="39"/>
    <n v="73"/>
    <n v="0"/>
    <n v="792.41"/>
    <n v="231.33"/>
    <m/>
    <n v="965.29421998367866"/>
    <n v="260.80314197522284"/>
    <n v="0"/>
    <n v="30540.273809999995"/>
    <n v="8915.6895299999996"/>
    <n v="0"/>
    <n v="37203.40453239096"/>
    <n v="10051.613894867063"/>
  </r>
  <r>
    <s v="Regular"/>
    <x v="3"/>
    <x v="3"/>
    <x v="2"/>
    <x v="0"/>
    <x v="0"/>
    <x v="0"/>
    <x v="2"/>
    <x v="3"/>
    <n v="0"/>
    <n v="0"/>
    <n v="35.408000000000001"/>
    <n v="35.408000000000001"/>
    <n v="35.408000000000001"/>
    <n v="35.408000000000001"/>
    <n v="92"/>
    <x v="0"/>
    <n v="0"/>
    <n v="0"/>
    <n v="39"/>
    <n v="73"/>
    <n v="0"/>
    <n v="792.41"/>
    <n v="231.33"/>
    <m/>
    <n v="965.29421998367866"/>
    <n v="260.80314197522284"/>
    <n v="0"/>
    <n v="28057.653279999999"/>
    <n v="8190.9326400000009"/>
    <n v="0"/>
    <n v="34179.137741182094"/>
    <n v="9234.5176510586916"/>
  </r>
  <r>
    <s v="Regular"/>
    <x v="3"/>
    <x v="3"/>
    <x v="2"/>
    <x v="0"/>
    <x v="0"/>
    <x v="0"/>
    <x v="2"/>
    <x v="4"/>
    <n v="0"/>
    <n v="0"/>
    <n v="37.517000000000003"/>
    <n v="37.517000000000003"/>
    <n v="37.517000000000003"/>
    <n v="37.517000000000003"/>
    <n v="92"/>
    <x v="0"/>
    <n v="0"/>
    <n v="0"/>
    <n v="39"/>
    <n v="73"/>
    <n v="0"/>
    <n v="792.41"/>
    <n v="231.33"/>
    <m/>
    <n v="965.29421998367866"/>
    <n v="260.80314197522284"/>
    <n v="0"/>
    <n v="29728.845970000002"/>
    <n v="8678.8076100000017"/>
    <n v="0"/>
    <n v="36214.943251127675"/>
    <n v="9784.551477484436"/>
  </r>
  <r>
    <s v="Regular"/>
    <x v="3"/>
    <x v="3"/>
    <x v="2"/>
    <x v="0"/>
    <x v="0"/>
    <x v="0"/>
    <x v="2"/>
    <x v="5"/>
    <n v="0"/>
    <n v="0"/>
    <n v="42.250999999999998"/>
    <n v="42.250999999999998"/>
    <n v="42.250999999999998"/>
    <n v="42.250999999999998"/>
    <n v="91"/>
    <x v="0"/>
    <n v="0"/>
    <n v="0"/>
    <n v="39"/>
    <n v="73"/>
    <n v="0"/>
    <n v="792.41"/>
    <n v="231.33"/>
    <m/>
    <n v="965.29421998367866"/>
    <n v="260.80314197522284"/>
    <n v="0"/>
    <n v="33480.114909999997"/>
    <n v="9773.9238299999997"/>
    <n v="0"/>
    <n v="40784.646088530404"/>
    <n v="11019.193551595139"/>
  </r>
  <r>
    <s v="Regular"/>
    <x v="3"/>
    <x v="3"/>
    <x v="2"/>
    <x v="0"/>
    <x v="0"/>
    <x v="0"/>
    <x v="2"/>
    <x v="6"/>
    <n v="0"/>
    <n v="0"/>
    <n v="42.232999999999997"/>
    <n v="42.232999999999997"/>
    <n v="42.232999999999997"/>
    <n v="42.232999999999997"/>
    <n v="91"/>
    <x v="0"/>
    <n v="0"/>
    <n v="0"/>
    <n v="39"/>
    <n v="73"/>
    <n v="0"/>
    <n v="792.41"/>
    <n v="231.33"/>
    <m/>
    <n v="965.29421998367866"/>
    <n v="260.80314197522284"/>
    <n v="0"/>
    <n v="33465.851529999993"/>
    <n v="9769.7598899999994"/>
    <n v="0"/>
    <n v="40767.2707925707"/>
    <n v="11014.499095039586"/>
  </r>
  <r>
    <s v="Regular"/>
    <x v="3"/>
    <x v="3"/>
    <x v="2"/>
    <x v="0"/>
    <x v="0"/>
    <x v="0"/>
    <x v="2"/>
    <x v="7"/>
    <n v="0"/>
    <n v="0"/>
    <n v="41.207000000000001"/>
    <n v="41.207000000000001"/>
    <n v="41.207000000000001"/>
    <n v="41.207000000000001"/>
    <n v="91"/>
    <x v="0"/>
    <n v="0"/>
    <n v="0"/>
    <n v="39"/>
    <n v="73"/>
    <n v="0"/>
    <n v="792.41"/>
    <n v="231.33"/>
    <m/>
    <n v="965.29421998367866"/>
    <n v="260.80314197522284"/>
    <n v="0"/>
    <n v="32652.83887"/>
    <n v="9532.4153100000003"/>
    <n v="0"/>
    <n v="39776.87892286745"/>
    <n v="10746.915071373009"/>
  </r>
  <r>
    <s v="Regular"/>
    <x v="3"/>
    <x v="3"/>
    <x v="2"/>
    <x v="0"/>
    <x v="0"/>
    <x v="0"/>
    <x v="2"/>
    <x v="8"/>
    <n v="0"/>
    <n v="0"/>
    <n v="48.945"/>
    <n v="48.945"/>
    <n v="48.945"/>
    <n v="48.945"/>
    <n v="91"/>
    <x v="0"/>
    <n v="0"/>
    <n v="0"/>
    <n v="39"/>
    <n v="73"/>
    <n v="0"/>
    <n v="792.41"/>
    <n v="231.33"/>
    <m/>
    <n v="965.29421998367866"/>
    <n v="260.80314197522284"/>
    <n v="0"/>
    <n v="38784.507449999997"/>
    <n v="11322.44685"/>
    <n v="0"/>
    <n v="47246.325597101153"/>
    <n v="12765.009783977282"/>
  </r>
  <r>
    <s v="Regular"/>
    <x v="3"/>
    <x v="3"/>
    <x v="2"/>
    <x v="0"/>
    <x v="0"/>
    <x v="0"/>
    <x v="2"/>
    <x v="9"/>
    <n v="0"/>
    <n v="0"/>
    <n v="46.067"/>
    <n v="46.067"/>
    <n v="46.067"/>
    <n v="46.067"/>
    <n v="91"/>
    <x v="0"/>
    <n v="0"/>
    <n v="0"/>
    <n v="39"/>
    <n v="73"/>
    <n v="0"/>
    <n v="792.41"/>
    <n v="231.33"/>
    <m/>
    <n v="965.29421998367866"/>
    <n v="260.80314197522284"/>
    <n v="0"/>
    <n v="36503.95147"/>
    <n v="10656.679110000001"/>
    <n v="0"/>
    <n v="44468.208831988122"/>
    <n v="12014.418341372591"/>
  </r>
  <r>
    <s v="Regular"/>
    <x v="3"/>
    <x v="3"/>
    <x v="2"/>
    <x v="0"/>
    <x v="0"/>
    <x v="0"/>
    <x v="2"/>
    <x v="10"/>
    <n v="0"/>
    <n v="0"/>
    <n v="53.371000000000002"/>
    <n v="53.371000000000002"/>
    <n v="53.371000000000002"/>
    <n v="53.371000000000002"/>
    <n v="91"/>
    <x v="0"/>
    <n v="0"/>
    <n v="0"/>
    <n v="39"/>
    <n v="73"/>
    <n v="0"/>
    <n v="792.41"/>
    <n v="231.33"/>
    <m/>
    <n v="965.29421998367866"/>
    <n v="260.80314197522284"/>
    <n v="0"/>
    <n v="42291.714110000001"/>
    <n v="12346.313430000002"/>
    <n v="0"/>
    <n v="51518.717814748918"/>
    <n v="13919.324490359619"/>
  </r>
  <r>
    <s v="Regular"/>
    <x v="3"/>
    <x v="3"/>
    <x v="2"/>
    <x v="0"/>
    <x v="0"/>
    <x v="0"/>
    <x v="2"/>
    <x v="11"/>
    <n v="0"/>
    <n v="0"/>
    <n v="60.41"/>
    <n v="60.41"/>
    <n v="60.41"/>
    <n v="60.41"/>
    <n v="91"/>
    <x v="0"/>
    <n v="0"/>
    <n v="0"/>
    <n v="39"/>
    <n v="73"/>
    <n v="0"/>
    <n v="792.41"/>
    <n v="231.33"/>
    <m/>
    <n v="965.29421998367866"/>
    <n v="260.80314197522284"/>
    <n v="0"/>
    <n v="47869.488099999995"/>
    <n v="13974.6453"/>
    <n v="0"/>
    <n v="58313.423829214022"/>
    <n v="15755.11780672321"/>
  </r>
  <r>
    <s v="Regular"/>
    <x v="3"/>
    <x v="3"/>
    <x v="6"/>
    <x v="7"/>
    <x v="0"/>
    <x v="0"/>
    <x v="2"/>
    <x v="0"/>
    <n v="0"/>
    <n v="0"/>
    <n v="18.096"/>
    <n v="17.01024"/>
    <n v="18.096"/>
    <n v="17.01024"/>
    <n v="7"/>
    <x v="0"/>
    <n v="0"/>
    <n v="0"/>
    <n v="39"/>
    <n v="73"/>
    <n v="0"/>
    <n v="792.41"/>
    <n v="231.33"/>
    <m/>
    <n v="965.29421998367866"/>
    <n v="260.80314197522284"/>
    <n v="0"/>
    <n v="13479.0842784"/>
    <n v="3934.9788192000001"/>
    <n v="0"/>
    <n v="16419.88635253517"/>
    <n v="4436.3240377526145"/>
  </r>
  <r>
    <s v="Regular"/>
    <x v="3"/>
    <x v="3"/>
    <x v="6"/>
    <x v="7"/>
    <x v="0"/>
    <x v="0"/>
    <x v="2"/>
    <x v="1"/>
    <n v="0"/>
    <n v="0"/>
    <n v="17.581"/>
    <n v="16.526140000000002"/>
    <n v="17.581"/>
    <n v="16.526140000000002"/>
    <n v="7"/>
    <x v="0"/>
    <n v="0"/>
    <n v="0"/>
    <n v="39"/>
    <n v="73"/>
    <n v="0"/>
    <n v="792.41"/>
    <n v="231.33"/>
    <m/>
    <n v="965.29421998367866"/>
    <n v="260.80314197522284"/>
    <n v="0"/>
    <n v="13095.478597400001"/>
    <n v="3822.9919662000007"/>
    <n v="0"/>
    <n v="15952.587420641074"/>
    <n v="4310.0692367224101"/>
  </r>
  <r>
    <s v="Regular"/>
    <x v="3"/>
    <x v="3"/>
    <x v="6"/>
    <x v="7"/>
    <x v="0"/>
    <x v="0"/>
    <x v="2"/>
    <x v="2"/>
    <n v="0"/>
    <n v="0"/>
    <n v="17.135999999999999"/>
    <n v="16.107839999999999"/>
    <n v="17.135999999999999"/>
    <n v="16.107839999999999"/>
    <n v="7"/>
    <x v="0"/>
    <n v="0"/>
    <n v="0"/>
    <n v="39"/>
    <n v="73"/>
    <n v="0"/>
    <n v="792.41"/>
    <n v="231.33"/>
    <m/>
    <n v="965.29421998367866"/>
    <n v="260.80314197522284"/>
    <n v="0"/>
    <n v="12764.013494399998"/>
    <n v="3726.2266272000002"/>
    <n v="0"/>
    <n v="15548.804848421898"/>
    <n v="4200.9752824341731"/>
  </r>
  <r>
    <s v="Regular"/>
    <x v="3"/>
    <x v="3"/>
    <x v="6"/>
    <x v="7"/>
    <x v="0"/>
    <x v="0"/>
    <x v="2"/>
    <x v="3"/>
    <n v="0"/>
    <n v="0"/>
    <n v="17.015999999999998"/>
    <n v="15.995039999999999"/>
    <n v="17.015999999999998"/>
    <n v="15.995039999999999"/>
    <n v="7"/>
    <x v="0"/>
    <n v="0"/>
    <n v="0"/>
    <n v="39"/>
    <n v="73"/>
    <n v="0"/>
    <n v="792.41"/>
    <n v="231.33"/>
    <m/>
    <n v="965.29421998367866"/>
    <n v="260.80314197522284"/>
    <n v="0"/>
    <n v="12674.629646399999"/>
    <n v="3700.1326032000002"/>
    <n v="0"/>
    <n v="15439.919660407739"/>
    <n v="4171.5566880193683"/>
  </r>
  <r>
    <s v="Regular"/>
    <x v="3"/>
    <x v="3"/>
    <x v="6"/>
    <x v="7"/>
    <x v="0"/>
    <x v="0"/>
    <x v="2"/>
    <x v="4"/>
    <n v="0"/>
    <n v="0"/>
    <n v="16.446999999999999"/>
    <n v="15.460179999999999"/>
    <n v="16.446999999999999"/>
    <n v="15.460179999999999"/>
    <n v="7"/>
    <x v="0"/>
    <n v="0"/>
    <n v="0"/>
    <n v="39"/>
    <n v="73"/>
    <n v="0"/>
    <n v="792.41"/>
    <n v="231.33"/>
    <m/>
    <n v="965.29421998367866"/>
    <n v="260.80314197522284"/>
    <n v="0"/>
    <n v="12250.801233799999"/>
    <n v="3576.4034394"/>
    <n v="0"/>
    <n v="14923.622393907268"/>
    <n v="4032.0635195025006"/>
  </r>
  <r>
    <s v="Regular"/>
    <x v="3"/>
    <x v="3"/>
    <x v="6"/>
    <x v="7"/>
    <x v="0"/>
    <x v="0"/>
    <x v="2"/>
    <x v="5"/>
    <n v="0"/>
    <n v="0"/>
    <n v="18.122"/>
    <n v="17.034680000000002"/>
    <n v="18.122"/>
    <n v="17.034680000000002"/>
    <n v="7"/>
    <x v="0"/>
    <n v="0"/>
    <n v="0"/>
    <n v="39"/>
    <n v="73"/>
    <n v="0"/>
    <n v="792.41"/>
    <n v="231.33"/>
    <m/>
    <n v="965.29421998367866"/>
    <n v="260.80314197522284"/>
    <n v="0"/>
    <n v="13498.450778800001"/>
    <n v="3940.6325244000004"/>
    <n v="0"/>
    <n v="16443.478143271572"/>
    <n v="4442.6980665424899"/>
  </r>
  <r>
    <s v="Regular"/>
    <x v="3"/>
    <x v="3"/>
    <x v="6"/>
    <x v="7"/>
    <x v="0"/>
    <x v="0"/>
    <x v="2"/>
    <x v="6"/>
    <n v="0"/>
    <n v="0"/>
    <n v="16.600000000000001"/>
    <n v="15.603999999999999"/>
    <n v="16.600000000000001"/>
    <n v="15.603999999999999"/>
    <n v="7"/>
    <x v="0"/>
    <n v="0"/>
    <n v="0"/>
    <n v="39"/>
    <n v="73"/>
    <n v="0"/>
    <n v="792.41"/>
    <n v="231.33"/>
    <m/>
    <n v="965.29421998367866"/>
    <n v="260.80314197522284"/>
    <n v="0"/>
    <n v="12364.76564"/>
    <n v="3609.6733199999999"/>
    <n v="0"/>
    <n v="15062.451008625321"/>
    <n v="4069.5722273813772"/>
  </r>
  <r>
    <s v="Regular"/>
    <x v="3"/>
    <x v="3"/>
    <x v="6"/>
    <x v="7"/>
    <x v="0"/>
    <x v="0"/>
    <x v="2"/>
    <x v="7"/>
    <n v="0"/>
    <n v="0"/>
    <n v="16.931999999999999"/>
    <n v="15.916079999999999"/>
    <n v="16.931999999999999"/>
    <n v="15.916079999999999"/>
    <n v="7"/>
    <x v="0"/>
    <n v="0"/>
    <n v="0"/>
    <n v="39"/>
    <n v="73"/>
    <n v="0"/>
    <n v="792.41"/>
    <n v="231.33"/>
    <m/>
    <n v="965.29421998367866"/>
    <n v="260.80314197522284"/>
    <n v="0"/>
    <n v="12612.060952799999"/>
    <n v="3681.8667863999999"/>
    <n v="0"/>
    <n v="15363.700028797828"/>
    <n v="4150.9636719290047"/>
  </r>
  <r>
    <s v="Regular"/>
    <x v="3"/>
    <x v="3"/>
    <x v="6"/>
    <x v="7"/>
    <x v="0"/>
    <x v="0"/>
    <x v="2"/>
    <x v="8"/>
    <n v="0"/>
    <n v="0"/>
    <n v="16.931000000000001"/>
    <n v="15.915139999999999"/>
    <n v="16.931000000000001"/>
    <n v="15.915139999999999"/>
    <n v="7"/>
    <x v="0"/>
    <n v="0"/>
    <n v="0"/>
    <n v="39"/>
    <n v="73"/>
    <n v="0"/>
    <n v="792.41"/>
    <n v="231.33"/>
    <m/>
    <n v="965.29421998367866"/>
    <n v="260.80314197522284"/>
    <n v="0"/>
    <n v="12611.316087399999"/>
    <n v="3681.6493362000001"/>
    <n v="0"/>
    <n v="15362.792652231043"/>
    <n v="4150.7185169755476"/>
  </r>
  <r>
    <s v="Regular"/>
    <x v="3"/>
    <x v="3"/>
    <x v="6"/>
    <x v="7"/>
    <x v="0"/>
    <x v="0"/>
    <x v="2"/>
    <x v="9"/>
    <n v="0"/>
    <n v="0"/>
    <n v="17.318000000000001"/>
    <n v="16.278919999999999"/>
    <n v="17.318000000000001"/>
    <n v="16.278919999999999"/>
    <n v="7"/>
    <x v="0"/>
    <n v="0"/>
    <n v="0"/>
    <n v="39"/>
    <n v="73"/>
    <n v="0"/>
    <n v="792.41"/>
    <n v="231.33"/>
    <m/>
    <n v="965.29421998367866"/>
    <n v="260.80314197522284"/>
    <n v="0"/>
    <n v="12899.578997199998"/>
    <n v="3765.8025636000002"/>
    <n v="0"/>
    <n v="15713.947383576706"/>
    <n v="4245.5934839632946"/>
  </r>
  <r>
    <s v="Regular"/>
    <x v="3"/>
    <x v="3"/>
    <x v="6"/>
    <x v="7"/>
    <x v="0"/>
    <x v="0"/>
    <x v="2"/>
    <x v="10"/>
    <n v="0"/>
    <n v="0"/>
    <n v="18.584"/>
    <n v="17.468959999999999"/>
    <n v="18.584"/>
    <n v="17.468959999999999"/>
    <n v="7"/>
    <x v="0"/>
    <n v="0"/>
    <n v="0"/>
    <n v="39"/>
    <n v="73"/>
    <n v="0"/>
    <n v="792.41"/>
    <n v="231.33"/>
    <m/>
    <n v="965.29421998367866"/>
    <n v="260.80314197522284"/>
    <n v="0"/>
    <n v="13842.578593599999"/>
    <n v="4041.0945167999998"/>
    <n v="0"/>
    <n v="16862.686117126083"/>
    <n v="4555.959655039489"/>
  </r>
  <r>
    <s v="Regular"/>
    <x v="3"/>
    <x v="3"/>
    <x v="6"/>
    <x v="7"/>
    <x v="0"/>
    <x v="0"/>
    <x v="2"/>
    <x v="11"/>
    <n v="0"/>
    <n v="0"/>
    <n v="17.818000000000001"/>
    <n v="16.748919999999998"/>
    <n v="17.818000000000001"/>
    <n v="16.748919999999998"/>
    <n v="8"/>
    <x v="0"/>
    <n v="0"/>
    <n v="0"/>
    <n v="39"/>
    <n v="73"/>
    <n v="0"/>
    <n v="792.41"/>
    <n v="231.33"/>
    <m/>
    <n v="965.29421998367866"/>
    <n v="260.80314197522284"/>
    <n v="0"/>
    <n v="13272.011697199998"/>
    <n v="3874.5276635999999"/>
    <n v="0"/>
    <n v="16167.635666969034"/>
    <n v="4368.1709606916493"/>
  </r>
  <r>
    <s v="Regular"/>
    <x v="4"/>
    <x v="3"/>
    <x v="7"/>
    <x v="8"/>
    <x v="0"/>
    <x v="0"/>
    <x v="2"/>
    <x v="0"/>
    <n v="0"/>
    <n v="0"/>
    <n v="274.584"/>
    <n v="274.584"/>
    <n v="274.584"/>
    <n v="274.584"/>
    <n v="5"/>
    <x v="0"/>
    <n v="0"/>
    <n v="0"/>
    <n v="41"/>
    <n v="75"/>
    <n v="0"/>
    <n v="435.83"/>
    <n v="127.23"/>
    <m/>
    <n v="530.91182099102343"/>
    <n v="143.44172808637256"/>
    <n v="0"/>
    <n v="119671.94472"/>
    <n v="34935.322319999999"/>
    <n v="0"/>
    <n v="145779.89145499919"/>
    <n v="39386.803464868528"/>
  </r>
  <r>
    <s v="Regular"/>
    <x v="4"/>
    <x v="3"/>
    <x v="7"/>
    <x v="8"/>
    <x v="0"/>
    <x v="0"/>
    <x v="2"/>
    <x v="1"/>
    <n v="0"/>
    <n v="0"/>
    <n v="283.738"/>
    <n v="283.738"/>
    <n v="283.738"/>
    <n v="283.738"/>
    <n v="5"/>
    <x v="0"/>
    <n v="0"/>
    <n v="0"/>
    <n v="41"/>
    <n v="75"/>
    <n v="0"/>
    <n v="435.83"/>
    <n v="127.23"/>
    <m/>
    <n v="530.91182099102343"/>
    <n v="143.44172808637256"/>
    <n v="0"/>
    <n v="123661.53254"/>
    <n v="36099.985740000004"/>
    <n v="0"/>
    <n v="150639.858264351"/>
    <n v="40699.869043771178"/>
  </r>
  <r>
    <s v="Regular"/>
    <x v="4"/>
    <x v="3"/>
    <x v="7"/>
    <x v="8"/>
    <x v="0"/>
    <x v="0"/>
    <x v="2"/>
    <x v="2"/>
    <n v="0"/>
    <n v="0"/>
    <n v="274.584"/>
    <n v="274.584"/>
    <n v="274.584"/>
    <n v="274.584"/>
    <n v="5"/>
    <x v="0"/>
    <n v="0"/>
    <n v="0"/>
    <n v="41"/>
    <n v="75"/>
    <n v="0"/>
    <n v="435.83"/>
    <n v="127.23"/>
    <m/>
    <n v="530.91182099102343"/>
    <n v="143.44172808637256"/>
    <n v="0"/>
    <n v="119671.94472"/>
    <n v="34935.322319999999"/>
    <n v="0"/>
    <n v="145779.89145499919"/>
    <n v="39386.803464868528"/>
  </r>
  <r>
    <s v="Regular"/>
    <x v="4"/>
    <x v="3"/>
    <x v="7"/>
    <x v="8"/>
    <x v="0"/>
    <x v="0"/>
    <x v="2"/>
    <x v="3"/>
    <n v="0"/>
    <n v="0"/>
    <n v="283.738"/>
    <n v="283.738"/>
    <n v="283.738"/>
    <n v="283.738"/>
    <n v="5"/>
    <x v="0"/>
    <n v="0"/>
    <n v="0"/>
    <n v="41"/>
    <n v="75"/>
    <n v="0"/>
    <n v="435.83"/>
    <n v="127.23"/>
    <m/>
    <n v="530.91182099102343"/>
    <n v="143.44172808637256"/>
    <n v="0"/>
    <n v="123661.53254"/>
    <n v="36099.985740000004"/>
    <n v="0"/>
    <n v="150639.858264351"/>
    <n v="40699.869043771178"/>
  </r>
  <r>
    <s v="Regular"/>
    <x v="4"/>
    <x v="3"/>
    <x v="7"/>
    <x v="8"/>
    <x v="0"/>
    <x v="0"/>
    <x v="2"/>
    <x v="4"/>
    <n v="0"/>
    <n v="0"/>
    <n v="283.738"/>
    <n v="283.738"/>
    <n v="283.738"/>
    <n v="283.738"/>
    <n v="5"/>
    <x v="0"/>
    <n v="0"/>
    <n v="0"/>
    <n v="41"/>
    <n v="75"/>
    <n v="0"/>
    <n v="435.83"/>
    <n v="127.23"/>
    <m/>
    <n v="530.91182099102343"/>
    <n v="143.44172808637256"/>
    <n v="0"/>
    <n v="123661.53254"/>
    <n v="36099.985740000004"/>
    <n v="0"/>
    <n v="150639.858264351"/>
    <n v="40699.869043771178"/>
  </r>
  <r>
    <s v="Regular"/>
    <x v="4"/>
    <x v="3"/>
    <x v="7"/>
    <x v="8"/>
    <x v="0"/>
    <x v="0"/>
    <x v="2"/>
    <x v="5"/>
    <n v="0"/>
    <n v="0"/>
    <n v="274.584"/>
    <n v="274.584"/>
    <n v="274.584"/>
    <n v="274.584"/>
    <n v="5"/>
    <x v="0"/>
    <n v="0"/>
    <n v="0"/>
    <n v="41"/>
    <n v="75"/>
    <n v="0"/>
    <n v="435.83"/>
    <n v="127.23"/>
    <m/>
    <n v="530.91182099102343"/>
    <n v="143.44172808637256"/>
    <n v="0"/>
    <n v="119671.94472"/>
    <n v="34935.322319999999"/>
    <n v="0"/>
    <n v="145779.89145499919"/>
    <n v="39386.803464868528"/>
  </r>
  <r>
    <s v="Regular"/>
    <x v="4"/>
    <x v="3"/>
    <x v="7"/>
    <x v="8"/>
    <x v="0"/>
    <x v="0"/>
    <x v="2"/>
    <x v="6"/>
    <n v="0"/>
    <n v="0"/>
    <n v="283.738"/>
    <n v="283.738"/>
    <n v="283.738"/>
    <n v="283.738"/>
    <n v="5"/>
    <x v="0"/>
    <n v="0"/>
    <n v="0"/>
    <n v="41"/>
    <n v="75"/>
    <n v="0"/>
    <n v="435.83"/>
    <n v="127.23"/>
    <m/>
    <n v="530.91182099102343"/>
    <n v="143.44172808637256"/>
    <n v="0"/>
    <n v="123661.53254"/>
    <n v="36099.985740000004"/>
    <n v="0"/>
    <n v="150639.858264351"/>
    <n v="40699.869043771178"/>
  </r>
  <r>
    <s v="Refaturamento - Regular"/>
    <x v="4"/>
    <x v="3"/>
    <x v="7"/>
    <x v="8"/>
    <x v="0"/>
    <x v="0"/>
    <x v="2"/>
    <x v="6"/>
    <n v="0"/>
    <n v="0"/>
    <n v="6.3860000000000001"/>
    <n v="6.3860000000000001"/>
    <n v="6.3860000000000001"/>
    <n v="6.3860000000000001"/>
    <n v="0"/>
    <x v="0"/>
    <n v="0"/>
    <n v="0"/>
    <n v="41"/>
    <n v="75"/>
    <n v="0"/>
    <n v="435.83"/>
    <n v="127.23"/>
    <m/>
    <n v="530.91182099102343"/>
    <n v="143.44172808637256"/>
    <n v="0"/>
    <n v="2783.21038"/>
    <n v="812.49078000000009"/>
    <n v="0"/>
    <n v="3390.4028888486755"/>
    <n v="916.01887555957524"/>
  </r>
  <r>
    <s v="Regular"/>
    <x v="4"/>
    <x v="3"/>
    <x v="7"/>
    <x v="8"/>
    <x v="0"/>
    <x v="0"/>
    <x v="2"/>
    <x v="7"/>
    <n v="0"/>
    <n v="0"/>
    <n v="274.584"/>
    <n v="274.584"/>
    <n v="274.584"/>
    <n v="274.584"/>
    <n v="5"/>
    <x v="0"/>
    <n v="0"/>
    <n v="0"/>
    <n v="41"/>
    <n v="75"/>
    <n v="0"/>
    <n v="435.83"/>
    <n v="127.23"/>
    <m/>
    <n v="530.91182099102343"/>
    <n v="143.44172808637256"/>
    <n v="0"/>
    <n v="119671.94472"/>
    <n v="34935.322319999999"/>
    <n v="0"/>
    <n v="145779.89145499919"/>
    <n v="39386.803464868528"/>
  </r>
  <r>
    <s v="Regular"/>
    <x v="4"/>
    <x v="3"/>
    <x v="7"/>
    <x v="8"/>
    <x v="0"/>
    <x v="0"/>
    <x v="2"/>
    <x v="8"/>
    <n v="0"/>
    <n v="0"/>
    <n v="283.738"/>
    <n v="283.738"/>
    <n v="283.738"/>
    <n v="283.738"/>
    <n v="5"/>
    <x v="0"/>
    <n v="0"/>
    <n v="0"/>
    <n v="41"/>
    <n v="75"/>
    <n v="0"/>
    <n v="435.83"/>
    <n v="127.23"/>
    <m/>
    <n v="530.91182099102343"/>
    <n v="143.44172808637256"/>
    <n v="0"/>
    <n v="123661.53254"/>
    <n v="36099.985740000004"/>
    <n v="0"/>
    <n v="150639.858264351"/>
    <n v="40699.869043771178"/>
  </r>
  <r>
    <s v="Regular"/>
    <x v="4"/>
    <x v="3"/>
    <x v="7"/>
    <x v="8"/>
    <x v="0"/>
    <x v="0"/>
    <x v="2"/>
    <x v="9"/>
    <n v="0"/>
    <n v="0"/>
    <n v="283.738"/>
    <n v="283.738"/>
    <n v="283.738"/>
    <n v="283.738"/>
    <n v="5"/>
    <x v="0"/>
    <n v="0"/>
    <n v="0"/>
    <n v="41"/>
    <n v="75"/>
    <n v="0"/>
    <n v="435.83"/>
    <n v="127.23"/>
    <m/>
    <n v="530.91182099102343"/>
    <n v="143.44172808637256"/>
    <n v="0"/>
    <n v="123661.53254"/>
    <n v="36099.985740000004"/>
    <n v="0"/>
    <n v="150639.858264351"/>
    <n v="40699.869043771178"/>
  </r>
  <r>
    <s v="Regular"/>
    <x v="4"/>
    <x v="3"/>
    <x v="7"/>
    <x v="8"/>
    <x v="0"/>
    <x v="0"/>
    <x v="2"/>
    <x v="10"/>
    <n v="0"/>
    <n v="0"/>
    <n v="256.27999999999997"/>
    <n v="256.27999999999997"/>
    <n v="256.27999999999997"/>
    <n v="256.27999999999997"/>
    <n v="5"/>
    <x v="0"/>
    <n v="0"/>
    <n v="0"/>
    <n v="41"/>
    <n v="75"/>
    <n v="0"/>
    <n v="435.83"/>
    <n v="127.23"/>
    <m/>
    <n v="530.91182099102343"/>
    <n v="143.44172808637256"/>
    <n v="0"/>
    <n v="111694.51239999998"/>
    <n v="32606.504399999998"/>
    <n v="0"/>
    <n v="136062.08148357947"/>
    <n v="36761.246073975555"/>
  </r>
  <r>
    <s v="Regular"/>
    <x v="4"/>
    <x v="3"/>
    <x v="7"/>
    <x v="8"/>
    <x v="0"/>
    <x v="0"/>
    <x v="2"/>
    <x v="11"/>
    <n v="0"/>
    <n v="0"/>
    <n v="283.738"/>
    <n v="283.738"/>
    <n v="283.738"/>
    <n v="283.738"/>
    <n v="5"/>
    <x v="0"/>
    <n v="0"/>
    <n v="0"/>
    <n v="41"/>
    <n v="75"/>
    <n v="0"/>
    <n v="435.83"/>
    <n v="127.23"/>
    <m/>
    <n v="530.91182099102343"/>
    <n v="143.44172808637256"/>
    <n v="0"/>
    <n v="123661.53254"/>
    <n v="36099.985740000004"/>
    <n v="0"/>
    <n v="150639.858264351"/>
    <n v="40699.86904377117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6">
  <r>
    <s v="Regular"/>
    <x v="0"/>
    <x v="0"/>
    <x v="0"/>
    <x v="0"/>
    <x v="0"/>
    <x v="0"/>
    <x v="0"/>
    <x v="0"/>
    <n v="0"/>
    <n v="0"/>
    <n v="2505.59"/>
    <n v="2505.59"/>
    <n v="2505.59"/>
    <n v="2505.59"/>
    <n v="14846"/>
    <s v="CATIVO"/>
    <n v="0"/>
    <n v="0"/>
    <n v="36"/>
    <n v="45"/>
    <n v="0"/>
    <n v="792.41"/>
    <n v="231.33"/>
    <m/>
    <n v="965.29421998367866"/>
    <n v="260.80314197522284"/>
    <n v="0"/>
    <n v="0"/>
    <n v="0"/>
    <n v="0"/>
    <x v="0"/>
  </r>
  <r>
    <s v="Regular"/>
    <x v="0"/>
    <x v="0"/>
    <x v="0"/>
    <x v="1"/>
    <x v="0"/>
    <x v="0"/>
    <x v="0"/>
    <x v="0"/>
    <n v="0"/>
    <n v="0"/>
    <n v="12.57"/>
    <n v="12.57"/>
    <n v="12.57"/>
    <n v="12.57"/>
    <n v="15"/>
    <s v="CATIVO"/>
    <n v="0"/>
    <n v="0"/>
    <n v="29"/>
    <n v="50"/>
    <n v="0"/>
    <n v="244.97"/>
    <n v="80.97"/>
    <m/>
    <n v="291.74910259255694"/>
    <n v="91.281099691327995"/>
    <n v="0"/>
    <n v="7608.6209999999992"/>
    <n v="0"/>
    <n v="8941.5664793156629"/>
    <x v="1"/>
  </r>
  <r>
    <s v="Regular"/>
    <x v="0"/>
    <x v="0"/>
    <x v="0"/>
    <x v="1"/>
    <x v="0"/>
    <x v="0"/>
    <x v="0"/>
    <x v="1"/>
    <n v="0"/>
    <n v="0"/>
    <n v="20.033999999999999"/>
    <n v="20.033999999999999"/>
    <n v="20.033999999999999"/>
    <n v="20.033999999999999"/>
    <n v="68"/>
    <s v="CATIVO"/>
    <n v="0"/>
    <n v="0"/>
    <n v="29"/>
    <n v="50"/>
    <n v="0"/>
    <n v="244.97"/>
    <n v="80.97"/>
    <m/>
    <n v="291.74910259255694"/>
    <n v="91.281099691327995"/>
    <n v="0"/>
    <n v="12126.580199999999"/>
    <n v="0"/>
    <n v="14251.021706174224"/>
    <x v="1"/>
  </r>
  <r>
    <s v="Refaturamento - Regular"/>
    <x v="0"/>
    <x v="0"/>
    <x v="0"/>
    <x v="1"/>
    <x v="0"/>
    <x v="0"/>
    <x v="0"/>
    <x v="1"/>
    <n v="0"/>
    <n v="0"/>
    <n v="-5.1070000000000002"/>
    <n v="-5.1070000000000002"/>
    <n v="-5.1070000000000002"/>
    <n v="-5.1070000000000002"/>
    <n v="0"/>
    <s v="CATIVO"/>
    <n v="0"/>
    <n v="0"/>
    <n v="29"/>
    <n v="50"/>
    <n v="0"/>
    <n v="244.97"/>
    <n v="80.97"/>
    <m/>
    <n v="291.74910259255694"/>
    <n v="91.281099691327995"/>
    <n v="0"/>
    <n v="-3091.2671"/>
    <n v="0"/>
    <n v="-3632.822594261344"/>
    <x v="1"/>
  </r>
  <r>
    <s v="Sistema de Compensação"/>
    <x v="0"/>
    <x v="0"/>
    <x v="0"/>
    <x v="1"/>
    <x v="0"/>
    <x v="0"/>
    <x v="0"/>
    <x v="1"/>
    <n v="0"/>
    <n v="0"/>
    <n v="0.03"/>
    <n v="1.0500000000000001E-2"/>
    <n v="0.03"/>
    <n v="1.0500000000000001E-2"/>
    <n v="1"/>
    <s v="CATIVO"/>
    <n v="0"/>
    <n v="0"/>
    <n v="29"/>
    <n v="50"/>
    <n v="0"/>
    <n v="244.97"/>
    <n v="80.97"/>
    <m/>
    <n v="291.74910259255694"/>
    <n v="91.281099691327995"/>
    <n v="0"/>
    <n v="24.514829999999996"/>
    <n v="0"/>
    <n v="28.809343071780773"/>
    <x v="1"/>
  </r>
  <r>
    <s v="Regular"/>
    <x v="0"/>
    <x v="0"/>
    <x v="0"/>
    <x v="1"/>
    <x v="0"/>
    <x v="0"/>
    <x v="0"/>
    <x v="2"/>
    <n v="0"/>
    <n v="0"/>
    <n v="14.04"/>
    <n v="14.04"/>
    <n v="14.04"/>
    <n v="14.04"/>
    <n v="18"/>
    <s v="CATIVO"/>
    <n v="0"/>
    <n v="0"/>
    <n v="29"/>
    <n v="50"/>
    <n v="0"/>
    <n v="244.97"/>
    <n v="80.97"/>
    <m/>
    <n v="291.74910259255694"/>
    <n v="91.281099691327995"/>
    <n v="0"/>
    <n v="8498.4119999999984"/>
    <n v="0"/>
    <n v="9987.238931550668"/>
    <x v="1"/>
  </r>
  <r>
    <s v="Refaturamento - Regular"/>
    <x v="0"/>
    <x v="0"/>
    <x v="0"/>
    <x v="1"/>
    <x v="0"/>
    <x v="0"/>
    <x v="0"/>
    <x v="2"/>
    <n v="0"/>
    <n v="0"/>
    <n v="-1.528"/>
    <n v="-1.528"/>
    <n v="-1.528"/>
    <n v="-1.528"/>
    <n v="0"/>
    <s v="CATIVO"/>
    <n v="0"/>
    <n v="0"/>
    <n v="29"/>
    <n v="50"/>
    <n v="0"/>
    <n v="244.97"/>
    <n v="80.97"/>
    <m/>
    <n v="291.74910259255694"/>
    <n v="91.281099691327995"/>
    <n v="0"/>
    <n v="-924.89839999999992"/>
    <n v="0"/>
    <n v="-1086.930276881013"/>
    <x v="1"/>
  </r>
  <r>
    <s v="Sistema de Compensação"/>
    <x v="0"/>
    <x v="0"/>
    <x v="0"/>
    <x v="1"/>
    <x v="0"/>
    <x v="0"/>
    <x v="0"/>
    <x v="2"/>
    <n v="0"/>
    <n v="0"/>
    <n v="0.03"/>
    <n v="1.0500000000000001E-2"/>
    <n v="0.03"/>
    <n v="1.0500000000000001E-2"/>
    <n v="1"/>
    <s v="CATIVO"/>
    <n v="0"/>
    <n v="0"/>
    <n v="29"/>
    <n v="50"/>
    <n v="0"/>
    <n v="244.97"/>
    <n v="80.97"/>
    <m/>
    <n v="291.74910259255694"/>
    <n v="91.281099691327995"/>
    <n v="0"/>
    <n v="24.514829999999996"/>
    <n v="0"/>
    <n v="28.809343071780773"/>
    <x v="1"/>
  </r>
  <r>
    <s v="Regular"/>
    <x v="0"/>
    <x v="0"/>
    <x v="0"/>
    <x v="1"/>
    <x v="0"/>
    <x v="0"/>
    <x v="0"/>
    <x v="3"/>
    <n v="0"/>
    <n v="0"/>
    <n v="14.82"/>
    <n v="14.82"/>
    <n v="14.82"/>
    <n v="14.82"/>
    <n v="23"/>
    <s v="CATIVO"/>
    <n v="0"/>
    <n v="0"/>
    <n v="29"/>
    <n v="50"/>
    <n v="0"/>
    <n v="244.97"/>
    <n v="80.97"/>
    <m/>
    <n v="291.74910259255694"/>
    <n v="91.281099691327995"/>
    <n v="0"/>
    <n v="8970.5460000000003"/>
    <n v="0"/>
    <n v="10542.085538859041"/>
    <x v="1"/>
  </r>
  <r>
    <s v="Sistema de Compensação"/>
    <x v="0"/>
    <x v="0"/>
    <x v="0"/>
    <x v="1"/>
    <x v="0"/>
    <x v="0"/>
    <x v="0"/>
    <x v="3"/>
    <n v="0"/>
    <n v="0"/>
    <n v="0.03"/>
    <n v="1.0500000000000001E-2"/>
    <n v="0.03"/>
    <n v="1.0500000000000001E-2"/>
    <n v="1"/>
    <s v="CATIVO"/>
    <n v="0"/>
    <n v="0"/>
    <n v="29"/>
    <n v="50"/>
    <n v="0"/>
    <n v="244.97"/>
    <n v="80.97"/>
    <m/>
    <n v="291.74910259255694"/>
    <n v="91.281099691327995"/>
    <n v="0"/>
    <n v="24.514829999999996"/>
    <n v="0"/>
    <n v="28.809343071780773"/>
    <x v="1"/>
  </r>
  <r>
    <s v="Regular"/>
    <x v="0"/>
    <x v="0"/>
    <x v="0"/>
    <x v="1"/>
    <x v="0"/>
    <x v="0"/>
    <x v="0"/>
    <x v="4"/>
    <n v="0"/>
    <n v="0"/>
    <n v="15.33"/>
    <n v="15.33"/>
    <n v="15.33"/>
    <n v="15.33"/>
    <n v="26"/>
    <s v="CATIVO"/>
    <n v="0"/>
    <n v="0"/>
    <n v="29"/>
    <n v="50"/>
    <n v="0"/>
    <n v="244.97"/>
    <n v="80.97"/>
    <m/>
    <n v="291.74910259255694"/>
    <n v="91.281099691327995"/>
    <n v="0"/>
    <n v="9279.2489999999998"/>
    <n v="0"/>
    <n v="10904.869859022205"/>
    <x v="1"/>
  </r>
  <r>
    <s v="Sistema de Compensação"/>
    <x v="0"/>
    <x v="0"/>
    <x v="0"/>
    <x v="1"/>
    <x v="0"/>
    <x v="0"/>
    <x v="0"/>
    <x v="4"/>
    <n v="0"/>
    <n v="0"/>
    <n v="0.03"/>
    <n v="1.0500000000000001E-2"/>
    <n v="0.03"/>
    <n v="1.0500000000000001E-2"/>
    <n v="1"/>
    <s v="CATIVO"/>
    <n v="0"/>
    <n v="0"/>
    <n v="29"/>
    <n v="50"/>
    <n v="0"/>
    <n v="244.97"/>
    <n v="80.97"/>
    <m/>
    <n v="291.74910259255694"/>
    <n v="91.281099691327995"/>
    <n v="0"/>
    <n v="24.514829999999996"/>
    <n v="0"/>
    <n v="28.809343071780773"/>
    <x v="1"/>
  </r>
  <r>
    <s v="Regular"/>
    <x v="0"/>
    <x v="0"/>
    <x v="0"/>
    <x v="1"/>
    <x v="0"/>
    <x v="0"/>
    <x v="0"/>
    <x v="5"/>
    <n v="0"/>
    <n v="0"/>
    <n v="15.45"/>
    <n v="15.45"/>
    <n v="15.45"/>
    <n v="15.45"/>
    <n v="18"/>
    <s v="CATIVO"/>
    <n v="0"/>
    <n v="0"/>
    <n v="29"/>
    <n v="50"/>
    <n v="0"/>
    <n v="244.97"/>
    <n v="80.97"/>
    <m/>
    <n v="291.74910259255694"/>
    <n v="91.281099691327995"/>
    <n v="0"/>
    <n v="9351.8849999999984"/>
    <n v="0"/>
    <n v="10990.230875531184"/>
    <x v="1"/>
  </r>
  <r>
    <s v="Sistema de Compensação"/>
    <x v="0"/>
    <x v="0"/>
    <x v="0"/>
    <x v="1"/>
    <x v="0"/>
    <x v="0"/>
    <x v="0"/>
    <x v="5"/>
    <n v="0"/>
    <n v="0"/>
    <n v="0.03"/>
    <n v="1.0500000000000001E-2"/>
    <n v="0.03"/>
    <n v="1.0500000000000001E-2"/>
    <n v="1"/>
    <s v="CATIVO"/>
    <n v="0"/>
    <n v="0"/>
    <n v="29"/>
    <n v="50"/>
    <n v="0"/>
    <n v="244.97"/>
    <n v="80.97"/>
    <m/>
    <n v="291.74910259255694"/>
    <n v="91.281099691327995"/>
    <n v="0"/>
    <n v="24.514829999999996"/>
    <n v="0"/>
    <n v="28.809343071780773"/>
    <x v="1"/>
  </r>
  <r>
    <s v="Regular"/>
    <x v="0"/>
    <x v="0"/>
    <x v="0"/>
    <x v="1"/>
    <x v="0"/>
    <x v="0"/>
    <x v="0"/>
    <x v="6"/>
    <n v="0"/>
    <n v="0"/>
    <n v="17.07"/>
    <n v="17.07"/>
    <n v="17.07"/>
    <n v="17.07"/>
    <n v="20"/>
    <s v="CATIVO"/>
    <n v="0"/>
    <n v="0"/>
    <n v="29"/>
    <n v="50"/>
    <n v="0"/>
    <n v="244.97"/>
    <n v="80.97"/>
    <m/>
    <n v="291.74910259255694"/>
    <n v="91.281099691327995"/>
    <n v="0"/>
    <n v="10332.471"/>
    <n v="0"/>
    <n v="12142.604598402417"/>
    <x v="1"/>
  </r>
  <r>
    <s v="Sistema de Compensação"/>
    <x v="0"/>
    <x v="0"/>
    <x v="0"/>
    <x v="1"/>
    <x v="0"/>
    <x v="0"/>
    <x v="0"/>
    <x v="6"/>
    <n v="0"/>
    <n v="0"/>
    <n v="0.03"/>
    <n v="1.0500000000000001E-2"/>
    <n v="0.03"/>
    <n v="1.0500000000000001E-2"/>
    <n v="1"/>
    <s v="CATIVO"/>
    <n v="0"/>
    <n v="0"/>
    <n v="29"/>
    <n v="50"/>
    <n v="0"/>
    <n v="244.97"/>
    <n v="80.97"/>
    <m/>
    <n v="291.74910259255694"/>
    <n v="91.281099691327995"/>
    <n v="0"/>
    <n v="24.514829999999996"/>
    <n v="0"/>
    <n v="28.809343071780773"/>
    <x v="1"/>
  </r>
  <r>
    <s v="Regular"/>
    <x v="0"/>
    <x v="0"/>
    <x v="0"/>
    <x v="1"/>
    <x v="0"/>
    <x v="0"/>
    <x v="0"/>
    <x v="7"/>
    <n v="0"/>
    <n v="0"/>
    <n v="18.035"/>
    <n v="18.035"/>
    <n v="18.035"/>
    <n v="18.035"/>
    <n v="18"/>
    <s v="CATIVO"/>
    <n v="0"/>
    <n v="0"/>
    <n v="29"/>
    <n v="50"/>
    <n v="0"/>
    <n v="244.97"/>
    <n v="80.97"/>
    <m/>
    <n v="291.74910259255694"/>
    <n v="91.281099691327995"/>
    <n v="0"/>
    <n v="10916.585499999999"/>
    <n v="0"/>
    <n v="12829.049439495464"/>
    <x v="1"/>
  </r>
  <r>
    <s v="Sistema de Compensação"/>
    <x v="0"/>
    <x v="0"/>
    <x v="0"/>
    <x v="1"/>
    <x v="0"/>
    <x v="0"/>
    <x v="0"/>
    <x v="7"/>
    <n v="0"/>
    <n v="0"/>
    <n v="0.06"/>
    <n v="2.1000000000000001E-2"/>
    <n v="0.06"/>
    <n v="2.1000000000000001E-2"/>
    <n v="1"/>
    <s v="CATIVO"/>
    <n v="0"/>
    <n v="0"/>
    <n v="29"/>
    <n v="50"/>
    <n v="0"/>
    <n v="244.97"/>
    <n v="80.97"/>
    <m/>
    <n v="291.74910259255694"/>
    <n v="91.281099691327995"/>
    <n v="0"/>
    <n v="49.029659999999993"/>
    <n v="0"/>
    <n v="57.618686143561547"/>
    <x v="1"/>
  </r>
  <r>
    <s v="Regular"/>
    <x v="0"/>
    <x v="0"/>
    <x v="0"/>
    <x v="1"/>
    <x v="0"/>
    <x v="0"/>
    <x v="0"/>
    <x v="8"/>
    <n v="0"/>
    <n v="0"/>
    <n v="18.78"/>
    <n v="18.78"/>
    <n v="18.78"/>
    <n v="18.78"/>
    <n v="18"/>
    <s v="CATIVO"/>
    <n v="0"/>
    <n v="0"/>
    <n v="29"/>
    <n v="50"/>
    <n v="0"/>
    <n v="244.97"/>
    <n v="80.97"/>
    <m/>
    <n v="291.74910259255694"/>
    <n v="91.281099691327995"/>
    <n v="0"/>
    <n v="11367.534"/>
    <n v="0"/>
    <n v="13358.999083655382"/>
    <x v="1"/>
  </r>
  <r>
    <s v="Sistema de Compensação"/>
    <x v="0"/>
    <x v="0"/>
    <x v="0"/>
    <x v="1"/>
    <x v="0"/>
    <x v="0"/>
    <x v="0"/>
    <x v="8"/>
    <n v="0"/>
    <n v="0"/>
    <n v="0.06"/>
    <n v="2.1000000000000001E-2"/>
    <n v="0.06"/>
    <n v="2.1000000000000001E-2"/>
    <n v="1"/>
    <s v="CATIVO"/>
    <n v="0"/>
    <n v="0"/>
    <n v="29"/>
    <n v="50"/>
    <n v="0"/>
    <n v="244.97"/>
    <n v="80.97"/>
    <m/>
    <n v="291.74910259255694"/>
    <n v="91.281099691327995"/>
    <n v="0"/>
    <n v="49.029659999999993"/>
    <n v="0"/>
    <n v="57.618686143561547"/>
    <x v="1"/>
  </r>
  <r>
    <s v="Regular"/>
    <x v="0"/>
    <x v="0"/>
    <x v="0"/>
    <x v="1"/>
    <x v="0"/>
    <x v="0"/>
    <x v="0"/>
    <x v="9"/>
    <n v="0"/>
    <n v="0"/>
    <n v="19.559999999999999"/>
    <n v="19.559999999999999"/>
    <n v="19.559999999999999"/>
    <n v="19.559999999999999"/>
    <n v="16"/>
    <s v="CATIVO"/>
    <n v="0"/>
    <n v="0"/>
    <n v="29"/>
    <n v="50"/>
    <n v="0"/>
    <n v="244.97"/>
    <n v="80.97"/>
    <m/>
    <n v="291.74910259255694"/>
    <n v="91.281099691327995"/>
    <n v="0"/>
    <n v="11839.667999999998"/>
    <n v="0"/>
    <n v="13913.845690963752"/>
    <x v="1"/>
  </r>
  <r>
    <s v="Sistema de Compensação"/>
    <x v="0"/>
    <x v="0"/>
    <x v="0"/>
    <x v="1"/>
    <x v="0"/>
    <x v="0"/>
    <x v="0"/>
    <x v="9"/>
    <n v="0"/>
    <n v="0"/>
    <n v="0.06"/>
    <n v="2.1000000000000001E-2"/>
    <n v="0.06"/>
    <n v="2.1000000000000001E-2"/>
    <n v="1"/>
    <s v="CATIVO"/>
    <n v="0"/>
    <n v="0"/>
    <n v="29"/>
    <n v="50"/>
    <n v="0"/>
    <n v="244.97"/>
    <n v="80.97"/>
    <m/>
    <n v="291.74910259255694"/>
    <n v="91.281099691327995"/>
    <n v="0"/>
    <n v="49.029659999999993"/>
    <n v="0"/>
    <n v="57.618686143561547"/>
    <x v="1"/>
  </r>
  <r>
    <s v="Regular"/>
    <x v="0"/>
    <x v="0"/>
    <x v="0"/>
    <x v="1"/>
    <x v="0"/>
    <x v="0"/>
    <x v="0"/>
    <x v="10"/>
    <n v="0"/>
    <n v="0"/>
    <n v="20.58"/>
    <n v="20.58"/>
    <n v="20.58"/>
    <n v="20.58"/>
    <n v="18"/>
    <s v="CATIVO"/>
    <n v="0"/>
    <n v="0"/>
    <n v="29"/>
    <n v="50"/>
    <n v="0"/>
    <n v="244.97"/>
    <n v="80.97"/>
    <m/>
    <n v="291.74910259255694"/>
    <n v="91.281099691327995"/>
    <n v="0"/>
    <n v="12457.073999999999"/>
    <n v="0"/>
    <n v="14639.414331290081"/>
    <x v="1"/>
  </r>
  <r>
    <s v="Sistema de Compensação"/>
    <x v="0"/>
    <x v="0"/>
    <x v="0"/>
    <x v="1"/>
    <x v="0"/>
    <x v="0"/>
    <x v="0"/>
    <x v="10"/>
    <n v="0"/>
    <n v="0"/>
    <n v="0.03"/>
    <n v="-8.9999999999999993E-3"/>
    <n v="0.03"/>
    <n v="-8.9999999999999993E-3"/>
    <n v="0"/>
    <s v="CATIVO"/>
    <n v="0"/>
    <n v="0"/>
    <n v="29"/>
    <n v="50"/>
    <n v="0"/>
    <n v="244.97"/>
    <n v="80.97"/>
    <m/>
    <n v="291.74910259255694"/>
    <n v="91.281099691327995"/>
    <n v="0"/>
    <n v="30.870660000000001"/>
    <n v="0"/>
    <n v="36.278432016316529"/>
    <x v="1"/>
  </r>
  <r>
    <s v="Regular"/>
    <x v="0"/>
    <x v="0"/>
    <x v="0"/>
    <x v="1"/>
    <x v="0"/>
    <x v="0"/>
    <x v="0"/>
    <x v="11"/>
    <n v="0"/>
    <n v="0"/>
    <n v="44.7"/>
    <n v="44.7"/>
    <n v="44.7"/>
    <n v="44.7"/>
    <n v="79"/>
    <s v="CATIVO"/>
    <n v="0"/>
    <n v="0"/>
    <n v="29"/>
    <n v="50"/>
    <n v="0"/>
    <n v="244.97"/>
    <n v="80.97"/>
    <m/>
    <n v="291.74910259255694"/>
    <n v="91.281099691327995"/>
    <n v="0"/>
    <n v="27056.91"/>
    <n v="0"/>
    <n v="31796.978649595083"/>
    <x v="1"/>
  </r>
  <r>
    <s v="Sistema de Compensação"/>
    <x v="0"/>
    <x v="0"/>
    <x v="0"/>
    <x v="1"/>
    <x v="0"/>
    <x v="0"/>
    <x v="0"/>
    <x v="11"/>
    <n v="0"/>
    <n v="0"/>
    <n v="3.0000000000000001E-3"/>
    <n v="-8.6999999999999994E-3"/>
    <n v="3.0000000000000001E-3"/>
    <n v="-8.6999999999999994E-3"/>
    <n v="0"/>
    <s v="CATIVO"/>
    <n v="0"/>
    <n v="0"/>
    <n v="29"/>
    <n v="50"/>
    <n v="0"/>
    <n v="244.97"/>
    <n v="80.97"/>
    <m/>
    <n v="291.74910259255694"/>
    <n v="91.281099691327995"/>
    <n v="0"/>
    <n v="5.6293979999999992"/>
    <n v="0"/>
    <n v="6.6154787794459553"/>
    <x v="1"/>
  </r>
  <r>
    <s v="Regular"/>
    <x v="0"/>
    <x v="0"/>
    <x v="0"/>
    <x v="2"/>
    <x v="0"/>
    <x v="0"/>
    <x v="0"/>
    <x v="0"/>
    <n v="0"/>
    <n v="0"/>
    <n v="26.719000000000001"/>
    <n v="26.719000000000001"/>
    <n v="26.719000000000001"/>
    <n v="26.719000000000001"/>
    <n v="71"/>
    <s v="CATIVO"/>
    <n v="0"/>
    <n v="0"/>
    <n v="30"/>
    <n v="51"/>
    <n v="0"/>
    <n v="419.95"/>
    <n v="138.80000000000001"/>
    <m/>
    <n v="500.14131873009762"/>
    <n v="156.48188518513371"/>
    <n v="0"/>
    <n v="9952.5603100000008"/>
    <n v="0"/>
    <n v="11696.210256940712"/>
    <x v="1"/>
  </r>
  <r>
    <s v="Regular"/>
    <x v="0"/>
    <x v="0"/>
    <x v="0"/>
    <x v="2"/>
    <x v="0"/>
    <x v="0"/>
    <x v="0"/>
    <x v="1"/>
    <n v="0"/>
    <n v="0"/>
    <n v="23.943999999999999"/>
    <n v="23.943999999999999"/>
    <n v="23.943999999999999"/>
    <n v="23.943999999999999"/>
    <n v="91"/>
    <s v="CATIVO"/>
    <n v="0"/>
    <n v="0"/>
    <n v="30"/>
    <n v="51"/>
    <n v="0"/>
    <n v="419.95"/>
    <n v="138.80000000000001"/>
    <m/>
    <n v="500.14131873009762"/>
    <n v="156.48188518513371"/>
    <n v="0"/>
    <n v="8918.90056"/>
    <n v="0"/>
    <n v="10481.457329697532"/>
    <x v="1"/>
  </r>
  <r>
    <s v="Refaturamento - Regular"/>
    <x v="0"/>
    <x v="0"/>
    <x v="0"/>
    <x v="2"/>
    <x v="0"/>
    <x v="0"/>
    <x v="0"/>
    <x v="1"/>
    <n v="0"/>
    <n v="0"/>
    <n v="2.4630000000000001"/>
    <n v="2.4630000000000001"/>
    <n v="2.4630000000000001"/>
    <n v="2.4630000000000001"/>
    <n v="0"/>
    <s v="CATIVO"/>
    <n v="0"/>
    <n v="0"/>
    <n v="30"/>
    <n v="51"/>
    <n v="0"/>
    <n v="419.95"/>
    <n v="138.80000000000001"/>
    <m/>
    <n v="500.14131873009762"/>
    <n v="156.48188518513371"/>
    <n v="0"/>
    <n v="917.44287000000008"/>
    <n v="0"/>
    <n v="1078.1753008288099"/>
    <x v="1"/>
  </r>
  <r>
    <s v="Regular"/>
    <x v="0"/>
    <x v="0"/>
    <x v="0"/>
    <x v="2"/>
    <x v="0"/>
    <x v="0"/>
    <x v="0"/>
    <x v="2"/>
    <n v="0"/>
    <n v="0"/>
    <n v="28.617999999999999"/>
    <n v="28.617999999999999"/>
    <n v="28.617999999999999"/>
    <n v="28.617999999999999"/>
    <n v="113"/>
    <s v="CATIVO"/>
    <n v="0"/>
    <n v="0"/>
    <n v="30"/>
    <n v="51"/>
    <n v="0"/>
    <n v="419.95"/>
    <n v="138.80000000000001"/>
    <m/>
    <n v="500.14131873009762"/>
    <n v="156.48188518513371"/>
    <n v="0"/>
    <n v="10659.918819999999"/>
    <n v="0"/>
    <n v="12527.495233097394"/>
    <x v="1"/>
  </r>
  <r>
    <s v="Refaturamento - Regular"/>
    <x v="0"/>
    <x v="0"/>
    <x v="0"/>
    <x v="2"/>
    <x v="0"/>
    <x v="0"/>
    <x v="0"/>
    <x v="2"/>
    <n v="0"/>
    <n v="0"/>
    <n v="0.66700000000000004"/>
    <n v="0.66700000000000004"/>
    <n v="0.66700000000000004"/>
    <n v="0.66700000000000004"/>
    <n v="0"/>
    <s v="CATIVO"/>
    <n v="0"/>
    <n v="0"/>
    <n v="30"/>
    <n v="51"/>
    <n v="0"/>
    <n v="419.95"/>
    <n v="138.80000000000001"/>
    <m/>
    <n v="500.14131873009762"/>
    <n v="156.48188518513371"/>
    <n v="0"/>
    <n v="248.45083000000002"/>
    <n v="0"/>
    <n v="291.97845134097292"/>
    <x v="1"/>
  </r>
  <r>
    <s v="Regular"/>
    <x v="0"/>
    <x v="0"/>
    <x v="0"/>
    <x v="2"/>
    <x v="0"/>
    <x v="0"/>
    <x v="0"/>
    <x v="3"/>
    <n v="0"/>
    <n v="0"/>
    <n v="28.423999999999999"/>
    <n v="28.423999999999999"/>
    <n v="28.423999999999999"/>
    <n v="28.423999999999999"/>
    <n v="169"/>
    <s v="CATIVO"/>
    <n v="0"/>
    <n v="0"/>
    <n v="30"/>
    <n v="51"/>
    <n v="0"/>
    <n v="419.95"/>
    <n v="138.80000000000001"/>
    <m/>
    <n v="500.14131873009762"/>
    <n v="156.48188518513371"/>
    <n v="0"/>
    <n v="10587.65576"/>
    <n v="0"/>
    <n v="12442.571965391024"/>
    <x v="1"/>
  </r>
  <r>
    <s v="Regular"/>
    <x v="0"/>
    <x v="0"/>
    <x v="0"/>
    <x v="2"/>
    <x v="0"/>
    <x v="0"/>
    <x v="0"/>
    <x v="4"/>
    <n v="0"/>
    <n v="0"/>
    <n v="29.297999999999998"/>
    <n v="29.297999999999998"/>
    <n v="29.297999999999998"/>
    <n v="29.297999999999998"/>
    <n v="179"/>
    <s v="CATIVO"/>
    <n v="0"/>
    <n v="0"/>
    <n v="30"/>
    <n v="51"/>
    <n v="0"/>
    <n v="419.95"/>
    <n v="138.80000000000001"/>
    <m/>
    <n v="500.14131873009762"/>
    <n v="156.48188518513371"/>
    <n v="0"/>
    <n v="10913.212019999999"/>
    <n v="0"/>
    <n v="12825.164418872298"/>
    <x v="1"/>
  </r>
  <r>
    <s v="Regular"/>
    <x v="0"/>
    <x v="0"/>
    <x v="0"/>
    <x v="2"/>
    <x v="0"/>
    <x v="0"/>
    <x v="0"/>
    <x v="5"/>
    <n v="0"/>
    <n v="0"/>
    <n v="31.83"/>
    <n v="31.83"/>
    <n v="31.83"/>
    <n v="31.83"/>
    <n v="110"/>
    <s v="CATIVO"/>
    <n v="0"/>
    <n v="0"/>
    <n v="30"/>
    <n v="51"/>
    <n v="0"/>
    <n v="419.95"/>
    <n v="138.80000000000001"/>
    <m/>
    <n v="500.14131873009762"/>
    <n v="156.48188518513371"/>
    <n v="0"/>
    <n v="11856.3567"/>
    <n v="0"/>
    <n v="13933.544387081209"/>
    <x v="1"/>
  </r>
  <r>
    <s v="Regular"/>
    <x v="0"/>
    <x v="0"/>
    <x v="0"/>
    <x v="2"/>
    <x v="0"/>
    <x v="0"/>
    <x v="0"/>
    <x v="6"/>
    <n v="0"/>
    <n v="0"/>
    <n v="34.856999999999999"/>
    <n v="34.856999999999999"/>
    <n v="34.856999999999999"/>
    <n v="34.856999999999999"/>
    <n v="135"/>
    <s v="CATIVO"/>
    <n v="0"/>
    <n v="0"/>
    <n v="30"/>
    <n v="51"/>
    <n v="0"/>
    <n v="419.95"/>
    <n v="138.80000000000001"/>
    <m/>
    <n v="500.14131873009762"/>
    <n v="156.48188518513371"/>
    <n v="0"/>
    <n v="12983.88393"/>
    <n v="0"/>
    <n v="15258.610012582147"/>
    <x v="1"/>
  </r>
  <r>
    <s v="Regular"/>
    <x v="0"/>
    <x v="0"/>
    <x v="0"/>
    <x v="2"/>
    <x v="0"/>
    <x v="0"/>
    <x v="0"/>
    <x v="7"/>
    <n v="0"/>
    <n v="0"/>
    <n v="36.473999999999997"/>
    <n v="36.473999999999997"/>
    <n v="36.473999999999997"/>
    <n v="36.473999999999997"/>
    <n v="141"/>
    <s v="CATIVO"/>
    <n v="0"/>
    <n v="0"/>
    <n v="30"/>
    <n v="51"/>
    <n v="0"/>
    <n v="419.95"/>
    <n v="138.80000000000001"/>
    <m/>
    <n v="500.14131873009762"/>
    <n v="156.48188518513371"/>
    <n v="0"/>
    <n v="13586.20026"/>
    <n v="0"/>
    <n v="15966.449826402764"/>
    <x v="1"/>
  </r>
  <r>
    <s v="Sistema de Compensação"/>
    <x v="0"/>
    <x v="0"/>
    <x v="0"/>
    <x v="2"/>
    <x v="0"/>
    <x v="0"/>
    <x v="0"/>
    <x v="7"/>
    <n v="0"/>
    <n v="0"/>
    <n v="3.7999999999999999E-2"/>
    <n v="2.2800000000000001E-2"/>
    <n v="3.7999999999999999E-2"/>
    <n v="2.2800000000000001E-2"/>
    <n v="1"/>
    <s v="CATIVO"/>
    <n v="0"/>
    <n v="0"/>
    <n v="30"/>
    <n v="51"/>
    <n v="0"/>
    <n v="419.95"/>
    <n v="138.80000000000001"/>
    <m/>
    <n v="500.14131873009762"/>
    <n v="156.48188518513371"/>
    <n v="0"/>
    <n v="22.647619999999996"/>
    <n v="0"/>
    <n v="26.615127198697376"/>
    <x v="1"/>
  </r>
  <r>
    <s v="Regular"/>
    <x v="0"/>
    <x v="0"/>
    <x v="0"/>
    <x v="2"/>
    <x v="0"/>
    <x v="0"/>
    <x v="0"/>
    <x v="8"/>
    <n v="0"/>
    <n v="0"/>
    <n v="39.247999999999998"/>
    <n v="39.247999999999998"/>
    <n v="39.247999999999998"/>
    <n v="39.247999999999998"/>
    <n v="129"/>
    <s v="CATIVO"/>
    <n v="0"/>
    <n v="0"/>
    <n v="30"/>
    <n v="51"/>
    <n v="0"/>
    <n v="419.95"/>
    <n v="138.80000000000001"/>
    <m/>
    <n v="500.14131873009762"/>
    <n v="156.48188518513371"/>
    <n v="0"/>
    <n v="14619.487519999999"/>
    <n v="0"/>
    <n v="17180.765004843332"/>
    <x v="1"/>
  </r>
  <r>
    <s v="Sistema de Compensação"/>
    <x v="0"/>
    <x v="0"/>
    <x v="0"/>
    <x v="2"/>
    <x v="0"/>
    <x v="0"/>
    <x v="0"/>
    <x v="8"/>
    <n v="0"/>
    <n v="0"/>
    <n v="0.02"/>
    <n v="1.2E-2"/>
    <n v="0.02"/>
    <n v="1.2E-2"/>
    <n v="1"/>
    <s v="CATIVO"/>
    <n v="0"/>
    <n v="0"/>
    <n v="30"/>
    <n v="51"/>
    <n v="0"/>
    <n v="419.95"/>
    <n v="138.80000000000001"/>
    <m/>
    <n v="500.14131873009762"/>
    <n v="156.48188518513371"/>
    <n v="0"/>
    <n v="11.9198"/>
    <n v="0"/>
    <n v="14.007961683524936"/>
    <x v="1"/>
  </r>
  <r>
    <s v="Regular"/>
    <x v="0"/>
    <x v="0"/>
    <x v="0"/>
    <x v="2"/>
    <x v="0"/>
    <x v="0"/>
    <x v="0"/>
    <x v="9"/>
    <n v="0"/>
    <n v="0"/>
    <n v="41.478000000000002"/>
    <n v="41.478000000000002"/>
    <n v="41.478000000000002"/>
    <n v="41.478000000000002"/>
    <n v="113"/>
    <s v="CATIVO"/>
    <n v="0"/>
    <n v="0"/>
    <n v="30"/>
    <n v="51"/>
    <n v="0"/>
    <n v="419.95"/>
    <n v="138.80000000000001"/>
    <m/>
    <n v="500.14131873009762"/>
    <n v="156.48188518513371"/>
    <n v="0"/>
    <n v="15450.140220000001"/>
    <n v="0"/>
    <n v="18156.94483466398"/>
    <x v="1"/>
  </r>
  <r>
    <s v="Sistema de Compensação"/>
    <x v="0"/>
    <x v="0"/>
    <x v="0"/>
    <x v="2"/>
    <x v="0"/>
    <x v="0"/>
    <x v="0"/>
    <x v="9"/>
    <n v="0"/>
    <n v="0"/>
    <n v="0.02"/>
    <n v="1.2E-2"/>
    <n v="0.02"/>
    <n v="1.2E-2"/>
    <n v="1"/>
    <s v="CATIVO"/>
    <n v="0"/>
    <n v="0"/>
    <n v="30"/>
    <n v="51"/>
    <n v="0"/>
    <n v="419.95"/>
    <n v="138.80000000000001"/>
    <m/>
    <n v="500.14131873009762"/>
    <n v="156.48188518513371"/>
    <n v="0"/>
    <n v="11.9198"/>
    <n v="0"/>
    <n v="14.007961683524936"/>
    <x v="1"/>
  </r>
  <r>
    <s v="Regular"/>
    <x v="0"/>
    <x v="0"/>
    <x v="0"/>
    <x v="2"/>
    <x v="0"/>
    <x v="0"/>
    <x v="0"/>
    <x v="10"/>
    <n v="0"/>
    <n v="0"/>
    <n v="44.061999999999998"/>
    <n v="44.061999999999998"/>
    <n v="44.061999999999998"/>
    <n v="44.061999999999998"/>
    <n v="107"/>
    <s v="CATIVO"/>
    <n v="0"/>
    <n v="0"/>
    <n v="30"/>
    <n v="51"/>
    <n v="0"/>
    <n v="419.95"/>
    <n v="138.80000000000001"/>
    <m/>
    <n v="500.14131873009762"/>
    <n v="156.48188518513371"/>
    <n v="0"/>
    <n v="16412.65438"/>
    <n v="0"/>
    <n v="19288.087740608615"/>
    <x v="1"/>
  </r>
  <r>
    <s v="Regular"/>
    <x v="0"/>
    <x v="0"/>
    <x v="0"/>
    <x v="2"/>
    <x v="0"/>
    <x v="0"/>
    <x v="0"/>
    <x v="11"/>
    <n v="0"/>
    <n v="0"/>
    <n v="89.213999999999999"/>
    <n v="89.213999999999999"/>
    <n v="89.213999999999999"/>
    <n v="89.213999999999999"/>
    <n v="351"/>
    <s v="CATIVO"/>
    <n v="0"/>
    <n v="0"/>
    <n v="30"/>
    <n v="51"/>
    <n v="0"/>
    <n v="419.95"/>
    <n v="138.80000000000001"/>
    <m/>
    <n v="500.14131873009762"/>
    <n v="156.48188518513371"/>
    <n v="0"/>
    <n v="33231.32286"/>
    <n v="0"/>
    <n v="39053.321676062304"/>
    <x v="1"/>
  </r>
  <r>
    <s v="Refaturamento - Regular"/>
    <x v="0"/>
    <x v="0"/>
    <x v="0"/>
    <x v="2"/>
    <x v="0"/>
    <x v="0"/>
    <x v="0"/>
    <x v="11"/>
    <n v="0"/>
    <n v="0"/>
    <n v="7.0000000000000007E-2"/>
    <n v="7.0000000000000007E-2"/>
    <n v="7.0000000000000007E-2"/>
    <n v="7.0000000000000007E-2"/>
    <n v="0"/>
    <s v="CATIVO"/>
    <n v="0"/>
    <n v="0"/>
    <n v="30"/>
    <n v="51"/>
    <n v="0"/>
    <n v="419.95"/>
    <n v="138.80000000000001"/>
    <m/>
    <n v="500.14131873009762"/>
    <n v="156.48188518513371"/>
    <n v="0"/>
    <n v="26.074300000000004"/>
    <n v="0"/>
    <n v="30.6424161827108"/>
    <x v="1"/>
  </r>
  <r>
    <s v="Regular"/>
    <x v="0"/>
    <x v="0"/>
    <x v="0"/>
    <x v="3"/>
    <x v="0"/>
    <x v="0"/>
    <x v="0"/>
    <x v="0"/>
    <n v="0"/>
    <n v="0"/>
    <n v="25.067"/>
    <n v="25.067"/>
    <n v="25.067"/>
    <n v="25.067"/>
    <n v="238"/>
    <s v="CATIVO"/>
    <n v="0"/>
    <n v="0"/>
    <n v="31"/>
    <n v="46"/>
    <n v="0"/>
    <n v="629.91999999999996"/>
    <n v="208.2"/>
    <m/>
    <n v="750.21197809514649"/>
    <n v="234.72282777770056"/>
    <n v="0"/>
    <n v="2334.2390400000018"/>
    <n v="0"/>
    <n v="2743.2623087571833"/>
    <x v="1"/>
  </r>
  <r>
    <s v="Sistema de Compensação"/>
    <x v="0"/>
    <x v="0"/>
    <x v="0"/>
    <x v="3"/>
    <x v="0"/>
    <x v="0"/>
    <x v="0"/>
    <x v="0"/>
    <n v="0"/>
    <n v="0"/>
    <n v="0.122"/>
    <n v="0.122"/>
    <n v="0.122"/>
    <n v="0.122"/>
    <n v="1"/>
    <s v="CATIVO"/>
    <n v="0"/>
    <n v="0"/>
    <n v="31"/>
    <n v="46"/>
    <n v="0"/>
    <n v="629.91999999999996"/>
    <n v="208.2"/>
    <m/>
    <n v="750.21197809514649"/>
    <n v="234.72282777770056"/>
    <n v="0"/>
    <n v="11.360640000000007"/>
    <n v="0"/>
    <n v="13.351338479609701"/>
    <x v="1"/>
  </r>
  <r>
    <s v="Regular"/>
    <x v="0"/>
    <x v="0"/>
    <x v="0"/>
    <x v="3"/>
    <x v="0"/>
    <x v="0"/>
    <x v="0"/>
    <x v="1"/>
    <n v="0"/>
    <n v="0"/>
    <n v="17.866"/>
    <n v="17.866"/>
    <n v="17.866"/>
    <n v="17.866"/>
    <n v="234"/>
    <s v="CATIVO"/>
    <n v="0"/>
    <n v="0"/>
    <n v="31"/>
    <n v="46"/>
    <n v="0"/>
    <n v="629.91999999999996"/>
    <n v="208.2"/>
    <m/>
    <n v="750.21197809514649"/>
    <n v="234.72282777770056"/>
    <n v="0"/>
    <n v="1663.6819200000011"/>
    <n v="0"/>
    <n v="1955.2050268582534"/>
    <x v="1"/>
  </r>
  <r>
    <s v="Refaturamento - Regular"/>
    <x v="0"/>
    <x v="0"/>
    <x v="0"/>
    <x v="3"/>
    <x v="0"/>
    <x v="0"/>
    <x v="0"/>
    <x v="1"/>
    <n v="0"/>
    <n v="0"/>
    <n v="2.2650000000000001"/>
    <n v="2.2650000000000001"/>
    <n v="2.2650000000000001"/>
    <n v="2.2650000000000001"/>
    <n v="0"/>
    <s v="CATIVO"/>
    <n v="0"/>
    <n v="0"/>
    <n v="31"/>
    <n v="46"/>
    <n v="0"/>
    <n v="629.91999999999996"/>
    <n v="208.2"/>
    <m/>
    <n v="750.21197809514649"/>
    <n v="234.72282777770056"/>
    <n v="0"/>
    <n v="210.91680000000014"/>
    <n v="0"/>
    <n v="247.8752594779998"/>
    <x v="1"/>
  </r>
  <r>
    <s v="Regular"/>
    <x v="0"/>
    <x v="0"/>
    <x v="0"/>
    <x v="3"/>
    <x v="0"/>
    <x v="0"/>
    <x v="0"/>
    <x v="2"/>
    <n v="0"/>
    <n v="0"/>
    <n v="20.646000000000001"/>
    <n v="20.646000000000001"/>
    <n v="20.646000000000001"/>
    <n v="20.646000000000001"/>
    <n v="278"/>
    <s v="CATIVO"/>
    <n v="0"/>
    <n v="0"/>
    <n v="31"/>
    <n v="46"/>
    <n v="0"/>
    <n v="629.91999999999996"/>
    <n v="208.2"/>
    <m/>
    <n v="750.21197809514649"/>
    <n v="234.72282777770056"/>
    <n v="0"/>
    <n v="1922.5555200000013"/>
    <n v="0"/>
    <n v="2259.4404446723106"/>
    <x v="1"/>
  </r>
  <r>
    <s v="Refaturamento - Regular"/>
    <x v="0"/>
    <x v="0"/>
    <x v="0"/>
    <x v="3"/>
    <x v="0"/>
    <x v="0"/>
    <x v="0"/>
    <x v="2"/>
    <n v="0"/>
    <n v="0"/>
    <n v="0.59499999999999997"/>
    <n v="0.59499999999999997"/>
    <n v="0.59499999999999997"/>
    <n v="0.59499999999999997"/>
    <n v="0"/>
    <s v="CATIVO"/>
    <n v="0"/>
    <n v="0"/>
    <n v="31"/>
    <n v="46"/>
    <n v="0"/>
    <n v="629.91999999999996"/>
    <n v="208.2"/>
    <m/>
    <n v="750.21197809514649"/>
    <n v="234.72282777770056"/>
    <n v="0"/>
    <n v="55.406400000000033"/>
    <n v="0"/>
    <n v="65.115134388260429"/>
    <x v="1"/>
  </r>
  <r>
    <s v="Regular"/>
    <x v="0"/>
    <x v="0"/>
    <x v="0"/>
    <x v="3"/>
    <x v="0"/>
    <x v="0"/>
    <x v="0"/>
    <x v="3"/>
    <n v="0"/>
    <n v="0"/>
    <n v="16.478999999999999"/>
    <n v="16.478999999999999"/>
    <n v="16.478999999999999"/>
    <n v="16.478999999999999"/>
    <n v="262"/>
    <s v="CATIVO"/>
    <n v="0"/>
    <n v="0"/>
    <n v="31"/>
    <n v="46"/>
    <n v="0"/>
    <n v="629.91999999999996"/>
    <n v="208.2"/>
    <m/>
    <n v="750.21197809514649"/>
    <n v="234.72282777770056"/>
    <n v="0"/>
    <n v="1534.5244800000009"/>
    <n v="0"/>
    <n v="1803.4156295531825"/>
    <x v="1"/>
  </r>
  <r>
    <s v="Regular"/>
    <x v="0"/>
    <x v="0"/>
    <x v="0"/>
    <x v="3"/>
    <x v="0"/>
    <x v="0"/>
    <x v="0"/>
    <x v="4"/>
    <n v="0"/>
    <n v="0"/>
    <n v="17.085999999999999"/>
    <n v="17.085999999999999"/>
    <n v="17.085999999999999"/>
    <n v="17.085999999999999"/>
    <n v="262"/>
    <s v="CATIVO"/>
    <n v="0"/>
    <n v="0"/>
    <n v="31"/>
    <n v="46"/>
    <n v="0"/>
    <n v="629.91999999999996"/>
    <n v="208.2"/>
    <m/>
    <n v="750.21197809514649"/>
    <n v="234.72282777770056"/>
    <n v="0"/>
    <n v="1591.048320000001"/>
    <n v="0"/>
    <n v="1869.8440103492733"/>
    <x v="1"/>
  </r>
  <r>
    <s v="Sistema de Compensação"/>
    <x v="0"/>
    <x v="0"/>
    <x v="0"/>
    <x v="3"/>
    <x v="0"/>
    <x v="0"/>
    <x v="0"/>
    <x v="4"/>
    <n v="0"/>
    <n v="0"/>
    <n v="0.03"/>
    <n v="0.03"/>
    <n v="0.03"/>
    <n v="0.03"/>
    <n v="1"/>
    <s v="CATIVO"/>
    <n v="0"/>
    <n v="0"/>
    <n v="31"/>
    <n v="46"/>
    <n v="0"/>
    <n v="629.91999999999996"/>
    <n v="208.2"/>
    <m/>
    <n v="750.21197809514649"/>
    <n v="234.72282777770056"/>
    <n v="0"/>
    <n v="2.7936000000000019"/>
    <n v="0"/>
    <n v="3.283116019576156"/>
    <x v="1"/>
  </r>
  <r>
    <s v="Regular"/>
    <x v="0"/>
    <x v="0"/>
    <x v="0"/>
    <x v="3"/>
    <x v="0"/>
    <x v="0"/>
    <x v="0"/>
    <x v="5"/>
    <n v="0"/>
    <n v="0"/>
    <n v="25.048999999999999"/>
    <n v="25.048999999999999"/>
    <n v="25.048999999999999"/>
    <n v="25.048999999999999"/>
    <n v="303"/>
    <s v="CATIVO"/>
    <n v="0"/>
    <n v="0"/>
    <n v="31"/>
    <n v="46"/>
    <n v="0"/>
    <n v="629.91999999999996"/>
    <n v="208.2"/>
    <m/>
    <n v="750.21197809514649"/>
    <n v="234.72282777770056"/>
    <n v="0"/>
    <n v="2332.5628800000013"/>
    <n v="0"/>
    <n v="2741.2924391454376"/>
    <x v="1"/>
  </r>
  <r>
    <s v="Regular"/>
    <x v="0"/>
    <x v="0"/>
    <x v="0"/>
    <x v="3"/>
    <x v="0"/>
    <x v="0"/>
    <x v="0"/>
    <x v="6"/>
    <n v="0"/>
    <n v="0"/>
    <n v="25.533000000000001"/>
    <n v="25.533000000000001"/>
    <n v="25.533000000000001"/>
    <n v="25.533000000000001"/>
    <n v="343"/>
    <s v="CATIVO"/>
    <n v="0"/>
    <n v="0"/>
    <n v="31"/>
    <n v="46"/>
    <n v="0"/>
    <n v="629.91999999999996"/>
    <n v="208.2"/>
    <m/>
    <n v="750.21197809514649"/>
    <n v="234.72282777770056"/>
    <n v="0"/>
    <n v="2377.6329600000017"/>
    <n v="0"/>
    <n v="2794.2600442612666"/>
    <x v="1"/>
  </r>
  <r>
    <s v="Regular"/>
    <x v="0"/>
    <x v="0"/>
    <x v="0"/>
    <x v="3"/>
    <x v="0"/>
    <x v="0"/>
    <x v="0"/>
    <x v="7"/>
    <n v="0"/>
    <n v="0"/>
    <n v="26.920999999999999"/>
    <n v="26.920999999999999"/>
    <n v="26.920999999999999"/>
    <n v="26.920999999999999"/>
    <n v="352"/>
    <s v="CATIVO"/>
    <n v="0"/>
    <n v="0"/>
    <n v="31"/>
    <n v="46"/>
    <n v="0"/>
    <n v="629.91999999999996"/>
    <n v="208.2"/>
    <m/>
    <n v="750.21197809514649"/>
    <n v="234.72282777770056"/>
    <n v="0"/>
    <n v="2506.8835200000017"/>
    <n v="0"/>
    <n v="2946.1588787669898"/>
    <x v="1"/>
  </r>
  <r>
    <s v="Regular"/>
    <x v="0"/>
    <x v="0"/>
    <x v="0"/>
    <x v="3"/>
    <x v="0"/>
    <x v="0"/>
    <x v="0"/>
    <x v="8"/>
    <n v="0"/>
    <n v="0"/>
    <n v="30.305"/>
    <n v="30.305"/>
    <n v="30.305"/>
    <n v="30.305"/>
    <n v="388"/>
    <s v="CATIVO"/>
    <n v="0"/>
    <n v="0"/>
    <n v="31"/>
    <n v="46"/>
    <n v="0"/>
    <n v="629.91999999999996"/>
    <n v="208.2"/>
    <m/>
    <n v="750.21197809514649"/>
    <n v="234.72282777770056"/>
    <n v="0"/>
    <n v="2822.0016000000019"/>
    <n v="0"/>
    <n v="3316.4943657751801"/>
    <x v="1"/>
  </r>
  <r>
    <s v="Regular"/>
    <x v="0"/>
    <x v="0"/>
    <x v="0"/>
    <x v="3"/>
    <x v="0"/>
    <x v="0"/>
    <x v="0"/>
    <x v="9"/>
    <n v="0"/>
    <n v="0"/>
    <n v="38.073"/>
    <n v="38.073"/>
    <n v="38.073"/>
    <n v="38.073"/>
    <n v="382"/>
    <s v="CATIVO"/>
    <n v="0"/>
    <n v="0"/>
    <n v="31"/>
    <n v="46"/>
    <n v="0"/>
    <n v="629.91999999999996"/>
    <n v="208.2"/>
    <m/>
    <n v="750.21197809514649"/>
    <n v="234.72282777770056"/>
    <n v="0"/>
    <n v="3545.3577600000026"/>
    <n v="0"/>
    <n v="4166.6025404440998"/>
    <x v="1"/>
  </r>
  <r>
    <s v="Regular"/>
    <x v="0"/>
    <x v="0"/>
    <x v="0"/>
    <x v="3"/>
    <x v="0"/>
    <x v="0"/>
    <x v="0"/>
    <x v="10"/>
    <n v="0"/>
    <n v="0"/>
    <n v="44.082000000000001"/>
    <n v="44.082000000000001"/>
    <n v="44.082000000000001"/>
    <n v="44.082000000000001"/>
    <n v="375"/>
    <s v="CATIVO"/>
    <n v="0"/>
    <n v="0"/>
    <n v="31"/>
    <n v="46"/>
    <n v="0"/>
    <n v="629.91999999999996"/>
    <n v="208.2"/>
    <m/>
    <n v="750.21197809514649"/>
    <n v="234.72282777770056"/>
    <n v="0"/>
    <n v="4104.9158400000024"/>
    <n v="0"/>
    <n v="4824.2106791652041"/>
    <x v="1"/>
  </r>
  <r>
    <s v="Regular"/>
    <x v="0"/>
    <x v="0"/>
    <x v="0"/>
    <x v="3"/>
    <x v="0"/>
    <x v="0"/>
    <x v="0"/>
    <x v="11"/>
    <n v="0"/>
    <n v="0"/>
    <n v="75.691999999999993"/>
    <n v="75.691999999999993"/>
    <n v="75.691999999999993"/>
    <n v="75.691999999999993"/>
    <n v="791"/>
    <s v="CATIVO"/>
    <n v="0"/>
    <n v="0"/>
    <n v="31"/>
    <n v="46"/>
    <n v="0"/>
    <n v="629.91999999999996"/>
    <n v="208.2"/>
    <m/>
    <n v="750.21197809514649"/>
    <n v="234.72282777770056"/>
    <n v="0"/>
    <n v="7048.4390400000038"/>
    <n v="0"/>
    <n v="8283.5205917919466"/>
    <x v="1"/>
  </r>
  <r>
    <s v="Refaturamento - Regular"/>
    <x v="0"/>
    <x v="0"/>
    <x v="0"/>
    <x v="3"/>
    <x v="0"/>
    <x v="0"/>
    <x v="0"/>
    <x v="11"/>
    <n v="0"/>
    <n v="0"/>
    <n v="0.115"/>
    <n v="0.115"/>
    <n v="0.115"/>
    <n v="0.115"/>
    <n v="0"/>
    <s v="CATIVO"/>
    <n v="0"/>
    <n v="0"/>
    <n v="31"/>
    <n v="46"/>
    <n v="0"/>
    <n v="629.91999999999996"/>
    <n v="208.2"/>
    <m/>
    <n v="750.21197809514649"/>
    <n v="234.72282777770056"/>
    <n v="0"/>
    <n v="10.708800000000007"/>
    <n v="0"/>
    <n v="12.585278075041932"/>
    <x v="1"/>
  </r>
  <r>
    <s v="Regular"/>
    <x v="0"/>
    <x v="0"/>
    <x v="0"/>
    <x v="4"/>
    <x v="0"/>
    <x v="0"/>
    <x v="0"/>
    <x v="0"/>
    <n v="0"/>
    <n v="0"/>
    <n v="7.2460000000000004"/>
    <n v="7.2460000000000004"/>
    <n v="7.2460000000000004"/>
    <n v="7.2460000000000004"/>
    <n v="95"/>
    <s v="CATIVO"/>
    <n v="0"/>
    <n v="0"/>
    <n v="32"/>
    <n v="47"/>
    <n v="0"/>
    <n v="699.91"/>
    <n v="231.33"/>
    <m/>
    <n v="833.56886455016274"/>
    <n v="260.80314197522284"/>
    <n v="0"/>
    <n v="2.0594370653270745E-13"/>
    <n v="0"/>
    <n v="0"/>
    <x v="1"/>
  </r>
  <r>
    <s v="Regular"/>
    <x v="0"/>
    <x v="0"/>
    <x v="0"/>
    <x v="4"/>
    <x v="0"/>
    <x v="0"/>
    <x v="0"/>
    <x v="1"/>
    <n v="0"/>
    <n v="0"/>
    <n v="3.1480000000000001"/>
    <n v="3.1480000000000001"/>
    <n v="3.1480000000000001"/>
    <n v="3.1480000000000001"/>
    <n v="52"/>
    <s v="CATIVO"/>
    <n v="0"/>
    <n v="0"/>
    <n v="32"/>
    <n v="47"/>
    <n v="0"/>
    <n v="699.91"/>
    <n v="231.33"/>
    <m/>
    <n v="833.56886455016274"/>
    <n v="260.80314197522284"/>
    <n v="0"/>
    <n v="8.9471541286911819E-14"/>
    <n v="0"/>
    <n v="0"/>
    <x v="1"/>
  </r>
  <r>
    <s v="Refaturamento - Regular"/>
    <x v="0"/>
    <x v="0"/>
    <x v="0"/>
    <x v="4"/>
    <x v="0"/>
    <x v="0"/>
    <x v="0"/>
    <x v="1"/>
    <n v="0"/>
    <n v="0"/>
    <n v="0.379"/>
    <n v="0.379"/>
    <n v="0.379"/>
    <n v="0.379"/>
    <n v="0"/>
    <s v="CATIVO"/>
    <n v="0"/>
    <n v="0"/>
    <n v="32"/>
    <n v="47"/>
    <n v="0"/>
    <n v="699.91"/>
    <n v="231.33"/>
    <m/>
    <n v="833.56886455016274"/>
    <n v="260.80314197522284"/>
    <n v="0"/>
    <n v="1.0771827874123119E-14"/>
    <n v="0"/>
    <n v="0"/>
    <x v="1"/>
  </r>
  <r>
    <s v="Regular"/>
    <x v="0"/>
    <x v="0"/>
    <x v="0"/>
    <x v="4"/>
    <x v="0"/>
    <x v="0"/>
    <x v="0"/>
    <x v="2"/>
    <n v="0"/>
    <n v="0"/>
    <n v="3.1019999999999999"/>
    <n v="3.1019999999999999"/>
    <n v="3.1019999999999999"/>
    <n v="3.1019999999999999"/>
    <n v="59"/>
    <s v="CATIVO"/>
    <n v="0"/>
    <n v="0"/>
    <n v="32"/>
    <n v="47"/>
    <n v="0"/>
    <n v="699.91"/>
    <n v="231.33"/>
    <m/>
    <n v="833.56886455016274"/>
    <n v="260.80314197522284"/>
    <n v="0"/>
    <n v="8.8164142653113227E-14"/>
    <n v="0"/>
    <n v="0"/>
    <x v="1"/>
  </r>
  <r>
    <s v="Refaturamento - Regular"/>
    <x v="0"/>
    <x v="0"/>
    <x v="0"/>
    <x v="4"/>
    <x v="0"/>
    <x v="0"/>
    <x v="0"/>
    <x v="2"/>
    <n v="0"/>
    <n v="0"/>
    <n v="0.26600000000000001"/>
    <n v="0.26600000000000001"/>
    <n v="0.26600000000000001"/>
    <n v="0.26600000000000001"/>
    <n v="0"/>
    <s v="CATIVO"/>
    <n v="0"/>
    <n v="0"/>
    <n v="32"/>
    <n v="47"/>
    <n v="0"/>
    <n v="699.91"/>
    <n v="231.33"/>
    <m/>
    <n v="833.56886455016274"/>
    <n v="260.80314197522284"/>
    <n v="0"/>
    <n v="7.5601747084874664E-15"/>
    <n v="0"/>
    <n v="0"/>
    <x v="1"/>
  </r>
  <r>
    <s v="Regular"/>
    <x v="0"/>
    <x v="0"/>
    <x v="0"/>
    <x v="4"/>
    <x v="0"/>
    <x v="0"/>
    <x v="0"/>
    <x v="3"/>
    <n v="0"/>
    <n v="0"/>
    <n v="2.0070000000000001"/>
    <n v="2.0070000000000001"/>
    <n v="2.0070000000000001"/>
    <n v="2.0070000000000001"/>
    <n v="40"/>
    <s v="CATIVO"/>
    <n v="0"/>
    <n v="0"/>
    <n v="32"/>
    <n v="47"/>
    <n v="0"/>
    <n v="699.91"/>
    <n v="231.33"/>
    <m/>
    <n v="833.56886455016274"/>
    <n v="260.80314197522284"/>
    <n v="0"/>
    <n v="5.7042370826820846E-14"/>
    <n v="0"/>
    <n v="0"/>
    <x v="1"/>
  </r>
  <r>
    <s v="Regular"/>
    <x v="0"/>
    <x v="0"/>
    <x v="0"/>
    <x v="4"/>
    <x v="0"/>
    <x v="0"/>
    <x v="0"/>
    <x v="4"/>
    <n v="0"/>
    <n v="0"/>
    <n v="1.996"/>
    <n v="1.996"/>
    <n v="1.996"/>
    <n v="1.996"/>
    <n v="44"/>
    <s v="CATIVO"/>
    <n v="0"/>
    <n v="0"/>
    <n v="32"/>
    <n v="47"/>
    <n v="0"/>
    <n v="699.91"/>
    <n v="231.33"/>
    <m/>
    <n v="833.56886455016274"/>
    <n v="260.80314197522284"/>
    <n v="0"/>
    <n v="5.6729732023086399E-14"/>
    <n v="0"/>
    <n v="0"/>
    <x v="1"/>
  </r>
  <r>
    <s v="Regular"/>
    <x v="0"/>
    <x v="0"/>
    <x v="0"/>
    <x v="4"/>
    <x v="0"/>
    <x v="0"/>
    <x v="0"/>
    <x v="5"/>
    <n v="0"/>
    <n v="0"/>
    <n v="4.6749999999999998"/>
    <n v="4.6749999999999998"/>
    <n v="4.6749999999999998"/>
    <n v="4.6749999999999998"/>
    <n v="84"/>
    <s v="CATIVO"/>
    <n v="0"/>
    <n v="0"/>
    <n v="32"/>
    <n v="47"/>
    <n v="0"/>
    <n v="699.91"/>
    <n v="231.33"/>
    <m/>
    <n v="833.56886455016274"/>
    <n v="260.80314197522284"/>
    <n v="0"/>
    <n v="1.3287149158713873E-13"/>
    <n v="0"/>
    <n v="0"/>
    <x v="1"/>
  </r>
  <r>
    <s v="Regular"/>
    <x v="0"/>
    <x v="0"/>
    <x v="0"/>
    <x v="4"/>
    <x v="0"/>
    <x v="0"/>
    <x v="0"/>
    <x v="6"/>
    <n v="0"/>
    <n v="0"/>
    <n v="4.0620000000000003"/>
    <n v="4.0620000000000003"/>
    <n v="4.0620000000000003"/>
    <n v="4.0620000000000003"/>
    <n v="71"/>
    <s v="CATIVO"/>
    <n v="0"/>
    <n v="0"/>
    <n v="32"/>
    <n v="47"/>
    <n v="0"/>
    <n v="699.91"/>
    <n v="231.33"/>
    <m/>
    <n v="833.56886455016274"/>
    <n v="260.80314197522284"/>
    <n v="0"/>
    <n v="1.1544898370630109E-13"/>
    <n v="0"/>
    <n v="0"/>
    <x v="1"/>
  </r>
  <r>
    <s v="Regular"/>
    <x v="0"/>
    <x v="0"/>
    <x v="0"/>
    <x v="4"/>
    <x v="0"/>
    <x v="0"/>
    <x v="0"/>
    <x v="7"/>
    <n v="0"/>
    <n v="0"/>
    <n v="4.5039999999999996"/>
    <n v="4.5039999999999996"/>
    <n v="4.5039999999999996"/>
    <n v="4.5039999999999996"/>
    <n v="81"/>
    <s v="CATIVO"/>
    <n v="0"/>
    <n v="0"/>
    <n v="32"/>
    <n v="47"/>
    <n v="0"/>
    <n v="699.91"/>
    <n v="231.33"/>
    <m/>
    <n v="833.56886455016274"/>
    <n v="260.80314197522284"/>
    <n v="0"/>
    <n v="1.2801137927453964E-13"/>
    <n v="0"/>
    <n v="0"/>
    <x v="1"/>
  </r>
  <r>
    <s v="Regular"/>
    <x v="0"/>
    <x v="0"/>
    <x v="0"/>
    <x v="4"/>
    <x v="0"/>
    <x v="0"/>
    <x v="0"/>
    <x v="8"/>
    <n v="0"/>
    <n v="0"/>
    <n v="5.1580000000000004"/>
    <n v="5.1580000000000004"/>
    <n v="5.1580000000000004"/>
    <n v="5.1580000000000004"/>
    <n v="91"/>
    <s v="CATIVO"/>
    <n v="0"/>
    <n v="0"/>
    <n v="32"/>
    <n v="47"/>
    <n v="0"/>
    <n v="699.91"/>
    <n v="231.33"/>
    <m/>
    <n v="833.56886455016274"/>
    <n v="260.80314197522284"/>
    <n v="0"/>
    <n v="1.4659917724202388E-13"/>
    <n v="0"/>
    <n v="0"/>
    <x v="1"/>
  </r>
  <r>
    <s v="Regular"/>
    <x v="0"/>
    <x v="0"/>
    <x v="0"/>
    <x v="4"/>
    <x v="0"/>
    <x v="0"/>
    <x v="0"/>
    <x v="9"/>
    <n v="0"/>
    <n v="0"/>
    <n v="9.8369999999999997"/>
    <n v="9.8369999999999997"/>
    <n v="9.8369999999999997"/>
    <n v="9.8369999999999997"/>
    <n v="141"/>
    <s v="CATIVO"/>
    <n v="0"/>
    <n v="0"/>
    <n v="32"/>
    <n v="47"/>
    <n v="0"/>
    <n v="699.91"/>
    <n v="231.33"/>
    <m/>
    <n v="833.56886455016274"/>
    <n v="260.80314197522284"/>
    <n v="0"/>
    <n v="2.7958435566688421E-13"/>
    <n v="0"/>
    <n v="0"/>
    <x v="1"/>
  </r>
  <r>
    <s v="Regular"/>
    <x v="0"/>
    <x v="0"/>
    <x v="0"/>
    <x v="4"/>
    <x v="0"/>
    <x v="0"/>
    <x v="0"/>
    <x v="10"/>
    <n v="0"/>
    <n v="0"/>
    <n v="14.343999999999999"/>
    <n v="14.343999999999999"/>
    <n v="14.343999999999999"/>
    <n v="14.343999999999999"/>
    <n v="186"/>
    <s v="CATIVO"/>
    <n v="0"/>
    <n v="0"/>
    <n v="32"/>
    <n v="47"/>
    <n v="0"/>
    <n v="699.91"/>
    <n v="231.33"/>
    <m/>
    <n v="833.56886455016274"/>
    <n v="260.80314197522284"/>
    <n v="0"/>
    <n v="4.0768100006971507E-13"/>
    <n v="0"/>
    <n v="0"/>
    <x v="1"/>
  </r>
  <r>
    <s v="Regular"/>
    <x v="0"/>
    <x v="0"/>
    <x v="0"/>
    <x v="4"/>
    <x v="0"/>
    <x v="0"/>
    <x v="0"/>
    <x v="11"/>
    <n v="0"/>
    <n v="0"/>
    <n v="21.021999999999998"/>
    <n v="21.021999999999998"/>
    <n v="21.021999999999998"/>
    <n v="21.021999999999998"/>
    <n v="271"/>
    <s v="CATIVO"/>
    <n v="0"/>
    <n v="0"/>
    <n v="32"/>
    <n v="47"/>
    <n v="0"/>
    <n v="699.91"/>
    <n v="231.33"/>
    <m/>
    <n v="833.56886455016274"/>
    <n v="260.80314197522284"/>
    <n v="0"/>
    <n v="5.97481175645953E-13"/>
    <n v="0"/>
    <n v="0"/>
    <x v="1"/>
  </r>
  <r>
    <s v="Regular"/>
    <x v="1"/>
    <x v="0"/>
    <x v="1"/>
    <x v="5"/>
    <x v="1"/>
    <x v="0"/>
    <x v="0"/>
    <x v="0"/>
    <n v="0"/>
    <n v="0"/>
    <n v="5.9669999999999996"/>
    <n v="5.9669999999999996"/>
    <n v="5.9669999999999996"/>
    <n v="5.9669999999999996"/>
    <n v="0"/>
    <s v="CATIVO"/>
    <n v="0"/>
    <n v="0"/>
    <n v="9"/>
    <n v="56"/>
    <n v="0"/>
    <n v="697.32"/>
    <n v="203.57"/>
    <m/>
    <n v="907.37656678465794"/>
    <n v="245.15495345670945"/>
    <n v="0"/>
    <n v="733.04594999999972"/>
    <n v="0"/>
    <n v="438.96737752852601"/>
    <x v="2"/>
  </r>
  <r>
    <s v="Sistema de Compensação"/>
    <x v="1"/>
    <x v="0"/>
    <x v="1"/>
    <x v="5"/>
    <x v="1"/>
    <x v="0"/>
    <x v="0"/>
    <x v="1"/>
    <n v="0"/>
    <n v="0"/>
    <n v="0.1"/>
    <n v="0.1"/>
    <n v="0.1"/>
    <n v="0.1"/>
    <n v="0"/>
    <s v="CATIVO"/>
    <n v="0"/>
    <n v="0"/>
    <n v="9"/>
    <n v="56"/>
    <n v="0"/>
    <n v="697.32"/>
    <n v="203.57"/>
    <m/>
    <n v="907.37656678465794"/>
    <n v="245.15495345670945"/>
    <n v="0"/>
    <n v="12.284999999999997"/>
    <n v="0"/>
    <n v="7.3565841717534113"/>
    <x v="2"/>
  </r>
  <r>
    <s v="Sistema de Compensação"/>
    <x v="1"/>
    <x v="0"/>
    <x v="1"/>
    <x v="5"/>
    <x v="1"/>
    <x v="0"/>
    <x v="0"/>
    <x v="2"/>
    <n v="0"/>
    <n v="0"/>
    <n v="1.641"/>
    <n v="1.641"/>
    <n v="1.641"/>
    <n v="1.641"/>
    <n v="0"/>
    <s v="CATIVO"/>
    <n v="0"/>
    <n v="0"/>
    <n v="9"/>
    <n v="56"/>
    <n v="0"/>
    <n v="697.32"/>
    <n v="203.57"/>
    <m/>
    <n v="907.37656678465794"/>
    <n v="245.15495345670945"/>
    <n v="0"/>
    <n v="201.59684999999993"/>
    <n v="0"/>
    <n v="120.72154625847348"/>
    <x v="2"/>
  </r>
  <r>
    <s v="Sistema de Compensação"/>
    <x v="1"/>
    <x v="0"/>
    <x v="1"/>
    <x v="5"/>
    <x v="1"/>
    <x v="0"/>
    <x v="0"/>
    <x v="3"/>
    <n v="0"/>
    <n v="0"/>
    <n v="2.6859999999999999"/>
    <n v="2.6859999999999999"/>
    <n v="2.6859999999999999"/>
    <n v="2.6859999999999999"/>
    <n v="0"/>
    <s v="CATIVO"/>
    <n v="0"/>
    <n v="0"/>
    <n v="9"/>
    <n v="56"/>
    <n v="0"/>
    <n v="697.32"/>
    <n v="203.57"/>
    <m/>
    <n v="907.37656678465794"/>
    <n v="245.15495345670945"/>
    <n v="0"/>
    <n v="329.97509999999988"/>
    <n v="0"/>
    <n v="197.59785085329662"/>
    <x v="2"/>
  </r>
  <r>
    <s v="Sistema de Compensação"/>
    <x v="1"/>
    <x v="0"/>
    <x v="1"/>
    <x v="5"/>
    <x v="1"/>
    <x v="0"/>
    <x v="0"/>
    <x v="4"/>
    <n v="0"/>
    <n v="0"/>
    <n v="2.9529999999999998"/>
    <n v="2.9529999999999998"/>
    <n v="2.9529999999999998"/>
    <n v="2.9529999999999998"/>
    <n v="0"/>
    <s v="CATIVO"/>
    <n v="0"/>
    <n v="0"/>
    <n v="9"/>
    <n v="56"/>
    <n v="0"/>
    <n v="697.32"/>
    <n v="203.57"/>
    <m/>
    <n v="907.37656678465794"/>
    <n v="245.15495345670945"/>
    <n v="0"/>
    <n v="362.77604999999988"/>
    <n v="0"/>
    <n v="217.23993059187822"/>
    <x v="2"/>
  </r>
  <r>
    <s v="Sistema de Compensação"/>
    <x v="1"/>
    <x v="0"/>
    <x v="1"/>
    <x v="5"/>
    <x v="1"/>
    <x v="0"/>
    <x v="0"/>
    <x v="6"/>
    <n v="0"/>
    <n v="0"/>
    <n v="0.34699999999999998"/>
    <n v="0.34699999999999998"/>
    <n v="0.34699999999999998"/>
    <n v="0.34699999999999998"/>
    <n v="0"/>
    <s v="CATIVO"/>
    <n v="0"/>
    <n v="0"/>
    <n v="9"/>
    <n v="56"/>
    <n v="0"/>
    <n v="697.32"/>
    <n v="203.57"/>
    <m/>
    <n v="907.37656678465794"/>
    <n v="245.15495345670945"/>
    <n v="0"/>
    <n v="42.628949999999982"/>
    <n v="0"/>
    <n v="25.527347075984334"/>
    <x v="2"/>
  </r>
  <r>
    <s v="Sistema de Compensação"/>
    <x v="1"/>
    <x v="0"/>
    <x v="1"/>
    <x v="5"/>
    <x v="1"/>
    <x v="0"/>
    <x v="0"/>
    <x v="9"/>
    <n v="0"/>
    <n v="0"/>
    <n v="0.78900000000000003"/>
    <n v="0.78900000000000003"/>
    <n v="0.78900000000000003"/>
    <n v="0.78900000000000003"/>
    <n v="0"/>
    <s v="CATIVO"/>
    <n v="0"/>
    <n v="0"/>
    <n v="9"/>
    <n v="56"/>
    <n v="0"/>
    <n v="697.32"/>
    <n v="203.57"/>
    <m/>
    <n v="907.37656678465794"/>
    <n v="245.15495345670945"/>
    <n v="0"/>
    <n v="96.928649999999976"/>
    <n v="0"/>
    <n v="58.043449115134415"/>
    <x v="2"/>
  </r>
  <r>
    <s v="Sistema de Compensação"/>
    <x v="1"/>
    <x v="0"/>
    <x v="1"/>
    <x v="5"/>
    <x v="1"/>
    <x v="0"/>
    <x v="0"/>
    <x v="11"/>
    <n v="0"/>
    <n v="0"/>
    <n v="0.1"/>
    <n v="0.1"/>
    <n v="0.1"/>
    <n v="0.1"/>
    <n v="0"/>
    <s v="CATIVO"/>
    <n v="0"/>
    <n v="0"/>
    <n v="9"/>
    <n v="56"/>
    <n v="0"/>
    <n v="697.32"/>
    <n v="203.57"/>
    <m/>
    <n v="907.37656678465794"/>
    <n v="245.15495345670945"/>
    <n v="0"/>
    <n v="12.284999999999997"/>
    <n v="0"/>
    <n v="7.3565841717534113"/>
    <x v="2"/>
  </r>
  <r>
    <s v="Regular"/>
    <x v="1"/>
    <x v="0"/>
    <x v="1"/>
    <x v="5"/>
    <x v="2"/>
    <x v="0"/>
    <x v="0"/>
    <x v="0"/>
    <n v="0"/>
    <n v="0"/>
    <n v="9.3239999999999998"/>
    <n v="3.7296"/>
    <n v="9.3239999999999998"/>
    <n v="3.7296"/>
    <n v="0"/>
    <s v="CATIVO"/>
    <n v="0"/>
    <n v="0"/>
    <n v="9"/>
    <n v="56"/>
    <n v="0"/>
    <n v="697.32"/>
    <n v="203.57"/>
    <m/>
    <n v="907.37656678465794"/>
    <n v="245.15495345670945"/>
    <n v="0"/>
    <n v="6185.3924160000006"/>
    <n v="0"/>
    <n v="7133.6502450125936"/>
    <x v="3"/>
  </r>
  <r>
    <s v="Sistema de Compensação"/>
    <x v="1"/>
    <x v="0"/>
    <x v="1"/>
    <x v="5"/>
    <x v="2"/>
    <x v="0"/>
    <x v="0"/>
    <x v="2"/>
    <n v="0"/>
    <n v="0"/>
    <n v="4.3010000000000002"/>
    <n v="1.7203999999999999"/>
    <n v="4.3010000000000002"/>
    <n v="1.7203999999999999"/>
    <n v="0"/>
    <s v="CATIVO"/>
    <n v="0"/>
    <n v="0"/>
    <n v="9"/>
    <n v="56"/>
    <n v="0"/>
    <n v="697.32"/>
    <n v="203.57"/>
    <m/>
    <n v="907.37656678465794"/>
    <n v="245.15495345670945"/>
    <n v="0"/>
    <n v="2853.2145840000007"/>
    <n v="0"/>
    <n v="3290.6295263619877"/>
    <x v="3"/>
  </r>
  <r>
    <s v="Sistema de Compensação"/>
    <x v="1"/>
    <x v="0"/>
    <x v="1"/>
    <x v="5"/>
    <x v="2"/>
    <x v="0"/>
    <x v="0"/>
    <x v="3"/>
    <n v="0"/>
    <n v="0"/>
    <n v="3.6890000000000001"/>
    <n v="1.4756"/>
    <n v="3.6890000000000001"/>
    <n v="1.4756"/>
    <n v="0"/>
    <s v="CATIVO"/>
    <n v="0"/>
    <n v="0"/>
    <n v="9"/>
    <n v="56"/>
    <n v="0"/>
    <n v="697.32"/>
    <n v="203.57"/>
    <m/>
    <n v="907.37656678465794"/>
    <n v="245.15495345670945"/>
    <n v="0"/>
    <n v="2447.2235759999999"/>
    <n v="0"/>
    <n v="2822.397656998226"/>
    <x v="3"/>
  </r>
  <r>
    <s v="Sistema de Compensação"/>
    <x v="1"/>
    <x v="0"/>
    <x v="1"/>
    <x v="5"/>
    <x v="2"/>
    <x v="0"/>
    <x v="0"/>
    <x v="4"/>
    <n v="0"/>
    <n v="0"/>
    <n v="4.5810000000000004"/>
    <n v="1.8324"/>
    <n v="4.5810000000000004"/>
    <n v="1.8324"/>
    <n v="0"/>
    <s v="CATIVO"/>
    <n v="0"/>
    <n v="0"/>
    <n v="9"/>
    <n v="56"/>
    <n v="0"/>
    <n v="697.32"/>
    <n v="203.57"/>
    <m/>
    <n v="907.37656678465794"/>
    <n v="245.15495345670945"/>
    <n v="0"/>
    <n v="3038.9621040000006"/>
    <n v="0"/>
    <n v="3504.8532574434471"/>
    <x v="3"/>
  </r>
  <r>
    <s v="Sistema de Compensação"/>
    <x v="1"/>
    <x v="0"/>
    <x v="1"/>
    <x v="5"/>
    <x v="2"/>
    <x v="0"/>
    <x v="0"/>
    <x v="5"/>
    <n v="0"/>
    <n v="0"/>
    <n v="4.3339999999999996"/>
    <n v="1.7336"/>
    <n v="4.3339999999999996"/>
    <n v="1.7336"/>
    <n v="0"/>
    <s v="CATIVO"/>
    <n v="0"/>
    <n v="0"/>
    <n v="9"/>
    <n v="56"/>
    <n v="0"/>
    <n v="697.32"/>
    <n v="203.57"/>
    <m/>
    <n v="907.37656678465794"/>
    <n v="245.15495345670945"/>
    <n v="0"/>
    <n v="2875.106256"/>
    <n v="0"/>
    <n v="3315.8773232394437"/>
    <x v="3"/>
  </r>
  <r>
    <s v="Sistema de Compensação"/>
    <x v="1"/>
    <x v="0"/>
    <x v="1"/>
    <x v="5"/>
    <x v="2"/>
    <x v="0"/>
    <x v="0"/>
    <x v="6"/>
    <n v="0"/>
    <n v="0"/>
    <n v="2.9340000000000002"/>
    <n v="1.1736"/>
    <n v="2.9340000000000002"/>
    <n v="1.1736"/>
    <n v="0"/>
    <s v="CATIVO"/>
    <n v="0"/>
    <n v="0"/>
    <n v="9"/>
    <n v="56"/>
    <n v="0"/>
    <n v="697.32"/>
    <n v="203.57"/>
    <m/>
    <n v="907.37656678465794"/>
    <n v="245.15495345670945"/>
    <n v="0"/>
    <n v="1946.3686560000001"/>
    <n v="0"/>
    <n v="2244.7586678321486"/>
    <x v="3"/>
  </r>
  <r>
    <s v="Sistema de Compensação"/>
    <x v="1"/>
    <x v="0"/>
    <x v="1"/>
    <x v="5"/>
    <x v="2"/>
    <x v="0"/>
    <x v="0"/>
    <x v="7"/>
    <n v="0"/>
    <n v="0"/>
    <n v="0.47399999999999998"/>
    <n v="0.18959999999999999"/>
    <n v="0.47399999999999998"/>
    <n v="0.18959999999999999"/>
    <n v="0"/>
    <s v="CATIVO"/>
    <n v="0"/>
    <n v="0"/>
    <n v="9"/>
    <n v="56"/>
    <n v="0"/>
    <n v="697.32"/>
    <n v="203.57"/>
    <m/>
    <n v="907.37656678465794"/>
    <n v="245.15495345670945"/>
    <n v="0"/>
    <n v="314.44401599999998"/>
    <n v="0"/>
    <n v="362.65017333075605"/>
    <x v="3"/>
  </r>
  <r>
    <s v="Sistema de Compensação"/>
    <x v="1"/>
    <x v="0"/>
    <x v="1"/>
    <x v="5"/>
    <x v="2"/>
    <x v="0"/>
    <x v="0"/>
    <x v="8"/>
    <n v="0"/>
    <n v="0"/>
    <n v="0.78900000000000003"/>
    <n v="0.31559999999999999"/>
    <n v="0.78900000000000003"/>
    <n v="0.31559999999999999"/>
    <n v="0"/>
    <s v="CATIVO"/>
    <n v="0"/>
    <n v="0"/>
    <n v="9"/>
    <n v="56"/>
    <n v="0"/>
    <n v="697.32"/>
    <n v="203.57"/>
    <m/>
    <n v="907.37656678465794"/>
    <n v="245.15495345670945"/>
    <n v="0"/>
    <n v="523.40997600000003"/>
    <n v="0"/>
    <n v="603.65187079739781"/>
    <x v="3"/>
  </r>
  <r>
    <s v="Sistema de Compensação"/>
    <x v="1"/>
    <x v="0"/>
    <x v="1"/>
    <x v="5"/>
    <x v="2"/>
    <x v="0"/>
    <x v="0"/>
    <x v="9"/>
    <n v="0"/>
    <n v="0"/>
    <n v="3.746"/>
    <n v="1.4984"/>
    <n v="3.746"/>
    <n v="1.4984"/>
    <n v="0"/>
    <s v="CATIVO"/>
    <n v="0"/>
    <n v="0"/>
    <n v="9"/>
    <n v="56"/>
    <n v="0"/>
    <n v="697.32"/>
    <n v="203.57"/>
    <m/>
    <n v="907.37656678465794"/>
    <n v="245.15495345670945"/>
    <n v="0"/>
    <n v="2485.0364640000003"/>
    <n v="0"/>
    <n v="2866.0074879683807"/>
    <x v="3"/>
  </r>
  <r>
    <s v="Sistema de Compensação"/>
    <x v="1"/>
    <x v="0"/>
    <x v="1"/>
    <x v="5"/>
    <x v="2"/>
    <x v="0"/>
    <x v="0"/>
    <x v="10"/>
    <n v="0"/>
    <n v="0"/>
    <n v="3.93"/>
    <n v="1.5720000000000001"/>
    <n v="3.93"/>
    <n v="1.5720000000000001"/>
    <n v="0"/>
    <s v="CATIVO"/>
    <n v="0"/>
    <n v="0"/>
    <n v="9"/>
    <n v="56"/>
    <n v="0"/>
    <n v="697.32"/>
    <n v="203.57"/>
    <m/>
    <n v="907.37656678465794"/>
    <n v="245.15495345670945"/>
    <n v="0"/>
    <n v="2607.0991200000003"/>
    <n v="0"/>
    <n v="3006.7830826790537"/>
    <x v="3"/>
  </r>
  <r>
    <s v="Regular"/>
    <x v="1"/>
    <x v="0"/>
    <x v="1"/>
    <x v="6"/>
    <x v="0"/>
    <x v="0"/>
    <x v="0"/>
    <x v="0"/>
    <n v="0"/>
    <n v="0"/>
    <n v="315.08999999999997"/>
    <n v="315.08999999999997"/>
    <n v="315.08999999999997"/>
    <n v="315.08999999999997"/>
    <n v="577"/>
    <s v="CATIVO"/>
    <n v="0"/>
    <n v="0"/>
    <n v="9"/>
    <n v="56"/>
    <n v="0"/>
    <n v="697.32"/>
    <n v="203.57"/>
    <m/>
    <n v="907.37656678465794"/>
    <n v="245.15495345670945"/>
    <n v="0"/>
    <n v="38708.806499999984"/>
    <n v="0"/>
    <n v="23179.861066777823"/>
    <x v="2"/>
  </r>
  <r>
    <s v="Refaturamento - Regular"/>
    <x v="1"/>
    <x v="0"/>
    <x v="1"/>
    <x v="6"/>
    <x v="0"/>
    <x v="0"/>
    <x v="0"/>
    <x v="0"/>
    <n v="0"/>
    <n v="0"/>
    <n v="-1.155"/>
    <n v="-1.155"/>
    <n v="-1.155"/>
    <n v="-1.155"/>
    <n v="0"/>
    <s v="CATIVO"/>
    <n v="0"/>
    <n v="0"/>
    <n v="9"/>
    <n v="56"/>
    <n v="0"/>
    <n v="697.32"/>
    <n v="203.57"/>
    <m/>
    <n v="907.37656678465794"/>
    <n v="245.15495345670945"/>
    <n v="0"/>
    <n v="-141.89174999999997"/>
    <n v="0"/>
    <n v="-84.968547183751909"/>
    <x v="2"/>
  </r>
  <r>
    <s v="Sistema de Compensação"/>
    <x v="1"/>
    <x v="0"/>
    <x v="1"/>
    <x v="6"/>
    <x v="0"/>
    <x v="0"/>
    <x v="0"/>
    <x v="0"/>
    <n v="0"/>
    <n v="0"/>
    <n v="20.838999999999999"/>
    <n v="20.838999999999999"/>
    <n v="20.838999999999999"/>
    <n v="20.838999999999999"/>
    <n v="24"/>
    <s v="CATIVO"/>
    <n v="0"/>
    <n v="0"/>
    <n v="9"/>
    <n v="56"/>
    <n v="0"/>
    <n v="697.32"/>
    <n v="203.57"/>
    <m/>
    <n v="907.37656678465794"/>
    <n v="245.15495345670945"/>
    <n v="0"/>
    <n v="2560.0711499999993"/>
    <n v="0"/>
    <n v="1533.0385755516934"/>
    <x v="2"/>
  </r>
  <r>
    <s v="Regular"/>
    <x v="1"/>
    <x v="0"/>
    <x v="1"/>
    <x v="6"/>
    <x v="0"/>
    <x v="0"/>
    <x v="0"/>
    <x v="1"/>
    <n v="0"/>
    <n v="0"/>
    <n v="258.86500000000001"/>
    <n v="258.86500000000001"/>
    <n v="258.86500000000001"/>
    <n v="258.86500000000001"/>
    <n v="571"/>
    <s v="CATIVO"/>
    <n v="0"/>
    <n v="0"/>
    <n v="9"/>
    <n v="56"/>
    <n v="0"/>
    <n v="697.32"/>
    <n v="203.57"/>
    <m/>
    <n v="907.37656678465794"/>
    <n v="245.15495345670945"/>
    <n v="0"/>
    <n v="31801.565249999992"/>
    <n v="0"/>
    <n v="19043.621616209468"/>
    <x v="2"/>
  </r>
  <r>
    <s v="Sistema de Compensação"/>
    <x v="1"/>
    <x v="0"/>
    <x v="1"/>
    <x v="6"/>
    <x v="0"/>
    <x v="0"/>
    <x v="0"/>
    <x v="1"/>
    <n v="0"/>
    <n v="0"/>
    <n v="24.317"/>
    <n v="24.317"/>
    <n v="24.317"/>
    <n v="24.317"/>
    <n v="30"/>
    <s v="CATIVO"/>
    <n v="0"/>
    <n v="0"/>
    <n v="9"/>
    <n v="56"/>
    <n v="0"/>
    <n v="697.32"/>
    <n v="203.57"/>
    <m/>
    <n v="907.37656678465794"/>
    <n v="245.15495345670945"/>
    <n v="0"/>
    <n v="2987.3434499999994"/>
    <n v="0"/>
    <n v="1788.900573045277"/>
    <x v="2"/>
  </r>
  <r>
    <s v="Regular"/>
    <x v="1"/>
    <x v="0"/>
    <x v="1"/>
    <x v="6"/>
    <x v="0"/>
    <x v="0"/>
    <x v="0"/>
    <x v="2"/>
    <n v="0"/>
    <n v="0"/>
    <n v="244.72399999999999"/>
    <n v="244.72399999999999"/>
    <n v="244.72399999999999"/>
    <n v="244.72399999999999"/>
    <n v="574"/>
    <s v="CATIVO"/>
    <n v="0"/>
    <n v="0"/>
    <n v="9"/>
    <n v="56"/>
    <n v="0"/>
    <n v="697.32"/>
    <n v="203.57"/>
    <m/>
    <n v="907.37656678465794"/>
    <n v="245.15495345670945"/>
    <n v="0"/>
    <n v="30064.343399999991"/>
    <n v="0"/>
    <n v="18003.327048481817"/>
    <x v="2"/>
  </r>
  <r>
    <s v="Sistema de Compensação"/>
    <x v="1"/>
    <x v="0"/>
    <x v="1"/>
    <x v="6"/>
    <x v="0"/>
    <x v="0"/>
    <x v="0"/>
    <x v="2"/>
    <n v="0"/>
    <n v="0"/>
    <n v="24.001999999999999"/>
    <n v="24.001999999999999"/>
    <n v="24.001999999999999"/>
    <n v="24.001999999999999"/>
    <n v="29"/>
    <s v="CATIVO"/>
    <n v="0"/>
    <n v="0"/>
    <n v="9"/>
    <n v="56"/>
    <n v="0"/>
    <n v="697.32"/>
    <n v="203.57"/>
    <m/>
    <n v="907.37656678465794"/>
    <n v="245.15495345670945"/>
    <n v="0"/>
    <n v="2948.6456999999991"/>
    <n v="0"/>
    <n v="1765.7273329042537"/>
    <x v="2"/>
  </r>
  <r>
    <s v="Regular"/>
    <x v="1"/>
    <x v="0"/>
    <x v="1"/>
    <x v="6"/>
    <x v="0"/>
    <x v="0"/>
    <x v="0"/>
    <x v="3"/>
    <n v="0"/>
    <n v="0"/>
    <n v="235.14400000000001"/>
    <n v="235.14400000000001"/>
    <n v="235.14400000000001"/>
    <n v="235.14400000000001"/>
    <n v="575"/>
    <s v="CATIVO"/>
    <n v="0"/>
    <n v="0"/>
    <n v="9"/>
    <n v="56"/>
    <n v="0"/>
    <n v="697.32"/>
    <n v="203.57"/>
    <m/>
    <n v="907.37656678465794"/>
    <n v="245.15495345670945"/>
    <n v="0"/>
    <n v="28887.440399999992"/>
    <n v="0"/>
    <n v="17298.566284827841"/>
    <x v="2"/>
  </r>
  <r>
    <s v="Refaturamento - Regular"/>
    <x v="1"/>
    <x v="0"/>
    <x v="1"/>
    <x v="6"/>
    <x v="0"/>
    <x v="0"/>
    <x v="0"/>
    <x v="3"/>
    <n v="0"/>
    <n v="0"/>
    <n v="-9.6000000000000002E-2"/>
    <n v="-9.6000000000000002E-2"/>
    <n v="-9.6000000000000002E-2"/>
    <n v="-9.6000000000000002E-2"/>
    <n v="0"/>
    <s v="CATIVO"/>
    <n v="0"/>
    <n v="0"/>
    <n v="9"/>
    <n v="56"/>
    <n v="0"/>
    <n v="697.32"/>
    <n v="203.57"/>
    <m/>
    <n v="907.37656678465794"/>
    <n v="245.15495345670945"/>
    <n v="0"/>
    <n v="-11.793599999999996"/>
    <n v="0"/>
    <n v="-7.0623208048832753"/>
    <x v="2"/>
  </r>
  <r>
    <s v="Sistema de Compensação"/>
    <x v="1"/>
    <x v="0"/>
    <x v="1"/>
    <x v="6"/>
    <x v="0"/>
    <x v="0"/>
    <x v="0"/>
    <x v="3"/>
    <n v="0"/>
    <n v="0"/>
    <n v="22.145"/>
    <n v="22.145"/>
    <n v="22.145"/>
    <n v="22.145"/>
    <n v="30"/>
    <s v="CATIVO"/>
    <n v="0"/>
    <n v="0"/>
    <n v="9"/>
    <n v="56"/>
    <n v="0"/>
    <n v="697.32"/>
    <n v="203.57"/>
    <m/>
    <n v="907.37656678465794"/>
    <n v="245.15495345670945"/>
    <n v="0"/>
    <n v="2720.5132499999991"/>
    <n v="0"/>
    <n v="1629.1155648347928"/>
    <x v="2"/>
  </r>
  <r>
    <s v="Regular"/>
    <x v="1"/>
    <x v="0"/>
    <x v="1"/>
    <x v="6"/>
    <x v="0"/>
    <x v="0"/>
    <x v="0"/>
    <x v="4"/>
    <n v="0"/>
    <n v="0"/>
    <n v="221.601"/>
    <n v="221.601"/>
    <n v="221.601"/>
    <n v="221.601"/>
    <n v="571"/>
    <s v="CATIVO"/>
    <n v="0"/>
    <n v="0"/>
    <n v="9"/>
    <n v="56"/>
    <n v="0"/>
    <n v="697.32"/>
    <n v="203.57"/>
    <m/>
    <n v="907.37656678465794"/>
    <n v="245.15495345670945"/>
    <n v="0"/>
    <n v="27223.682849999994"/>
    <n v="0"/>
    <n v="16302.264090447277"/>
    <x v="2"/>
  </r>
  <r>
    <s v="Sistema de Compensação"/>
    <x v="1"/>
    <x v="0"/>
    <x v="1"/>
    <x v="6"/>
    <x v="0"/>
    <x v="0"/>
    <x v="0"/>
    <x v="4"/>
    <n v="0"/>
    <n v="0"/>
    <n v="22.946000000000002"/>
    <n v="22.946000000000002"/>
    <n v="22.946000000000002"/>
    <n v="22.946000000000002"/>
    <n v="34"/>
    <s v="CATIVO"/>
    <n v="0"/>
    <n v="0"/>
    <n v="9"/>
    <n v="56"/>
    <n v="0"/>
    <n v="697.32"/>
    <n v="203.57"/>
    <m/>
    <n v="907.37656678465794"/>
    <n v="245.15495345670945"/>
    <n v="0"/>
    <n v="2818.9160999999995"/>
    <n v="0"/>
    <n v="1688.0418040505378"/>
    <x v="2"/>
  </r>
  <r>
    <s v="Regular"/>
    <x v="1"/>
    <x v="0"/>
    <x v="1"/>
    <x v="6"/>
    <x v="0"/>
    <x v="0"/>
    <x v="0"/>
    <x v="5"/>
    <n v="0"/>
    <n v="0"/>
    <n v="250.00299999999999"/>
    <n v="250.00299999999999"/>
    <n v="250.00299999999999"/>
    <n v="250.00299999999999"/>
    <n v="568"/>
    <s v="CATIVO"/>
    <n v="0"/>
    <n v="0"/>
    <n v="9"/>
    <n v="56"/>
    <n v="0"/>
    <n v="697.32"/>
    <n v="203.57"/>
    <m/>
    <n v="907.37656678465794"/>
    <n v="245.15495345670945"/>
    <n v="0"/>
    <n v="30712.868549999988"/>
    <n v="0"/>
    <n v="18391.681126908679"/>
    <x v="2"/>
  </r>
  <r>
    <s v="Refaturamento - Regular"/>
    <x v="1"/>
    <x v="0"/>
    <x v="1"/>
    <x v="6"/>
    <x v="0"/>
    <x v="0"/>
    <x v="0"/>
    <x v="5"/>
    <n v="0"/>
    <n v="0"/>
    <n v="-0.1"/>
    <n v="-0.1"/>
    <n v="-0.1"/>
    <n v="-0.1"/>
    <n v="0"/>
    <s v="CATIVO"/>
    <n v="0"/>
    <n v="0"/>
    <n v="9"/>
    <n v="56"/>
    <n v="0"/>
    <n v="697.32"/>
    <n v="203.57"/>
    <m/>
    <n v="907.37656678465794"/>
    <n v="245.15495345670945"/>
    <n v="0"/>
    <n v="-12.284999999999997"/>
    <n v="0"/>
    <n v="-7.3565841717534113"/>
    <x v="2"/>
  </r>
  <r>
    <s v="Sistema de Compensação"/>
    <x v="1"/>
    <x v="0"/>
    <x v="1"/>
    <x v="6"/>
    <x v="0"/>
    <x v="0"/>
    <x v="0"/>
    <x v="5"/>
    <n v="0"/>
    <n v="0"/>
    <n v="25.404"/>
    <n v="25.404"/>
    <n v="25.404"/>
    <n v="25.404"/>
    <n v="34"/>
    <s v="CATIVO"/>
    <n v="0"/>
    <n v="0"/>
    <n v="9"/>
    <n v="56"/>
    <n v="0"/>
    <n v="697.32"/>
    <n v="203.57"/>
    <m/>
    <n v="907.37656678465794"/>
    <n v="245.15495345670945"/>
    <n v="0"/>
    <n v="3120.8813999999993"/>
    <n v="0"/>
    <n v="1868.8666429922366"/>
    <x v="2"/>
  </r>
  <r>
    <s v="Regular"/>
    <x v="1"/>
    <x v="0"/>
    <x v="1"/>
    <x v="6"/>
    <x v="0"/>
    <x v="0"/>
    <x v="0"/>
    <x v="6"/>
    <n v="0"/>
    <n v="0"/>
    <n v="241.17099999999999"/>
    <n v="241.17099999999999"/>
    <n v="241.17099999999999"/>
    <n v="241.17099999999999"/>
    <n v="566"/>
    <s v="CATIVO"/>
    <n v="0"/>
    <n v="0"/>
    <n v="9"/>
    <n v="56"/>
    <n v="0"/>
    <n v="697.32"/>
    <n v="203.57"/>
    <m/>
    <n v="907.37656678465794"/>
    <n v="245.15495345670945"/>
    <n v="0"/>
    <n v="29627.857349999991"/>
    <n v="0"/>
    <n v="17741.947612859418"/>
    <x v="2"/>
  </r>
  <r>
    <s v="Sistema de Compensação"/>
    <x v="1"/>
    <x v="0"/>
    <x v="1"/>
    <x v="6"/>
    <x v="0"/>
    <x v="0"/>
    <x v="0"/>
    <x v="6"/>
    <n v="0"/>
    <n v="0"/>
    <n v="24.452999999999999"/>
    <n v="24.452999999999999"/>
    <n v="24.452999999999999"/>
    <n v="24.452999999999999"/>
    <n v="37"/>
    <s v="CATIVO"/>
    <n v="0"/>
    <n v="0"/>
    <n v="9"/>
    <n v="56"/>
    <n v="0"/>
    <n v="697.32"/>
    <n v="203.57"/>
    <m/>
    <n v="907.37656678465794"/>
    <n v="245.15495345670945"/>
    <n v="0"/>
    <n v="3004.0510499999991"/>
    <n v="0"/>
    <n v="1798.9055275188616"/>
    <x v="2"/>
  </r>
  <r>
    <s v="Regular"/>
    <x v="1"/>
    <x v="0"/>
    <x v="1"/>
    <x v="6"/>
    <x v="0"/>
    <x v="0"/>
    <x v="0"/>
    <x v="7"/>
    <n v="0"/>
    <n v="0"/>
    <n v="229.04900000000001"/>
    <n v="229.04900000000001"/>
    <n v="229.04900000000001"/>
    <n v="229.04900000000001"/>
    <n v="559"/>
    <s v="CATIVO"/>
    <n v="0"/>
    <n v="0"/>
    <n v="9"/>
    <n v="56"/>
    <n v="0"/>
    <n v="697.32"/>
    <n v="203.57"/>
    <m/>
    <n v="907.37656678465794"/>
    <n v="245.15495345670945"/>
    <n v="0"/>
    <n v="28138.669649999993"/>
    <n v="0"/>
    <n v="16850.182479559473"/>
    <x v="2"/>
  </r>
  <r>
    <s v="Sistema de Compensação"/>
    <x v="1"/>
    <x v="0"/>
    <x v="1"/>
    <x v="6"/>
    <x v="0"/>
    <x v="0"/>
    <x v="0"/>
    <x v="7"/>
    <n v="0"/>
    <n v="0"/>
    <n v="28.51"/>
    <n v="28.51"/>
    <n v="28.51"/>
    <n v="28.51"/>
    <n v="38"/>
    <s v="CATIVO"/>
    <n v="0"/>
    <n v="0"/>
    <n v="9"/>
    <n v="56"/>
    <n v="0"/>
    <n v="697.32"/>
    <n v="203.57"/>
    <m/>
    <n v="907.37656678465794"/>
    <n v="245.15495345670945"/>
    <n v="0"/>
    <n v="3502.4534999999992"/>
    <n v="0"/>
    <n v="2097.3621473668977"/>
    <x v="2"/>
  </r>
  <r>
    <s v="Regular"/>
    <x v="1"/>
    <x v="0"/>
    <x v="1"/>
    <x v="6"/>
    <x v="0"/>
    <x v="0"/>
    <x v="0"/>
    <x v="8"/>
    <n v="0"/>
    <n v="0"/>
    <n v="233.387"/>
    <n v="233.387"/>
    <n v="233.387"/>
    <n v="233.387"/>
    <n v="545"/>
    <s v="CATIVO"/>
    <n v="0"/>
    <n v="0"/>
    <n v="9"/>
    <n v="56"/>
    <n v="0"/>
    <n v="697.32"/>
    <n v="203.57"/>
    <m/>
    <n v="907.37656678465794"/>
    <n v="245.15495345670945"/>
    <n v="0"/>
    <n v="28671.592949999991"/>
    <n v="0"/>
    <n v="17169.311100930136"/>
    <x v="2"/>
  </r>
  <r>
    <s v="Refaturamento - Regular"/>
    <x v="1"/>
    <x v="0"/>
    <x v="1"/>
    <x v="6"/>
    <x v="0"/>
    <x v="0"/>
    <x v="0"/>
    <x v="8"/>
    <n v="0"/>
    <n v="0"/>
    <n v="-1.0740000000000001"/>
    <n v="-1.0740000000000001"/>
    <n v="-1.0740000000000001"/>
    <n v="-1.0740000000000001"/>
    <n v="0"/>
    <s v="CATIVO"/>
    <n v="0"/>
    <n v="0"/>
    <n v="9"/>
    <n v="56"/>
    <n v="0"/>
    <n v="697.32"/>
    <n v="203.57"/>
    <m/>
    <n v="907.37656678465794"/>
    <n v="245.15495345670945"/>
    <n v="0"/>
    <n v="-131.94089999999997"/>
    <n v="0"/>
    <n v="-79.009714004631647"/>
    <x v="2"/>
  </r>
  <r>
    <s v="Sistema de Compensação"/>
    <x v="1"/>
    <x v="0"/>
    <x v="1"/>
    <x v="6"/>
    <x v="0"/>
    <x v="0"/>
    <x v="0"/>
    <x v="8"/>
    <n v="0"/>
    <n v="0"/>
    <n v="22.131"/>
    <n v="22.131"/>
    <n v="22.131"/>
    <n v="22.131"/>
    <n v="37"/>
    <s v="CATIVO"/>
    <n v="0"/>
    <n v="0"/>
    <n v="9"/>
    <n v="56"/>
    <n v="0"/>
    <n v="697.32"/>
    <n v="203.57"/>
    <m/>
    <n v="907.37656678465794"/>
    <n v="245.15495345670945"/>
    <n v="0"/>
    <n v="2718.7933499999995"/>
    <n v="0"/>
    <n v="1628.0856430507474"/>
    <x v="2"/>
  </r>
  <r>
    <s v="Regular"/>
    <x v="1"/>
    <x v="0"/>
    <x v="1"/>
    <x v="6"/>
    <x v="0"/>
    <x v="0"/>
    <x v="0"/>
    <x v="9"/>
    <n v="0"/>
    <n v="0"/>
    <n v="252.148"/>
    <n v="252.148"/>
    <n v="252.148"/>
    <n v="252.148"/>
    <n v="534"/>
    <s v="CATIVO"/>
    <n v="0"/>
    <n v="0"/>
    <n v="9"/>
    <n v="56"/>
    <n v="0"/>
    <n v="697.32"/>
    <n v="203.57"/>
    <m/>
    <n v="907.37656678465794"/>
    <n v="245.15495345670945"/>
    <n v="0"/>
    <n v="30976.381799999992"/>
    <n v="0"/>
    <n v="18549.479857392791"/>
    <x v="2"/>
  </r>
  <r>
    <s v="Sistema de Compensação"/>
    <x v="1"/>
    <x v="0"/>
    <x v="1"/>
    <x v="6"/>
    <x v="0"/>
    <x v="0"/>
    <x v="0"/>
    <x v="9"/>
    <n v="0"/>
    <n v="0"/>
    <n v="25.52"/>
    <n v="25.52"/>
    <n v="25.52"/>
    <n v="25.52"/>
    <n v="33"/>
    <s v="CATIVO"/>
    <n v="0"/>
    <n v="0"/>
    <n v="9"/>
    <n v="56"/>
    <n v="0"/>
    <n v="697.32"/>
    <n v="203.57"/>
    <m/>
    <n v="907.37656678465794"/>
    <n v="245.15495345670945"/>
    <n v="0"/>
    <n v="3135.1319999999992"/>
    <n v="0"/>
    <n v="1877.4002806314704"/>
    <x v="2"/>
  </r>
  <r>
    <s v="Sistema de Compensação"/>
    <x v="1"/>
    <x v="0"/>
    <x v="1"/>
    <x v="6"/>
    <x v="0"/>
    <x v="0"/>
    <x v="0"/>
    <x v="9"/>
    <n v="0"/>
    <n v="0"/>
    <n v="0.41"/>
    <n v="0.41"/>
    <n v="0.41"/>
    <n v="0.41"/>
    <n v="1"/>
    <s v="CATIVO"/>
    <n v="0"/>
    <n v="0"/>
    <n v="9"/>
    <n v="56"/>
    <n v="0"/>
    <n v="697.32"/>
    <n v="203.57"/>
    <m/>
    <n v="907.37656678465794"/>
    <n v="245.15495345670945"/>
    <n v="0"/>
    <n v="50.368499999999983"/>
    <n v="0"/>
    <n v="30.161995104188986"/>
    <x v="2"/>
  </r>
  <r>
    <s v="Regular"/>
    <x v="1"/>
    <x v="0"/>
    <x v="1"/>
    <x v="6"/>
    <x v="0"/>
    <x v="0"/>
    <x v="0"/>
    <x v="10"/>
    <n v="0"/>
    <n v="0"/>
    <n v="244.285"/>
    <n v="244.285"/>
    <n v="244.285"/>
    <n v="244.285"/>
    <n v="531"/>
    <s v="CATIVO"/>
    <n v="0"/>
    <n v="0"/>
    <n v="9"/>
    <n v="56"/>
    <n v="0"/>
    <n v="697.32"/>
    <n v="203.57"/>
    <m/>
    <n v="907.37656678465794"/>
    <n v="245.15495345670945"/>
    <n v="0"/>
    <n v="30010.41224999999"/>
    <n v="0"/>
    <n v="17971.031643967821"/>
    <x v="2"/>
  </r>
  <r>
    <s v="Refaturamento - Regular"/>
    <x v="1"/>
    <x v="0"/>
    <x v="1"/>
    <x v="6"/>
    <x v="0"/>
    <x v="0"/>
    <x v="0"/>
    <x v="10"/>
    <n v="0"/>
    <n v="0"/>
    <n v="-0.28000000000000003"/>
    <n v="-0.28000000000000003"/>
    <n v="-0.28000000000000003"/>
    <n v="-0.28000000000000003"/>
    <n v="0"/>
    <s v="CATIVO"/>
    <n v="0"/>
    <n v="0"/>
    <n v="9"/>
    <n v="56"/>
    <n v="0"/>
    <n v="697.32"/>
    <n v="203.57"/>
    <m/>
    <n v="907.37656678465794"/>
    <n v="245.15495345670945"/>
    <n v="0"/>
    <n v="-34.397999999999996"/>
    <n v="0"/>
    <n v="-20.598435680909553"/>
    <x v="2"/>
  </r>
  <r>
    <s v="Sistema de Compensação"/>
    <x v="1"/>
    <x v="0"/>
    <x v="1"/>
    <x v="6"/>
    <x v="0"/>
    <x v="0"/>
    <x v="0"/>
    <x v="10"/>
    <n v="0"/>
    <n v="0"/>
    <n v="27.195"/>
    <n v="27.195"/>
    <n v="27.195"/>
    <n v="27.195"/>
    <n v="38"/>
    <s v="CATIVO"/>
    <n v="0"/>
    <n v="0"/>
    <n v="9"/>
    <n v="56"/>
    <n v="0"/>
    <n v="697.32"/>
    <n v="203.57"/>
    <m/>
    <n v="907.37656678465794"/>
    <n v="245.15495345670945"/>
    <n v="0"/>
    <n v="3340.905749999999"/>
    <n v="0"/>
    <n v="2000.6230655083402"/>
    <x v="2"/>
  </r>
  <r>
    <s v="Regular"/>
    <x v="1"/>
    <x v="0"/>
    <x v="1"/>
    <x v="6"/>
    <x v="0"/>
    <x v="0"/>
    <x v="0"/>
    <x v="11"/>
    <n v="0"/>
    <n v="0"/>
    <n v="235.93100000000001"/>
    <n v="235.93100000000001"/>
    <n v="235.93100000000001"/>
    <n v="235.93100000000001"/>
    <n v="524"/>
    <s v="CATIVO"/>
    <n v="0"/>
    <n v="0"/>
    <n v="9"/>
    <n v="56"/>
    <n v="0"/>
    <n v="697.32"/>
    <n v="203.57"/>
    <m/>
    <n v="907.37656678465794"/>
    <n v="245.15495345670945"/>
    <n v="0"/>
    <n v="28984.123349999994"/>
    <n v="0"/>
    <n v="17356.46260225954"/>
    <x v="2"/>
  </r>
  <r>
    <s v="Refaturamento - Regular"/>
    <x v="1"/>
    <x v="0"/>
    <x v="1"/>
    <x v="6"/>
    <x v="0"/>
    <x v="0"/>
    <x v="0"/>
    <x v="11"/>
    <n v="0"/>
    <n v="0"/>
    <n v="-0.3"/>
    <n v="-0.3"/>
    <n v="-0.3"/>
    <n v="-0.3"/>
    <n v="0"/>
    <s v="CATIVO"/>
    <n v="0"/>
    <n v="0"/>
    <n v="9"/>
    <n v="56"/>
    <n v="0"/>
    <n v="697.32"/>
    <n v="203.57"/>
    <m/>
    <n v="907.37656678465794"/>
    <n v="245.15495345670945"/>
    <n v="0"/>
    <n v="-36.85499999999999"/>
    <n v="0"/>
    <n v="-22.069752515260234"/>
    <x v="2"/>
  </r>
  <r>
    <s v="Sistema de Compensação"/>
    <x v="1"/>
    <x v="0"/>
    <x v="1"/>
    <x v="6"/>
    <x v="0"/>
    <x v="0"/>
    <x v="0"/>
    <x v="11"/>
    <n v="0"/>
    <n v="0"/>
    <n v="34.454999999999998"/>
    <n v="34.454999999999998"/>
    <n v="34.454999999999998"/>
    <n v="34.454999999999998"/>
    <n v="40"/>
    <s v="CATIVO"/>
    <n v="0"/>
    <n v="0"/>
    <n v="9"/>
    <n v="56"/>
    <n v="0"/>
    <n v="697.32"/>
    <n v="203.57"/>
    <m/>
    <n v="907.37656678465794"/>
    <n v="245.15495345670945"/>
    <n v="0"/>
    <n v="4232.7967499999986"/>
    <n v="0"/>
    <n v="2534.7110763776377"/>
    <x v="2"/>
  </r>
  <r>
    <s v="Regular"/>
    <x v="2"/>
    <x v="0"/>
    <x v="2"/>
    <x v="7"/>
    <x v="0"/>
    <x v="0"/>
    <x v="0"/>
    <x v="0"/>
    <n v="0"/>
    <n v="0"/>
    <n v="18.096"/>
    <n v="17.01024"/>
    <n v="18.096"/>
    <n v="17.01024"/>
    <n v="7"/>
    <s v="CATIVO"/>
    <n v="0"/>
    <n v="0"/>
    <n v="39"/>
    <n v="73"/>
    <n v="0"/>
    <n v="792.41"/>
    <n v="231.33"/>
    <m/>
    <n v="965.29421998367866"/>
    <n v="260.80314197522284"/>
    <n v="0"/>
    <n v="1111.5359424000005"/>
    <n v="0"/>
    <n v="1331.2474717204973"/>
    <x v="4"/>
  </r>
  <r>
    <s v="Regular"/>
    <x v="2"/>
    <x v="0"/>
    <x v="2"/>
    <x v="7"/>
    <x v="0"/>
    <x v="0"/>
    <x v="0"/>
    <x v="1"/>
    <n v="0"/>
    <n v="0"/>
    <n v="17.581"/>
    <n v="16.526140000000002"/>
    <n v="17.581"/>
    <n v="16.526140000000002"/>
    <n v="7"/>
    <s v="CATIVO"/>
    <n v="0"/>
    <n v="0"/>
    <n v="39"/>
    <n v="73"/>
    <n v="0"/>
    <n v="792.41"/>
    <n v="231.33"/>
    <m/>
    <n v="965.29421998367866"/>
    <n v="260.80314197522284"/>
    <n v="0"/>
    <n v="1079.9023763999978"/>
    <n v="0"/>
    <n v="1293.3610632359644"/>
    <x v="4"/>
  </r>
  <r>
    <s v="Regular"/>
    <x v="2"/>
    <x v="0"/>
    <x v="2"/>
    <x v="7"/>
    <x v="0"/>
    <x v="0"/>
    <x v="0"/>
    <x v="2"/>
    <n v="0"/>
    <n v="0"/>
    <n v="17.135999999999999"/>
    <n v="16.107839999999999"/>
    <n v="17.135999999999999"/>
    <n v="16.107839999999999"/>
    <n v="7"/>
    <s v="CATIVO"/>
    <n v="0"/>
    <n v="0"/>
    <n v="39"/>
    <n v="73"/>
    <n v="0"/>
    <n v="792.41"/>
    <n v="231.33"/>
    <m/>
    <n v="965.29421998367866"/>
    <n v="260.80314197522284"/>
    <n v="0"/>
    <n v="1052.5685183999997"/>
    <n v="0"/>
    <n v="1260.6242636716638"/>
    <x v="4"/>
  </r>
  <r>
    <s v="Regular"/>
    <x v="2"/>
    <x v="0"/>
    <x v="2"/>
    <x v="7"/>
    <x v="0"/>
    <x v="0"/>
    <x v="0"/>
    <x v="3"/>
    <n v="0"/>
    <n v="0"/>
    <n v="17.015999999999998"/>
    <n v="15.995039999999999"/>
    <n v="17.015999999999998"/>
    <n v="15.995039999999999"/>
    <n v="7"/>
    <s v="CATIVO"/>
    <n v="0"/>
    <n v="0"/>
    <n v="39"/>
    <n v="73"/>
    <n v="0"/>
    <n v="792.41"/>
    <n v="231.33"/>
    <m/>
    <n v="965.29421998367866"/>
    <n v="260.80314197522284"/>
    <n v="0"/>
    <n v="1045.1975903999987"/>
    <n v="0"/>
    <n v="1251.7963626655587"/>
    <x v="4"/>
  </r>
  <r>
    <s v="Regular"/>
    <x v="2"/>
    <x v="0"/>
    <x v="2"/>
    <x v="7"/>
    <x v="0"/>
    <x v="0"/>
    <x v="0"/>
    <x v="4"/>
    <n v="0"/>
    <n v="0"/>
    <n v="16.446999999999999"/>
    <n v="15.460179999999999"/>
    <n v="16.446999999999999"/>
    <n v="15.460179999999999"/>
    <n v="7"/>
    <s v="CATIVO"/>
    <n v="0"/>
    <n v="0"/>
    <n v="39"/>
    <n v="73"/>
    <n v="0"/>
    <n v="792.41"/>
    <n v="231.33"/>
    <m/>
    <n v="965.29421998367866"/>
    <n v="260.80314197522284"/>
    <n v="0"/>
    <n v="1010.2471067999998"/>
    <n v="0"/>
    <n v="1209.9373987282829"/>
    <x v="4"/>
  </r>
  <r>
    <s v="Regular"/>
    <x v="2"/>
    <x v="0"/>
    <x v="2"/>
    <x v="7"/>
    <x v="0"/>
    <x v="0"/>
    <x v="0"/>
    <x v="5"/>
    <n v="0"/>
    <n v="0"/>
    <n v="18.122"/>
    <n v="17.034680000000002"/>
    <n v="18.122"/>
    <n v="17.034680000000002"/>
    <n v="7"/>
    <s v="CATIVO"/>
    <n v="0"/>
    <n v="0"/>
    <n v="39"/>
    <n v="73"/>
    <n v="0"/>
    <n v="792.41"/>
    <n v="231.33"/>
    <m/>
    <n v="965.29421998367866"/>
    <n v="260.80314197522284"/>
    <n v="0"/>
    <n v="1113.1329767999982"/>
    <n v="0"/>
    <n v="1333.1601836051505"/>
    <x v="4"/>
  </r>
  <r>
    <s v="Regular"/>
    <x v="2"/>
    <x v="0"/>
    <x v="2"/>
    <x v="7"/>
    <x v="0"/>
    <x v="0"/>
    <x v="0"/>
    <x v="6"/>
    <n v="0"/>
    <n v="0"/>
    <n v="16.600000000000001"/>
    <n v="15.603999999999999"/>
    <n v="16.600000000000001"/>
    <n v="15.603999999999999"/>
    <n v="7"/>
    <s v="CATIVO"/>
    <n v="0"/>
    <n v="0"/>
    <n v="39"/>
    <n v="73"/>
    <n v="0"/>
    <n v="792.41"/>
    <n v="231.33"/>
    <m/>
    <n v="965.29421998367866"/>
    <n v="260.80314197522284"/>
    <n v="0"/>
    <n v="1019.6450400000023"/>
    <n v="0"/>
    <n v="1221.1929725110685"/>
    <x v="4"/>
  </r>
  <r>
    <s v="Regular"/>
    <x v="2"/>
    <x v="0"/>
    <x v="2"/>
    <x v="7"/>
    <x v="0"/>
    <x v="0"/>
    <x v="0"/>
    <x v="7"/>
    <n v="0"/>
    <n v="0"/>
    <n v="16.931999999999999"/>
    <n v="15.916079999999999"/>
    <n v="16.931999999999999"/>
    <n v="15.916079999999999"/>
    <n v="7"/>
    <s v="CATIVO"/>
    <n v="0"/>
    <n v="0"/>
    <n v="39"/>
    <n v="73"/>
    <n v="0"/>
    <n v="792.41"/>
    <n v="231.33"/>
    <m/>
    <n v="965.29421998367866"/>
    <n v="260.80314197522284"/>
    <n v="0"/>
    <n v="1040.0379407999994"/>
    <n v="0"/>
    <n v="1245.6168319612866"/>
    <x v="4"/>
  </r>
  <r>
    <s v="Regular"/>
    <x v="2"/>
    <x v="0"/>
    <x v="2"/>
    <x v="7"/>
    <x v="0"/>
    <x v="0"/>
    <x v="0"/>
    <x v="8"/>
    <n v="0"/>
    <n v="0"/>
    <n v="16.931000000000001"/>
    <n v="15.915139999999999"/>
    <n v="16.931000000000001"/>
    <n v="15.915139999999999"/>
    <n v="7"/>
    <s v="CATIVO"/>
    <n v="0"/>
    <n v="0"/>
    <n v="39"/>
    <n v="73"/>
    <n v="0"/>
    <n v="792.41"/>
    <n v="231.33"/>
    <m/>
    <n v="965.29421998367866"/>
    <n v="260.80314197522284"/>
    <n v="0"/>
    <n v="1039.9765164000019"/>
    <n v="0"/>
    <n v="1245.5432661195719"/>
    <x v="4"/>
  </r>
  <r>
    <s v="Regular"/>
    <x v="2"/>
    <x v="0"/>
    <x v="2"/>
    <x v="7"/>
    <x v="0"/>
    <x v="0"/>
    <x v="0"/>
    <x v="9"/>
    <n v="0"/>
    <n v="0"/>
    <n v="17.318000000000001"/>
    <n v="16.278919999999999"/>
    <n v="17.318000000000001"/>
    <n v="16.278919999999999"/>
    <n v="7"/>
    <s v="CATIVO"/>
    <n v="0"/>
    <n v="0"/>
    <n v="39"/>
    <n v="73"/>
    <n v="0"/>
    <n v="792.41"/>
    <n v="231.33"/>
    <m/>
    <n v="965.29421998367866"/>
    <n v="260.80314197522284"/>
    <n v="0"/>
    <n v="1063.7477592000021"/>
    <n v="0"/>
    <n v="1274.0132468642578"/>
    <x v="4"/>
  </r>
  <r>
    <s v="Regular"/>
    <x v="2"/>
    <x v="0"/>
    <x v="2"/>
    <x v="7"/>
    <x v="0"/>
    <x v="0"/>
    <x v="0"/>
    <x v="10"/>
    <n v="0"/>
    <n v="0"/>
    <n v="18.584"/>
    <n v="17.468959999999999"/>
    <n v="18.584"/>
    <n v="17.468959999999999"/>
    <n v="7"/>
    <s v="CATIVO"/>
    <n v="0"/>
    <n v="0"/>
    <n v="39"/>
    <n v="73"/>
    <n v="0"/>
    <n v="792.41"/>
    <n v="231.33"/>
    <m/>
    <n v="965.29421998367866"/>
    <n v="260.80314197522284"/>
    <n v="0"/>
    <n v="1141.5110496000004"/>
    <n v="0"/>
    <n v="1367.1476024786541"/>
    <x v="4"/>
  </r>
  <r>
    <s v="Regular"/>
    <x v="2"/>
    <x v="0"/>
    <x v="2"/>
    <x v="7"/>
    <x v="0"/>
    <x v="0"/>
    <x v="0"/>
    <x v="11"/>
    <n v="0"/>
    <n v="0"/>
    <n v="17.818000000000001"/>
    <n v="16.748919999999998"/>
    <n v="17.818000000000001"/>
    <n v="16.748919999999998"/>
    <n v="8"/>
    <s v="CATIVO"/>
    <n v="0"/>
    <n v="0"/>
    <n v="39"/>
    <n v="73"/>
    <n v="0"/>
    <n v="792.41"/>
    <n v="231.33"/>
    <m/>
    <n v="965.29421998367866"/>
    <n v="260.80314197522284"/>
    <n v="0"/>
    <n v="1094.4599592000031"/>
    <n v="0"/>
    <n v="1310.7961677230264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E7FDBE-7CA6-4EED-B9D6-671A4D754E87}" name="Efeito Resumo" cacheId="0" applyNumberFormats="0" applyBorderFormats="0" applyFontFormats="0" applyPatternFormats="0" applyAlignmentFormats="0" applyWidthHeightFormats="1" dataCaption="Valores" updatedVersion="7" minRefreshableVersion="3" useAutoFormatting="1" rowGrandTotals="0" colGrandTotals="0" itemPrintTitles="1" createdVersion="5" indent="0" outline="1" outlineData="1" multipleFieldFilters="0">
  <location ref="A1:J484" firstHeaderRow="0" firstDataRow="1" firstDataCol="1"/>
  <pivotFields count="36">
    <pivotField showAll="0"/>
    <pivotField axis="axisRow" showAll="0">
      <items count="6">
        <item x="0"/>
        <item x="1"/>
        <item x="2"/>
        <item x="3"/>
        <item x="4"/>
        <item t="default"/>
      </items>
    </pivotField>
    <pivotField axis="axisRow" showAll="0">
      <items count="5">
        <item x="0"/>
        <item x="2"/>
        <item x="3"/>
        <item x="1"/>
        <item t="default"/>
      </items>
    </pivotField>
    <pivotField axis="axisRow" showAll="0">
      <items count="9">
        <item x="1"/>
        <item x="5"/>
        <item x="7"/>
        <item x="0"/>
        <item x="2"/>
        <item x="3"/>
        <item x="4"/>
        <item x="6"/>
        <item t="default"/>
      </items>
    </pivotField>
    <pivotField axis="axisRow" showAll="0">
      <items count="10">
        <item x="7"/>
        <item x="6"/>
        <item x="8"/>
        <item x="0"/>
        <item x="1"/>
        <item x="2"/>
        <item x="3"/>
        <item x="4"/>
        <item x="5"/>
        <item t="default"/>
      </items>
    </pivotField>
    <pivotField axis="axisRow" showAll="0">
      <items count="4">
        <item x="1"/>
        <item x="2"/>
        <item x="0"/>
        <item t="default"/>
      </items>
    </pivotField>
    <pivotField axis="axisRow" showAll="0">
      <items count="2">
        <item x="0"/>
        <item t="default"/>
      </items>
    </pivotField>
    <pivotField axis="axisRow" showAll="0">
      <items count="5">
        <item x="0"/>
        <item x="3"/>
        <item x="2"/>
        <item x="1"/>
        <item t="default"/>
      </items>
    </pivotField>
    <pivotField axis="axisRow" numFmtId="14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umFmtId="40" showAll="0"/>
    <pivotField numFmtId="40" showAll="0"/>
    <pivotField numFmtId="40" showAll="0"/>
    <pivotField numFmtId="40" showAll="0"/>
    <pivotField numFmtId="40" showAll="0"/>
    <pivotField numFmtId="40" showAll="0"/>
    <pivotField numFmtId="40" showAll="0"/>
    <pivotField axis="axisRow" showAll="0">
      <items count="2">
        <item x="0"/>
        <item t="default"/>
      </items>
    </pivotField>
    <pivotField showAll="0"/>
    <pivotField numFmtId="40" showAll="0"/>
    <pivotField numFmtId="40" showAll="0"/>
    <pivotField numFmtId="40" showAll="0"/>
    <pivotField numFmtId="40" showAll="0"/>
    <pivotField numFmtId="40" showAll="0"/>
    <pivotField numFmtId="40" showAll="0"/>
    <pivotField showAll="0"/>
    <pivotField showAll="0"/>
    <pivotField showAll="0"/>
    <pivotField dataField="1" numFmtId="40" showAll="0"/>
    <pivotField dataField="1" numFmtId="40" showAll="0"/>
    <pivotField dataField="1" numFmtId="40" showAll="0"/>
    <pivotField dataField="1" numFmtId="40" showAll="0"/>
    <pivotField dataField="1" numFmtId="40" showAll="0"/>
    <pivotField dataField="1" numFmtId="40" showAl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</pivotFields>
  <rowFields count="9">
    <field x="16"/>
    <field x="1"/>
    <field x="2"/>
    <field x="3"/>
    <field x="4"/>
    <field x="5"/>
    <field x="6"/>
    <field x="7"/>
    <field x="8"/>
  </rowFields>
  <rowItems count="483">
    <i>
      <x/>
    </i>
    <i r="1">
      <x/>
    </i>
    <i r="2">
      <x/>
    </i>
    <i r="3">
      <x v="3"/>
    </i>
    <i r="4">
      <x v="3"/>
    </i>
    <i r="5">
      <x v="2"/>
    </i>
    <i r="6">
      <x/>
    </i>
    <i r="7">
      <x/>
    </i>
    <i r="8">
      <x/>
    </i>
    <i r="8">
      <x v="1"/>
    </i>
    <i r="8">
      <x v="2"/>
    </i>
    <i r="8">
      <x v="3"/>
    </i>
    <i r="8">
      <x v="4"/>
    </i>
    <i r="8">
      <x v="5"/>
    </i>
    <i r="8">
      <x v="6"/>
    </i>
    <i r="8">
      <x v="7"/>
    </i>
    <i r="8">
      <x v="8"/>
    </i>
    <i r="8">
      <x v="9"/>
    </i>
    <i r="8">
      <x v="10"/>
    </i>
    <i r="8">
      <x v="11"/>
    </i>
    <i r="7">
      <x v="3"/>
    </i>
    <i r="8">
      <x/>
    </i>
    <i r="8">
      <x v="1"/>
    </i>
    <i r="8">
      <x v="2"/>
    </i>
    <i r="8">
      <x v="3"/>
    </i>
    <i r="8">
      <x v="4"/>
    </i>
    <i r="8">
      <x v="5"/>
    </i>
    <i r="8">
      <x v="6"/>
    </i>
    <i r="8">
      <x v="7"/>
    </i>
    <i r="8">
      <x v="8"/>
    </i>
    <i r="8">
      <x v="9"/>
    </i>
    <i r="8">
      <x v="10"/>
    </i>
    <i r="8">
      <x v="11"/>
    </i>
    <i r="2">
      <x v="3"/>
    </i>
    <i r="3">
      <x/>
    </i>
    <i r="4">
      <x v="3"/>
    </i>
    <i r="5">
      <x v="2"/>
    </i>
    <i r="6">
      <x/>
    </i>
    <i r="7">
      <x/>
    </i>
    <i r="8">
      <x/>
    </i>
    <i r="8">
      <x v="1"/>
    </i>
    <i r="8">
      <x v="2"/>
    </i>
    <i r="8">
      <x v="3"/>
    </i>
    <i r="8">
      <x v="4"/>
    </i>
    <i r="8">
      <x v="5"/>
    </i>
    <i r="8">
      <x v="6"/>
    </i>
    <i r="8">
      <x v="7"/>
    </i>
    <i r="8">
      <x v="8"/>
    </i>
    <i r="8">
      <x v="9"/>
    </i>
    <i r="8">
      <x v="10"/>
    </i>
    <i r="8">
      <x v="11"/>
    </i>
    <i r="7">
      <x v="2"/>
    </i>
    <i r="8">
      <x/>
    </i>
    <i r="8">
      <x v="1"/>
    </i>
    <i r="8">
      <x v="2"/>
    </i>
    <i r="8">
      <x v="3"/>
    </i>
    <i r="8">
      <x v="4"/>
    </i>
    <i r="8">
      <x v="5"/>
    </i>
    <i r="8">
      <x v="6"/>
    </i>
    <i r="8">
      <x v="7"/>
    </i>
    <i r="8">
      <x v="8"/>
    </i>
    <i r="8">
      <x v="9"/>
    </i>
    <i r="8">
      <x v="10"/>
    </i>
    <i r="8">
      <x v="11"/>
    </i>
    <i r="7">
      <x v="3"/>
    </i>
    <i r="8">
      <x/>
    </i>
    <i r="8">
      <x v="1"/>
    </i>
    <i r="8">
      <x v="2"/>
    </i>
    <i r="8">
      <x v="3"/>
    </i>
    <i r="8">
      <x v="4"/>
    </i>
    <i r="8">
      <x v="5"/>
    </i>
    <i r="8">
      <x v="6"/>
    </i>
    <i r="8">
      <x v="7"/>
    </i>
    <i r="8">
      <x v="8"/>
    </i>
    <i r="8">
      <x v="9"/>
    </i>
    <i r="8">
      <x v="10"/>
    </i>
    <i r="8">
      <x v="11"/>
    </i>
    <i r="3">
      <x v="3"/>
    </i>
    <i r="4">
      <x v="3"/>
    </i>
    <i r="5">
      <x v="2"/>
    </i>
    <i r="6">
      <x/>
    </i>
    <i r="7">
      <x/>
    </i>
    <i r="8">
      <x/>
    </i>
    <i r="8">
      <x v="1"/>
    </i>
    <i r="8">
      <x v="2"/>
    </i>
    <i r="8">
      <x v="3"/>
    </i>
    <i r="8">
      <x v="4"/>
    </i>
    <i r="8">
      <x v="5"/>
    </i>
    <i r="8">
      <x v="6"/>
    </i>
    <i r="8">
      <x v="7"/>
    </i>
    <i r="8">
      <x v="8"/>
    </i>
    <i r="8">
      <x v="9"/>
    </i>
    <i r="8">
      <x v="10"/>
    </i>
    <i r="8">
      <x v="11"/>
    </i>
    <i r="7">
      <x v="2"/>
    </i>
    <i r="8">
      <x/>
    </i>
    <i r="8">
      <x v="1"/>
    </i>
    <i r="8">
      <x v="2"/>
    </i>
    <i r="8">
      <x v="3"/>
    </i>
    <i r="8">
      <x v="4"/>
    </i>
    <i r="8">
      <x v="5"/>
    </i>
    <i r="8">
      <x v="6"/>
    </i>
    <i r="8">
      <x v="7"/>
    </i>
    <i r="8">
      <x v="8"/>
    </i>
    <i r="8">
      <x v="9"/>
    </i>
    <i r="8">
      <x v="10"/>
    </i>
    <i r="8">
      <x v="11"/>
    </i>
    <i r="7">
      <x v="3"/>
    </i>
    <i r="8">
      <x/>
    </i>
    <i r="8">
      <x v="1"/>
    </i>
    <i r="8">
      <x v="2"/>
    </i>
    <i r="8">
      <x v="3"/>
    </i>
    <i r="8">
      <x v="4"/>
    </i>
    <i r="8">
      <x v="5"/>
    </i>
    <i r="8">
      <x v="6"/>
    </i>
    <i r="8">
      <x v="7"/>
    </i>
    <i r="8">
      <x v="8"/>
    </i>
    <i r="8">
      <x v="9"/>
    </i>
    <i r="8">
      <x v="10"/>
    </i>
    <i r="8">
      <x v="11"/>
    </i>
    <i r="3">
      <x v="4"/>
    </i>
    <i r="4">
      <x v="3"/>
    </i>
    <i r="5">
      <x v="2"/>
    </i>
    <i r="6">
      <x/>
    </i>
    <i r="7">
      <x/>
    </i>
    <i r="8">
      <x/>
    </i>
    <i r="8">
      <x v="1"/>
    </i>
    <i r="8">
      <x v="2"/>
    </i>
    <i r="8">
      <x v="3"/>
    </i>
    <i r="8">
      <x v="4"/>
    </i>
    <i r="8">
      <x v="5"/>
    </i>
    <i r="8">
      <x v="6"/>
    </i>
    <i r="8">
      <x v="7"/>
    </i>
    <i r="8">
      <x v="8"/>
    </i>
    <i r="8">
      <x v="9"/>
    </i>
    <i r="8">
      <x v="10"/>
    </i>
    <i r="8">
      <x v="11"/>
    </i>
    <i r="7">
      <x v="2"/>
    </i>
    <i r="8">
      <x/>
    </i>
    <i r="8">
      <x v="1"/>
    </i>
    <i r="8">
      <x v="2"/>
    </i>
    <i r="8">
      <x v="3"/>
    </i>
    <i r="8">
      <x v="4"/>
    </i>
    <i r="8">
      <x v="5"/>
    </i>
    <i r="8">
      <x v="6"/>
    </i>
    <i r="8">
      <x v="7"/>
    </i>
    <i r="8">
      <x v="8"/>
    </i>
    <i r="8">
      <x v="9"/>
    </i>
    <i r="8">
      <x v="10"/>
    </i>
    <i r="8">
      <x v="11"/>
    </i>
    <i r="7">
      <x v="3"/>
    </i>
    <i r="8">
      <x/>
    </i>
    <i r="8">
      <x v="1"/>
    </i>
    <i r="8">
      <x v="2"/>
    </i>
    <i r="8">
      <x v="3"/>
    </i>
    <i r="8">
      <x v="4"/>
    </i>
    <i r="8">
      <x v="5"/>
    </i>
    <i r="8">
      <x v="6"/>
    </i>
    <i r="8">
      <x v="7"/>
    </i>
    <i r="8">
      <x v="8"/>
    </i>
    <i r="8">
      <x v="9"/>
    </i>
    <i r="8">
      <x v="10"/>
    </i>
    <i r="8">
      <x v="11"/>
    </i>
    <i r="3">
      <x v="5"/>
    </i>
    <i r="4">
      <x v="4"/>
    </i>
    <i r="5">
      <x v="2"/>
    </i>
    <i r="6">
      <x/>
    </i>
    <i r="7">
      <x/>
    </i>
    <i r="8">
      <x/>
    </i>
    <i r="8">
      <x v="1"/>
    </i>
    <i r="8">
      <x v="2"/>
    </i>
    <i r="8">
      <x v="3"/>
    </i>
    <i r="8">
      <x v="4"/>
    </i>
    <i r="8">
      <x v="5"/>
    </i>
    <i r="8">
      <x v="6"/>
    </i>
    <i r="8">
      <x v="7"/>
    </i>
    <i r="8">
      <x v="8"/>
    </i>
    <i r="8">
      <x v="9"/>
    </i>
    <i r="8">
      <x v="10"/>
    </i>
    <i r="8">
      <x v="11"/>
    </i>
    <i r="7">
      <x v="2"/>
    </i>
    <i r="8">
      <x/>
    </i>
    <i r="8">
      <x v="1"/>
    </i>
    <i r="8">
      <x v="2"/>
    </i>
    <i r="8">
      <x v="3"/>
    </i>
    <i r="8">
      <x v="4"/>
    </i>
    <i r="8">
      <x v="5"/>
    </i>
    <i r="8">
      <x v="6"/>
    </i>
    <i r="8">
      <x v="7"/>
    </i>
    <i r="8">
      <x v="8"/>
    </i>
    <i r="8">
      <x v="9"/>
    </i>
    <i r="8">
      <x v="10"/>
    </i>
    <i r="8">
      <x v="11"/>
    </i>
    <i r="7">
      <x v="3"/>
    </i>
    <i r="8">
      <x/>
    </i>
    <i r="8">
      <x v="1"/>
    </i>
    <i r="8">
      <x v="2"/>
    </i>
    <i r="8">
      <x v="3"/>
    </i>
    <i r="8">
      <x v="4"/>
    </i>
    <i r="8">
      <x v="5"/>
    </i>
    <i r="8">
      <x v="6"/>
    </i>
    <i r="8">
      <x v="7"/>
    </i>
    <i r="8">
      <x v="8"/>
    </i>
    <i r="8">
      <x v="9"/>
    </i>
    <i r="8">
      <x v="10"/>
    </i>
    <i r="8">
      <x v="11"/>
    </i>
    <i r="1">
      <x v="1"/>
    </i>
    <i r="2">
      <x v="1"/>
    </i>
    <i r="3">
      <x v="5"/>
    </i>
    <i r="4">
      <x v="4"/>
    </i>
    <i r="5">
      <x v="2"/>
    </i>
    <i r="6">
      <x/>
    </i>
    <i r="7">
      <x/>
    </i>
    <i r="8">
      <x/>
    </i>
    <i r="8">
      <x v="1"/>
    </i>
    <i r="8">
      <x v="2"/>
    </i>
    <i r="8">
      <x v="3"/>
    </i>
    <i r="8">
      <x v="4"/>
    </i>
    <i r="8">
      <x v="5"/>
    </i>
    <i r="8">
      <x v="6"/>
    </i>
    <i r="8">
      <x v="7"/>
    </i>
    <i r="8">
      <x v="8"/>
    </i>
    <i r="8">
      <x v="9"/>
    </i>
    <i r="8">
      <x v="10"/>
    </i>
    <i r="8">
      <x v="11"/>
    </i>
    <i r="7">
      <x v="1"/>
    </i>
    <i r="8">
      <x/>
    </i>
    <i r="8">
      <x v="1"/>
    </i>
    <i r="8">
      <x v="2"/>
    </i>
    <i r="8">
      <x v="3"/>
    </i>
    <i r="8">
      <x v="4"/>
    </i>
    <i r="8">
      <x v="5"/>
    </i>
    <i r="8">
      <x v="6"/>
    </i>
    <i r="8">
      <x v="7"/>
    </i>
    <i r="8">
      <x v="8"/>
    </i>
    <i r="8">
      <x v="9"/>
    </i>
    <i r="8">
      <x v="10"/>
    </i>
    <i r="8">
      <x v="11"/>
    </i>
    <i r="7">
      <x v="3"/>
    </i>
    <i r="8">
      <x/>
    </i>
    <i r="8">
      <x v="1"/>
    </i>
    <i r="8">
      <x v="2"/>
    </i>
    <i r="8">
      <x v="3"/>
    </i>
    <i r="8">
      <x v="4"/>
    </i>
    <i r="8">
      <x v="5"/>
    </i>
    <i r="8">
      <x v="6"/>
    </i>
    <i r="8">
      <x v="7"/>
    </i>
    <i r="8">
      <x v="8"/>
    </i>
    <i r="8">
      <x v="9"/>
    </i>
    <i r="8">
      <x v="10"/>
    </i>
    <i r="8">
      <x v="11"/>
    </i>
    <i r="2">
      <x v="2"/>
    </i>
    <i r="3">
      <x v="5"/>
    </i>
    <i r="4">
      <x v="4"/>
    </i>
    <i r="5">
      <x v="2"/>
    </i>
    <i r="6">
      <x/>
    </i>
    <i r="7">
      <x v="2"/>
    </i>
    <i r="8">
      <x/>
    </i>
    <i r="8">
      <x v="1"/>
    </i>
    <i r="8">
      <x v="2"/>
    </i>
    <i r="8">
      <x v="3"/>
    </i>
    <i r="8">
      <x v="4"/>
    </i>
    <i r="8">
      <x v="5"/>
    </i>
    <i r="8">
      <x v="6"/>
    </i>
    <i r="8">
      <x v="7"/>
    </i>
    <i r="8">
      <x v="8"/>
    </i>
    <i r="8">
      <x v="9"/>
    </i>
    <i r="8">
      <x v="10"/>
    </i>
    <i r="8">
      <x v="11"/>
    </i>
    <i r="4">
      <x v="5"/>
    </i>
    <i r="5">
      <x v="2"/>
    </i>
    <i r="6">
      <x/>
    </i>
    <i r="7">
      <x v="2"/>
    </i>
    <i r="8">
      <x/>
    </i>
    <i r="8">
      <x v="1"/>
    </i>
    <i r="8">
      <x v="2"/>
    </i>
    <i r="8">
      <x v="3"/>
    </i>
    <i r="8">
      <x v="4"/>
    </i>
    <i r="8">
      <x v="5"/>
    </i>
    <i r="8">
      <x v="6"/>
    </i>
    <i r="8">
      <x v="7"/>
    </i>
    <i r="8">
      <x v="8"/>
    </i>
    <i r="8">
      <x v="9"/>
    </i>
    <i r="8">
      <x v="10"/>
    </i>
    <i r="8">
      <x v="11"/>
    </i>
    <i r="4">
      <x v="6"/>
    </i>
    <i r="5">
      <x v="2"/>
    </i>
    <i r="6">
      <x/>
    </i>
    <i r="7">
      <x v="2"/>
    </i>
    <i r="8">
      <x/>
    </i>
    <i r="8">
      <x v="1"/>
    </i>
    <i r="8">
      <x v="2"/>
    </i>
    <i r="8">
      <x v="3"/>
    </i>
    <i r="8">
      <x v="4"/>
    </i>
    <i r="8">
      <x v="5"/>
    </i>
    <i r="8">
      <x v="6"/>
    </i>
    <i r="8">
      <x v="7"/>
    </i>
    <i r="8">
      <x v="8"/>
    </i>
    <i r="8">
      <x v="9"/>
    </i>
    <i r="8">
      <x v="10"/>
    </i>
    <i r="8">
      <x v="11"/>
    </i>
    <i r="4">
      <x v="7"/>
    </i>
    <i r="5">
      <x v="2"/>
    </i>
    <i r="6">
      <x/>
    </i>
    <i r="7">
      <x v="2"/>
    </i>
    <i r="8">
      <x/>
    </i>
    <i r="8">
      <x v="1"/>
    </i>
    <i r="8">
      <x v="2"/>
    </i>
    <i r="8">
      <x v="3"/>
    </i>
    <i r="8">
      <x v="4"/>
    </i>
    <i r="8">
      <x v="5"/>
    </i>
    <i r="8">
      <x v="6"/>
    </i>
    <i r="8">
      <x v="7"/>
    </i>
    <i r="8">
      <x v="8"/>
    </i>
    <i r="8">
      <x v="9"/>
    </i>
    <i r="8">
      <x v="10"/>
    </i>
    <i r="8">
      <x v="11"/>
    </i>
    <i r="4">
      <x v="8"/>
    </i>
    <i r="5">
      <x v="2"/>
    </i>
    <i r="6">
      <x/>
    </i>
    <i r="7">
      <x v="2"/>
    </i>
    <i r="8">
      <x/>
    </i>
    <i r="8">
      <x v="1"/>
    </i>
    <i r="8">
      <x v="2"/>
    </i>
    <i r="8">
      <x v="3"/>
    </i>
    <i r="8">
      <x v="4"/>
    </i>
    <i r="8">
      <x v="5"/>
    </i>
    <i r="8">
      <x v="6"/>
    </i>
    <i r="8">
      <x v="7"/>
    </i>
    <i r="8">
      <x v="8"/>
    </i>
    <i r="8">
      <x v="9"/>
    </i>
    <i r="8">
      <x v="10"/>
    </i>
    <i r="8">
      <x v="11"/>
    </i>
    <i r="1">
      <x v="2"/>
    </i>
    <i r="2">
      <x v="2"/>
    </i>
    <i r="3">
      <x v="6"/>
    </i>
    <i r="4">
      <x v="1"/>
    </i>
    <i r="5">
      <x/>
    </i>
    <i r="6">
      <x/>
    </i>
    <i r="7">
      <x v="2"/>
    </i>
    <i r="8">
      <x/>
    </i>
    <i r="8">
      <x v="1"/>
    </i>
    <i r="8">
      <x v="2"/>
    </i>
    <i r="8">
      <x v="3"/>
    </i>
    <i r="8">
      <x v="4"/>
    </i>
    <i r="8">
      <x v="6"/>
    </i>
    <i r="8">
      <x v="9"/>
    </i>
    <i r="8">
      <x v="11"/>
    </i>
    <i r="5">
      <x v="1"/>
    </i>
    <i r="6">
      <x/>
    </i>
    <i r="7">
      <x v="2"/>
    </i>
    <i r="8">
      <x/>
    </i>
    <i r="8">
      <x v="2"/>
    </i>
    <i r="8">
      <x v="3"/>
    </i>
    <i r="8">
      <x v="4"/>
    </i>
    <i r="8">
      <x v="5"/>
    </i>
    <i r="8">
      <x v="6"/>
    </i>
    <i r="8">
      <x v="7"/>
    </i>
    <i r="8">
      <x v="8"/>
    </i>
    <i r="8">
      <x v="9"/>
    </i>
    <i r="8">
      <x v="10"/>
    </i>
    <i r="4">
      <x v="3"/>
    </i>
    <i r="5">
      <x v="2"/>
    </i>
    <i r="6">
      <x/>
    </i>
    <i r="7">
      <x v="2"/>
    </i>
    <i r="8">
      <x/>
    </i>
    <i r="8">
      <x v="1"/>
    </i>
    <i r="8">
      <x v="2"/>
    </i>
    <i r="8">
      <x v="3"/>
    </i>
    <i r="8">
      <x v="4"/>
    </i>
    <i r="8">
      <x v="5"/>
    </i>
    <i r="8">
      <x v="6"/>
    </i>
    <i r="8">
      <x v="7"/>
    </i>
    <i r="8">
      <x v="8"/>
    </i>
    <i r="8">
      <x v="9"/>
    </i>
    <i r="8">
      <x v="10"/>
    </i>
    <i r="8">
      <x v="11"/>
    </i>
    <i r="1">
      <x v="3"/>
    </i>
    <i r="2">
      <x v="2"/>
    </i>
    <i r="3">
      <x/>
    </i>
    <i r="4">
      <x v="3"/>
    </i>
    <i r="5">
      <x v="2"/>
    </i>
    <i r="6">
      <x/>
    </i>
    <i r="7">
      <x v="2"/>
    </i>
    <i r="8">
      <x/>
    </i>
    <i r="8">
      <x v="1"/>
    </i>
    <i r="8">
      <x v="2"/>
    </i>
    <i r="8">
      <x v="3"/>
    </i>
    <i r="8">
      <x v="4"/>
    </i>
    <i r="8">
      <x v="5"/>
    </i>
    <i r="8">
      <x v="6"/>
    </i>
    <i r="8">
      <x v="7"/>
    </i>
    <i r="8">
      <x v="8"/>
    </i>
    <i r="8">
      <x v="9"/>
    </i>
    <i r="8">
      <x v="10"/>
    </i>
    <i r="8">
      <x v="11"/>
    </i>
    <i r="3">
      <x v="1"/>
    </i>
    <i r="4">
      <x v="3"/>
    </i>
    <i r="5">
      <x v="2"/>
    </i>
    <i r="6">
      <x/>
    </i>
    <i r="7">
      <x v="2"/>
    </i>
    <i r="8">
      <x/>
    </i>
    <i r="8">
      <x v="1"/>
    </i>
    <i r="8">
      <x v="2"/>
    </i>
    <i r="8">
      <x v="3"/>
    </i>
    <i r="8">
      <x v="4"/>
    </i>
    <i r="8">
      <x v="5"/>
    </i>
    <i r="8">
      <x v="6"/>
    </i>
    <i r="8">
      <x v="7"/>
    </i>
    <i r="8">
      <x v="8"/>
    </i>
    <i r="8">
      <x v="9"/>
    </i>
    <i r="8">
      <x v="10"/>
    </i>
    <i r="8">
      <x v="11"/>
    </i>
    <i r="3">
      <x v="3"/>
    </i>
    <i r="4">
      <x v="3"/>
    </i>
    <i r="5">
      <x v="2"/>
    </i>
    <i r="6">
      <x/>
    </i>
    <i r="7">
      <x v="2"/>
    </i>
    <i r="8">
      <x/>
    </i>
    <i r="8">
      <x v="1"/>
    </i>
    <i r="8">
      <x v="2"/>
    </i>
    <i r="8">
      <x v="3"/>
    </i>
    <i r="8">
      <x v="4"/>
    </i>
    <i r="8">
      <x v="5"/>
    </i>
    <i r="8">
      <x v="6"/>
    </i>
    <i r="8">
      <x v="7"/>
    </i>
    <i r="8">
      <x v="8"/>
    </i>
    <i r="8">
      <x v="9"/>
    </i>
    <i r="8">
      <x v="10"/>
    </i>
    <i r="8">
      <x v="11"/>
    </i>
    <i r="3">
      <x v="4"/>
    </i>
    <i r="4">
      <x v="3"/>
    </i>
    <i r="5">
      <x v="2"/>
    </i>
    <i r="6">
      <x/>
    </i>
    <i r="7">
      <x v="2"/>
    </i>
    <i r="8">
      <x/>
    </i>
    <i r="8">
      <x v="1"/>
    </i>
    <i r="8">
      <x v="2"/>
    </i>
    <i r="8">
      <x v="3"/>
    </i>
    <i r="8">
      <x v="4"/>
    </i>
    <i r="8">
      <x v="5"/>
    </i>
    <i r="8">
      <x v="6"/>
    </i>
    <i r="8">
      <x v="7"/>
    </i>
    <i r="8">
      <x v="8"/>
    </i>
    <i r="8">
      <x v="9"/>
    </i>
    <i r="8">
      <x v="10"/>
    </i>
    <i r="8">
      <x v="11"/>
    </i>
    <i r="3">
      <x v="7"/>
    </i>
    <i r="4">
      <x/>
    </i>
    <i r="5">
      <x v="2"/>
    </i>
    <i r="6">
      <x/>
    </i>
    <i r="7">
      <x v="2"/>
    </i>
    <i r="8">
      <x/>
    </i>
    <i r="8">
      <x v="1"/>
    </i>
    <i r="8">
      <x v="2"/>
    </i>
    <i r="8">
      <x v="3"/>
    </i>
    <i r="8">
      <x v="4"/>
    </i>
    <i r="8">
      <x v="5"/>
    </i>
    <i r="8">
      <x v="6"/>
    </i>
    <i r="8">
      <x v="7"/>
    </i>
    <i r="8">
      <x v="8"/>
    </i>
    <i r="8">
      <x v="9"/>
    </i>
    <i r="8">
      <x v="10"/>
    </i>
    <i r="8">
      <x v="11"/>
    </i>
    <i r="1">
      <x v="4"/>
    </i>
    <i r="2">
      <x v="2"/>
    </i>
    <i r="3">
      <x v="2"/>
    </i>
    <i r="4">
      <x v="2"/>
    </i>
    <i r="5">
      <x v="2"/>
    </i>
    <i r="6">
      <x/>
    </i>
    <i r="7">
      <x v="2"/>
    </i>
    <i r="8">
      <x/>
    </i>
    <i r="8">
      <x v="1"/>
    </i>
    <i r="8">
      <x v="2"/>
    </i>
    <i r="8">
      <x v="3"/>
    </i>
    <i r="8">
      <x v="4"/>
    </i>
    <i r="8">
      <x v="5"/>
    </i>
    <i r="8">
      <x v="6"/>
    </i>
    <i r="8">
      <x v="7"/>
    </i>
    <i r="8">
      <x v="8"/>
    </i>
    <i r="8">
      <x v="9"/>
    </i>
    <i r="8">
      <x v="10"/>
    </i>
    <i r="8">
      <x v="11"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dataFields count="9">
    <dataField name="Soma de RA0 ou RV - TUSD (kW)" fld="27" baseField="0" baseItem="0" numFmtId="40"/>
    <dataField name="Soma de RA1 ou RRD - TUSD (kW)" fld="30" baseField="0" baseItem="0" numFmtId="40"/>
    <dataField name="Soma de RA0 ou RV - TUSD (MWh)" fld="28" baseField="0" baseItem="0" numFmtId="40"/>
    <dataField name="Soma de RA1 ou RRD - TUSD (MWh)" fld="31" baseField="0" baseItem="0" numFmtId="40"/>
    <dataField name="Soma de RA0 ou RV - TE (MWh)" fld="29" baseField="0" baseItem="0" numFmtId="40"/>
    <dataField name="Soma de RA1 ou RRD - TE (MWh)" fld="32" baseField="0" baseItem="0" numFmtId="40"/>
    <dataField name="Soma de Variação TUSD" fld="33" baseField="0" baseItem="0" numFmtId="166"/>
    <dataField name="Soma de Variação TE" fld="34" baseField="0" baseItem="0" numFmtId="166"/>
    <dataField name="Soma de Variação" fld="35" baseField="0" baseItem="0" numFmtId="166"/>
  </dataFields>
  <formats count="248">
    <format dxfId="512">
      <pivotArea outline="0" collapsedLevelsAreSubtotals="1" fieldPosition="0">
        <references count="1">
          <reference field="4294967294" count="6" selected="0">
            <x v="0"/>
            <x v="1"/>
            <x v="2"/>
            <x v="3"/>
            <x v="4"/>
            <x v="5"/>
          </reference>
        </references>
      </pivotArea>
    </format>
    <format dxfId="511">
      <pivotArea dataOnly="0" labelOnly="1" outline="0" fieldPosition="0">
        <references count="1">
          <reference field="4294967294" count="6">
            <x v="0"/>
            <x v="1"/>
            <x v="2"/>
            <x v="3"/>
            <x v="4"/>
            <x v="5"/>
          </reference>
        </references>
      </pivotArea>
    </format>
    <format dxfId="510">
      <pivotArea outline="0" collapsedLevelsAreSubtotals="1" fieldPosition="0">
        <references count="1">
          <reference field="4294967294" count="3" selected="0">
            <x v="6"/>
            <x v="7"/>
            <x v="8"/>
          </reference>
        </references>
      </pivotArea>
    </format>
    <format dxfId="509">
      <pivotArea dataOnly="0" labelOnly="1" outline="0" fieldPosition="0">
        <references count="1">
          <reference field="4294967294" count="3">
            <x v="6"/>
            <x v="7"/>
            <x v="8"/>
          </reference>
        </references>
      </pivotArea>
    </format>
    <format dxfId="508">
      <pivotArea type="all" dataOnly="0" outline="0" fieldPosition="0"/>
    </format>
    <format dxfId="507">
      <pivotArea outline="0" collapsedLevelsAreSubtotals="1" fieldPosition="0"/>
    </format>
    <format dxfId="506">
      <pivotArea field="16" type="button" dataOnly="0" labelOnly="1" outline="0" axis="axisRow" fieldPosition="0"/>
    </format>
    <format dxfId="505">
      <pivotArea dataOnly="0" labelOnly="1" fieldPosition="0">
        <references count="1">
          <reference field="16" count="0"/>
        </references>
      </pivotArea>
    </format>
    <format dxfId="504">
      <pivotArea dataOnly="0" labelOnly="1" fieldPosition="0">
        <references count="2">
          <reference field="1" count="0"/>
          <reference field="16" count="0" selected="0"/>
        </references>
      </pivotArea>
    </format>
    <format dxfId="503">
      <pivotArea dataOnly="0" labelOnly="1" fieldPosition="0">
        <references count="3">
          <reference field="1" count="1" selected="0">
            <x v="0"/>
          </reference>
          <reference field="2" count="2">
            <x v="0"/>
            <x v="3"/>
          </reference>
          <reference field="16" count="0" selected="0"/>
        </references>
      </pivotArea>
    </format>
    <format dxfId="502">
      <pivotArea dataOnly="0" labelOnly="1" fieldPosition="0">
        <references count="3">
          <reference field="1" count="1" selected="0">
            <x v="1"/>
          </reference>
          <reference field="2" count="2">
            <x v="1"/>
            <x v="2"/>
          </reference>
          <reference field="16" count="0" selected="0"/>
        </references>
      </pivotArea>
    </format>
    <format dxfId="501">
      <pivotArea dataOnly="0" labelOnly="1" fieldPosition="0">
        <references count="3">
          <reference field="1" count="1" selected="0">
            <x v="2"/>
          </reference>
          <reference field="2" count="1">
            <x v="2"/>
          </reference>
          <reference field="16" count="0" selected="0"/>
        </references>
      </pivotArea>
    </format>
    <format dxfId="500">
      <pivotArea dataOnly="0" labelOnly="1" fieldPosition="0">
        <references count="3">
          <reference field="1" count="1" selected="0">
            <x v="3"/>
          </reference>
          <reference field="2" count="1">
            <x v="2"/>
          </reference>
          <reference field="16" count="0" selected="0"/>
        </references>
      </pivotArea>
    </format>
    <format dxfId="499">
      <pivotArea dataOnly="0" labelOnly="1" fieldPosition="0">
        <references count="3">
          <reference field="1" count="1" selected="0">
            <x v="4"/>
          </reference>
          <reference field="2" count="1">
            <x v="2"/>
          </reference>
          <reference field="16" count="0" selected="0"/>
        </references>
      </pivotArea>
    </format>
    <format dxfId="498">
      <pivotArea dataOnly="0" labelOnly="1" fieldPosition="0">
        <references count="4">
          <reference field="1" count="1" selected="0">
            <x v="0"/>
          </reference>
          <reference field="2" count="1" selected="0">
            <x v="0"/>
          </reference>
          <reference field="3" count="1">
            <x v="3"/>
          </reference>
          <reference field="16" count="0" selected="0"/>
        </references>
      </pivotArea>
    </format>
    <format dxfId="497">
      <pivotArea dataOnly="0" labelOnly="1" fieldPosition="0">
        <references count="4">
          <reference field="1" count="1" selected="0">
            <x v="0"/>
          </reference>
          <reference field="2" count="1" selected="0">
            <x v="3"/>
          </reference>
          <reference field="3" count="4">
            <x v="0"/>
            <x v="3"/>
            <x v="4"/>
            <x v="5"/>
          </reference>
          <reference field="16" count="0" selected="0"/>
        </references>
      </pivotArea>
    </format>
    <format dxfId="496">
      <pivotArea dataOnly="0" labelOnly="1" fieldPosition="0">
        <references count="4">
          <reference field="1" count="1" selected="0">
            <x v="1"/>
          </reference>
          <reference field="2" count="1" selected="0">
            <x v="1"/>
          </reference>
          <reference field="3" count="1">
            <x v="5"/>
          </reference>
          <reference field="16" count="0" selected="0"/>
        </references>
      </pivotArea>
    </format>
    <format dxfId="495">
      <pivotArea dataOnly="0" labelOnly="1" fieldPosition="0">
        <references count="4">
          <reference field="1" count="1" selected="0">
            <x v="1"/>
          </reference>
          <reference field="2" count="1" selected="0">
            <x v="2"/>
          </reference>
          <reference field="3" count="1">
            <x v="5"/>
          </reference>
          <reference field="16" count="0" selected="0"/>
        </references>
      </pivotArea>
    </format>
    <format dxfId="494">
      <pivotArea dataOnly="0" labelOnly="1" fieldPosition="0">
        <references count="4">
          <reference field="1" count="1" selected="0">
            <x v="2"/>
          </reference>
          <reference field="2" count="1" selected="0">
            <x v="2"/>
          </reference>
          <reference field="3" count="1">
            <x v="6"/>
          </reference>
          <reference field="16" count="0" selected="0"/>
        </references>
      </pivotArea>
    </format>
    <format dxfId="493">
      <pivotArea dataOnly="0" labelOnly="1" fieldPosition="0">
        <references count="4">
          <reference field="1" count="1" selected="0">
            <x v="3"/>
          </reference>
          <reference field="2" count="1" selected="0">
            <x v="2"/>
          </reference>
          <reference field="3" count="5">
            <x v="0"/>
            <x v="1"/>
            <x v="3"/>
            <x v="4"/>
            <x v="7"/>
          </reference>
          <reference field="16" count="0" selected="0"/>
        </references>
      </pivotArea>
    </format>
    <format dxfId="492">
      <pivotArea dataOnly="0" labelOnly="1" fieldPosition="0">
        <references count="4">
          <reference field="1" count="1" selected="0">
            <x v="4"/>
          </reference>
          <reference field="2" count="1" selected="0">
            <x v="2"/>
          </reference>
          <reference field="3" count="1">
            <x v="2"/>
          </reference>
          <reference field="16" count="0" selected="0"/>
        </references>
      </pivotArea>
    </format>
    <format dxfId="491">
      <pivotArea dataOnly="0" labelOnly="1" fieldPosition="0">
        <references count="5">
          <reference field="1" count="1" selected="0">
            <x v="0"/>
          </reference>
          <reference field="2" count="1" selected="0">
            <x v="0"/>
          </reference>
          <reference field="3" count="1" selected="0">
            <x v="3"/>
          </reference>
          <reference field="4" count="1">
            <x v="3"/>
          </reference>
          <reference field="16" count="0" selected="0"/>
        </references>
      </pivotArea>
    </format>
    <format dxfId="490">
      <pivotArea dataOnly="0" labelOnly="1" fieldPosition="0">
        <references count="5">
          <reference field="1" count="1" selected="0">
            <x v="0"/>
          </reference>
          <reference field="2" count="1" selected="0">
            <x v="3"/>
          </reference>
          <reference field="3" count="1" selected="0">
            <x v="0"/>
          </reference>
          <reference field="4" count="1">
            <x v="3"/>
          </reference>
          <reference field="16" count="0" selected="0"/>
        </references>
      </pivotArea>
    </format>
    <format dxfId="489">
      <pivotArea dataOnly="0" labelOnly="1" fieldPosition="0">
        <references count="5">
          <reference field="1" count="1" selected="0">
            <x v="0"/>
          </reference>
          <reference field="2" count="1" selected="0">
            <x v="3"/>
          </reference>
          <reference field="3" count="1" selected="0">
            <x v="3"/>
          </reference>
          <reference field="4" count="1">
            <x v="3"/>
          </reference>
          <reference field="16" count="0" selected="0"/>
        </references>
      </pivotArea>
    </format>
    <format dxfId="488">
      <pivotArea dataOnly="0" labelOnly="1" fieldPosition="0">
        <references count="5">
          <reference field="1" count="1" selected="0">
            <x v="0"/>
          </reference>
          <reference field="2" count="1" selected="0">
            <x v="3"/>
          </reference>
          <reference field="3" count="1" selected="0">
            <x v="4"/>
          </reference>
          <reference field="4" count="1">
            <x v="3"/>
          </reference>
          <reference field="16" count="0" selected="0"/>
        </references>
      </pivotArea>
    </format>
    <format dxfId="487">
      <pivotArea dataOnly="0" labelOnly="1" fieldPosition="0">
        <references count="5">
          <reference field="1" count="1" selected="0">
            <x v="0"/>
          </reference>
          <reference field="2" count="1" selected="0">
            <x v="3"/>
          </reference>
          <reference field="3" count="1" selected="0">
            <x v="5"/>
          </reference>
          <reference field="4" count="1">
            <x v="4"/>
          </reference>
          <reference field="16" count="0" selected="0"/>
        </references>
      </pivotArea>
    </format>
    <format dxfId="486">
      <pivotArea dataOnly="0" labelOnly="1" fieldPosition="0">
        <references count="5">
          <reference field="1" count="1" selected="0">
            <x v="1"/>
          </reference>
          <reference field="2" count="1" selected="0">
            <x v="1"/>
          </reference>
          <reference field="3" count="1" selected="0">
            <x v="5"/>
          </reference>
          <reference field="4" count="1">
            <x v="4"/>
          </reference>
          <reference field="16" count="0" selected="0"/>
        </references>
      </pivotArea>
    </format>
    <format dxfId="485">
      <pivotArea dataOnly="0" labelOnly="1" fieldPosition="0">
        <references count="5">
          <reference field="1" count="1" selected="0">
            <x v="1"/>
          </reference>
          <reference field="2" count="1" selected="0">
            <x v="2"/>
          </reference>
          <reference field="3" count="1" selected="0">
            <x v="5"/>
          </reference>
          <reference field="4" count="5">
            <x v="4"/>
            <x v="5"/>
            <x v="6"/>
            <x v="7"/>
            <x v="8"/>
          </reference>
          <reference field="16" count="0" selected="0"/>
        </references>
      </pivotArea>
    </format>
    <format dxfId="484">
      <pivotArea dataOnly="0" labelOnly="1" fieldPosition="0">
        <references count="5">
          <reference field="1" count="1" selected="0">
            <x v="2"/>
          </reference>
          <reference field="2" count="1" selected="0">
            <x v="2"/>
          </reference>
          <reference field="3" count="1" selected="0">
            <x v="6"/>
          </reference>
          <reference field="4" count="2">
            <x v="1"/>
            <x v="3"/>
          </reference>
          <reference field="16" count="0" selected="0"/>
        </references>
      </pivotArea>
    </format>
    <format dxfId="483">
      <pivotArea dataOnly="0" labelOnly="1" fieldPosition="0">
        <references count="5">
          <reference field="1" count="1" selected="0">
            <x v="3"/>
          </reference>
          <reference field="2" count="1" selected="0">
            <x v="2"/>
          </reference>
          <reference field="3" count="1" selected="0">
            <x v="0"/>
          </reference>
          <reference field="4" count="1">
            <x v="3"/>
          </reference>
          <reference field="16" count="0" selected="0"/>
        </references>
      </pivotArea>
    </format>
    <format dxfId="482">
      <pivotArea dataOnly="0" labelOnly="1" fieldPosition="0">
        <references count="5">
          <reference field="1" count="1" selected="0">
            <x v="3"/>
          </reference>
          <reference field="2" count="1" selected="0">
            <x v="2"/>
          </reference>
          <reference field="3" count="1" selected="0">
            <x v="1"/>
          </reference>
          <reference field="4" count="1">
            <x v="3"/>
          </reference>
          <reference field="16" count="0" selected="0"/>
        </references>
      </pivotArea>
    </format>
    <format dxfId="481">
      <pivotArea dataOnly="0" labelOnly="1" fieldPosition="0">
        <references count="5">
          <reference field="1" count="1" selected="0">
            <x v="3"/>
          </reference>
          <reference field="2" count="1" selected="0">
            <x v="2"/>
          </reference>
          <reference field="3" count="1" selected="0">
            <x v="3"/>
          </reference>
          <reference field="4" count="1">
            <x v="3"/>
          </reference>
          <reference field="16" count="0" selected="0"/>
        </references>
      </pivotArea>
    </format>
    <format dxfId="480">
      <pivotArea dataOnly="0" labelOnly="1" fieldPosition="0">
        <references count="5">
          <reference field="1" count="1" selected="0">
            <x v="3"/>
          </reference>
          <reference field="2" count="1" selected="0">
            <x v="2"/>
          </reference>
          <reference field="3" count="1" selected="0">
            <x v="4"/>
          </reference>
          <reference field="4" count="1">
            <x v="3"/>
          </reference>
          <reference field="16" count="0" selected="0"/>
        </references>
      </pivotArea>
    </format>
    <format dxfId="479">
      <pivotArea dataOnly="0" labelOnly="1" fieldPosition="0">
        <references count="5">
          <reference field="1" count="1" selected="0">
            <x v="3"/>
          </reference>
          <reference field="2" count="1" selected="0">
            <x v="2"/>
          </reference>
          <reference field="3" count="1" selected="0">
            <x v="7"/>
          </reference>
          <reference field="4" count="1">
            <x v="0"/>
          </reference>
          <reference field="16" count="0" selected="0"/>
        </references>
      </pivotArea>
    </format>
    <format dxfId="478">
      <pivotArea dataOnly="0" labelOnly="1" fieldPosition="0">
        <references count="5">
          <reference field="1" count="1" selected="0">
            <x v="4"/>
          </reference>
          <reference field="2" count="1" selected="0">
            <x v="2"/>
          </reference>
          <reference field="3" count="1" selected="0">
            <x v="2"/>
          </reference>
          <reference field="4" count="1">
            <x v="2"/>
          </reference>
          <reference field="16" count="0" selected="0"/>
        </references>
      </pivotArea>
    </format>
    <format dxfId="477">
      <pivotArea dataOnly="0" labelOnly="1" fieldPosition="0">
        <references count="6">
          <reference field="1" count="1" selected="0">
            <x v="0"/>
          </reference>
          <reference field="2" count="1" selected="0">
            <x v="0"/>
          </reference>
          <reference field="3" count="1" selected="0">
            <x v="3"/>
          </reference>
          <reference field="4" count="1" selected="0">
            <x v="3"/>
          </reference>
          <reference field="5" count="1">
            <x v="2"/>
          </reference>
          <reference field="16" count="0" selected="0"/>
        </references>
      </pivotArea>
    </format>
    <format dxfId="476">
      <pivotArea dataOnly="0" labelOnly="1" fieldPosition="0">
        <references count="6">
          <reference field="1" count="1" selected="0">
            <x v="0"/>
          </reference>
          <reference field="2" count="1" selected="0">
            <x v="3"/>
          </reference>
          <reference field="3" count="1" selected="0">
            <x v="0"/>
          </reference>
          <reference field="4" count="1" selected="0">
            <x v="3"/>
          </reference>
          <reference field="5" count="1">
            <x v="2"/>
          </reference>
          <reference field="16" count="0" selected="0"/>
        </references>
      </pivotArea>
    </format>
    <format dxfId="475">
      <pivotArea dataOnly="0" labelOnly="1" fieldPosition="0">
        <references count="6">
          <reference field="1" count="1" selected="0">
            <x v="0"/>
          </reference>
          <reference field="2" count="1" selected="0">
            <x v="3"/>
          </reference>
          <reference field="3" count="1" selected="0">
            <x v="3"/>
          </reference>
          <reference field="4" count="1" selected="0">
            <x v="3"/>
          </reference>
          <reference field="5" count="1">
            <x v="2"/>
          </reference>
          <reference field="16" count="0" selected="0"/>
        </references>
      </pivotArea>
    </format>
    <format dxfId="474">
      <pivotArea dataOnly="0" labelOnly="1" fieldPosition="0">
        <references count="6">
          <reference field="1" count="1" selected="0">
            <x v="0"/>
          </reference>
          <reference field="2" count="1" selected="0">
            <x v="3"/>
          </reference>
          <reference field="3" count="1" selected="0">
            <x v="4"/>
          </reference>
          <reference field="4" count="1" selected="0">
            <x v="3"/>
          </reference>
          <reference field="5" count="1">
            <x v="2"/>
          </reference>
          <reference field="16" count="0" selected="0"/>
        </references>
      </pivotArea>
    </format>
    <format dxfId="473">
      <pivotArea dataOnly="0" labelOnly="1" fieldPosition="0">
        <references count="6">
          <reference field="1" count="1" selected="0">
            <x v="0"/>
          </reference>
          <reference field="2" count="1" selected="0">
            <x v="3"/>
          </reference>
          <reference field="3" count="1" selected="0">
            <x v="5"/>
          </reference>
          <reference field="4" count="1" selected="0">
            <x v="4"/>
          </reference>
          <reference field="5" count="1">
            <x v="2"/>
          </reference>
          <reference field="16" count="0" selected="0"/>
        </references>
      </pivotArea>
    </format>
    <format dxfId="472">
      <pivotArea dataOnly="0" labelOnly="1" fieldPosition="0">
        <references count="6">
          <reference field="1" count="1" selected="0">
            <x v="1"/>
          </reference>
          <reference field="2" count="1" selected="0">
            <x v="1"/>
          </reference>
          <reference field="3" count="1" selected="0">
            <x v="5"/>
          </reference>
          <reference field="4" count="1" selected="0">
            <x v="4"/>
          </reference>
          <reference field="5" count="1">
            <x v="2"/>
          </reference>
          <reference field="16" count="0" selected="0"/>
        </references>
      </pivotArea>
    </format>
    <format dxfId="471">
      <pivotArea dataOnly="0" labelOnly="1" fieldPosition="0">
        <references count="6">
          <reference field="1" count="1" selected="0">
            <x v="1"/>
          </reference>
          <reference field="2" count="1" selected="0">
            <x v="2"/>
          </reference>
          <reference field="3" count="1" selected="0">
            <x v="5"/>
          </reference>
          <reference field="4" count="1" selected="0">
            <x v="4"/>
          </reference>
          <reference field="5" count="1">
            <x v="2"/>
          </reference>
          <reference field="16" count="0" selected="0"/>
        </references>
      </pivotArea>
    </format>
    <format dxfId="470">
      <pivotArea dataOnly="0" labelOnly="1" fieldPosition="0">
        <references count="6">
          <reference field="1" count="1" selected="0">
            <x v="1"/>
          </reference>
          <reference field="2" count="1" selected="0">
            <x v="2"/>
          </reference>
          <reference field="3" count="1" selected="0">
            <x v="5"/>
          </reference>
          <reference field="4" count="1" selected="0">
            <x v="5"/>
          </reference>
          <reference field="5" count="1">
            <x v="2"/>
          </reference>
          <reference field="16" count="0" selected="0"/>
        </references>
      </pivotArea>
    </format>
    <format dxfId="469">
      <pivotArea dataOnly="0" labelOnly="1" fieldPosition="0">
        <references count="6">
          <reference field="1" count="1" selected="0">
            <x v="1"/>
          </reference>
          <reference field="2" count="1" selected="0">
            <x v="2"/>
          </reference>
          <reference field="3" count="1" selected="0">
            <x v="5"/>
          </reference>
          <reference field="4" count="1" selected="0">
            <x v="6"/>
          </reference>
          <reference field="5" count="1">
            <x v="2"/>
          </reference>
          <reference field="16" count="0" selected="0"/>
        </references>
      </pivotArea>
    </format>
    <format dxfId="468">
      <pivotArea dataOnly="0" labelOnly="1" fieldPosition="0">
        <references count="6">
          <reference field="1" count="1" selected="0">
            <x v="1"/>
          </reference>
          <reference field="2" count="1" selected="0">
            <x v="2"/>
          </reference>
          <reference field="3" count="1" selected="0">
            <x v="5"/>
          </reference>
          <reference field="4" count="1" selected="0">
            <x v="7"/>
          </reference>
          <reference field="5" count="1">
            <x v="2"/>
          </reference>
          <reference field="16" count="0" selected="0"/>
        </references>
      </pivotArea>
    </format>
    <format dxfId="467">
      <pivotArea dataOnly="0" labelOnly="1" fieldPosition="0">
        <references count="6">
          <reference field="1" count="1" selected="0">
            <x v="1"/>
          </reference>
          <reference field="2" count="1" selected="0">
            <x v="2"/>
          </reference>
          <reference field="3" count="1" selected="0">
            <x v="5"/>
          </reference>
          <reference field="4" count="1" selected="0">
            <x v="8"/>
          </reference>
          <reference field="5" count="1">
            <x v="2"/>
          </reference>
          <reference field="16" count="0" selected="0"/>
        </references>
      </pivotArea>
    </format>
    <format dxfId="466">
      <pivotArea dataOnly="0" labelOnly="1" fieldPosition="0">
        <references count="6">
          <reference field="1" count="1" selected="0">
            <x v="2"/>
          </reference>
          <reference field="2" count="1" selected="0">
            <x v="2"/>
          </reference>
          <reference field="3" count="1" selected="0">
            <x v="6"/>
          </reference>
          <reference field="4" count="1" selected="0">
            <x v="1"/>
          </reference>
          <reference field="5" count="2">
            <x v="0"/>
            <x v="1"/>
          </reference>
          <reference field="16" count="0" selected="0"/>
        </references>
      </pivotArea>
    </format>
    <format dxfId="465">
      <pivotArea dataOnly="0" labelOnly="1" fieldPosition="0">
        <references count="6">
          <reference field="1" count="1" selected="0">
            <x v="2"/>
          </reference>
          <reference field="2" count="1" selected="0">
            <x v="2"/>
          </reference>
          <reference field="3" count="1" selected="0">
            <x v="6"/>
          </reference>
          <reference field="4" count="1" selected="0">
            <x v="3"/>
          </reference>
          <reference field="5" count="1">
            <x v="2"/>
          </reference>
          <reference field="16" count="0" selected="0"/>
        </references>
      </pivotArea>
    </format>
    <format dxfId="464">
      <pivotArea dataOnly="0" labelOnly="1" fieldPosition="0">
        <references count="6">
          <reference field="1" count="1" selected="0">
            <x v="3"/>
          </reference>
          <reference field="2" count="1" selected="0">
            <x v="2"/>
          </reference>
          <reference field="3" count="1" selected="0">
            <x v="0"/>
          </reference>
          <reference field="4" count="1" selected="0">
            <x v="3"/>
          </reference>
          <reference field="5" count="1">
            <x v="2"/>
          </reference>
          <reference field="16" count="0" selected="0"/>
        </references>
      </pivotArea>
    </format>
    <format dxfId="463">
      <pivotArea dataOnly="0" labelOnly="1" fieldPosition="0">
        <references count="6">
          <reference field="1" count="1" selected="0">
            <x v="3"/>
          </reference>
          <reference field="2" count="1" selected="0">
            <x v="2"/>
          </reference>
          <reference field="3" count="1" selected="0">
            <x v="1"/>
          </reference>
          <reference field="4" count="1" selected="0">
            <x v="3"/>
          </reference>
          <reference field="5" count="1">
            <x v="2"/>
          </reference>
          <reference field="16" count="0" selected="0"/>
        </references>
      </pivotArea>
    </format>
    <format dxfId="462">
      <pivotArea dataOnly="0" labelOnly="1" fieldPosition="0">
        <references count="6">
          <reference field="1" count="1" selected="0">
            <x v="3"/>
          </reference>
          <reference field="2" count="1" selected="0">
            <x v="2"/>
          </reference>
          <reference field="3" count="1" selected="0">
            <x v="3"/>
          </reference>
          <reference field="4" count="1" selected="0">
            <x v="3"/>
          </reference>
          <reference field="5" count="1">
            <x v="2"/>
          </reference>
          <reference field="16" count="0" selected="0"/>
        </references>
      </pivotArea>
    </format>
    <format dxfId="461">
      <pivotArea dataOnly="0" labelOnly="1" fieldPosition="0">
        <references count="6">
          <reference field="1" count="1" selected="0">
            <x v="3"/>
          </reference>
          <reference field="2" count="1" selected="0">
            <x v="2"/>
          </reference>
          <reference field="3" count="1" selected="0">
            <x v="4"/>
          </reference>
          <reference field="4" count="1" selected="0">
            <x v="3"/>
          </reference>
          <reference field="5" count="1">
            <x v="2"/>
          </reference>
          <reference field="16" count="0" selected="0"/>
        </references>
      </pivotArea>
    </format>
    <format dxfId="460">
      <pivotArea dataOnly="0" labelOnly="1" fieldPosition="0">
        <references count="6">
          <reference field="1" count="1" selected="0">
            <x v="3"/>
          </reference>
          <reference field="2" count="1" selected="0">
            <x v="2"/>
          </reference>
          <reference field="3" count="1" selected="0">
            <x v="7"/>
          </reference>
          <reference field="4" count="1" selected="0">
            <x v="0"/>
          </reference>
          <reference field="5" count="1">
            <x v="2"/>
          </reference>
          <reference field="16" count="0" selected="0"/>
        </references>
      </pivotArea>
    </format>
    <format dxfId="459">
      <pivotArea dataOnly="0" labelOnly="1" fieldPosition="0">
        <references count="6">
          <reference field="1" count="1" selected="0">
            <x v="4"/>
          </reference>
          <reference field="2" count="1" selected="0">
            <x v="2"/>
          </reference>
          <reference field="3" count="1" selected="0">
            <x v="2"/>
          </reference>
          <reference field="4" count="1" selected="0">
            <x v="2"/>
          </reference>
          <reference field="5" count="1">
            <x v="2"/>
          </reference>
          <reference field="16" count="0" selected="0"/>
        </references>
      </pivotArea>
    </format>
    <format dxfId="458">
      <pivotArea dataOnly="0" labelOnly="1" fieldPosition="0">
        <references count="7">
          <reference field="1" count="1" selected="0">
            <x v="0"/>
          </reference>
          <reference field="2" count="1" selected="0">
            <x v="0"/>
          </reference>
          <reference field="3" count="1" selected="0">
            <x v="3"/>
          </reference>
          <reference field="4" count="1" selected="0">
            <x v="3"/>
          </reference>
          <reference field="5" count="1" selected="0">
            <x v="2"/>
          </reference>
          <reference field="6" count="0"/>
          <reference field="16" count="0" selected="0"/>
        </references>
      </pivotArea>
    </format>
    <format dxfId="457">
      <pivotArea dataOnly="0" labelOnly="1" fieldPosition="0">
        <references count="7">
          <reference field="1" count="1" selected="0">
            <x v="0"/>
          </reference>
          <reference field="2" count="1" selected="0">
            <x v="3"/>
          </reference>
          <reference field="3" count="1" selected="0">
            <x v="0"/>
          </reference>
          <reference field="4" count="1" selected="0">
            <x v="3"/>
          </reference>
          <reference field="5" count="1" selected="0">
            <x v="2"/>
          </reference>
          <reference field="6" count="0"/>
          <reference field="16" count="0" selected="0"/>
        </references>
      </pivotArea>
    </format>
    <format dxfId="456">
      <pivotArea dataOnly="0" labelOnly="1" fieldPosition="0">
        <references count="7">
          <reference field="1" count="1" selected="0">
            <x v="0"/>
          </reference>
          <reference field="2" count="1" selected="0">
            <x v="3"/>
          </reference>
          <reference field="3" count="1" selected="0">
            <x v="3"/>
          </reference>
          <reference field="4" count="1" selected="0">
            <x v="3"/>
          </reference>
          <reference field="5" count="1" selected="0">
            <x v="2"/>
          </reference>
          <reference field="6" count="0"/>
          <reference field="16" count="0" selected="0"/>
        </references>
      </pivotArea>
    </format>
    <format dxfId="455">
      <pivotArea dataOnly="0" labelOnly="1" fieldPosition="0">
        <references count="7">
          <reference field="1" count="1" selected="0">
            <x v="0"/>
          </reference>
          <reference field="2" count="1" selected="0">
            <x v="3"/>
          </reference>
          <reference field="3" count="1" selected="0">
            <x v="4"/>
          </reference>
          <reference field="4" count="1" selected="0">
            <x v="3"/>
          </reference>
          <reference field="5" count="1" selected="0">
            <x v="2"/>
          </reference>
          <reference field="6" count="0"/>
          <reference field="16" count="0" selected="0"/>
        </references>
      </pivotArea>
    </format>
    <format dxfId="454">
      <pivotArea dataOnly="0" labelOnly="1" fieldPosition="0">
        <references count="7">
          <reference field="1" count="1" selected="0">
            <x v="0"/>
          </reference>
          <reference field="2" count="1" selected="0">
            <x v="3"/>
          </reference>
          <reference field="3" count="1" selected="0">
            <x v="5"/>
          </reference>
          <reference field="4" count="1" selected="0">
            <x v="4"/>
          </reference>
          <reference field="5" count="1" selected="0">
            <x v="2"/>
          </reference>
          <reference field="6" count="0"/>
          <reference field="16" count="0" selected="0"/>
        </references>
      </pivotArea>
    </format>
    <format dxfId="453">
      <pivotArea dataOnly="0" labelOnly="1" fieldPosition="0">
        <references count="7">
          <reference field="1" count="1" selected="0">
            <x v="1"/>
          </reference>
          <reference field="2" count="1" selected="0">
            <x v="1"/>
          </reference>
          <reference field="3" count="1" selected="0">
            <x v="5"/>
          </reference>
          <reference field="4" count="1" selected="0">
            <x v="4"/>
          </reference>
          <reference field="5" count="1" selected="0">
            <x v="2"/>
          </reference>
          <reference field="6" count="0"/>
          <reference field="16" count="0" selected="0"/>
        </references>
      </pivotArea>
    </format>
    <format dxfId="452">
      <pivotArea dataOnly="0" labelOnly="1" fieldPosition="0">
        <references count="7">
          <reference field="1" count="1" selected="0">
            <x v="1"/>
          </reference>
          <reference field="2" count="1" selected="0">
            <x v="2"/>
          </reference>
          <reference field="3" count="1" selected="0">
            <x v="5"/>
          </reference>
          <reference field="4" count="1" selected="0">
            <x v="4"/>
          </reference>
          <reference field="5" count="1" selected="0">
            <x v="2"/>
          </reference>
          <reference field="6" count="0"/>
          <reference field="16" count="0" selected="0"/>
        </references>
      </pivotArea>
    </format>
    <format dxfId="451">
      <pivotArea dataOnly="0" labelOnly="1" fieldPosition="0">
        <references count="7">
          <reference field="1" count="1" selected="0">
            <x v="1"/>
          </reference>
          <reference field="2" count="1" selected="0">
            <x v="2"/>
          </reference>
          <reference field="3" count="1" selected="0">
            <x v="5"/>
          </reference>
          <reference field="4" count="1" selected="0">
            <x v="5"/>
          </reference>
          <reference field="5" count="1" selected="0">
            <x v="2"/>
          </reference>
          <reference field="6" count="0"/>
          <reference field="16" count="0" selected="0"/>
        </references>
      </pivotArea>
    </format>
    <format dxfId="450">
      <pivotArea dataOnly="0" labelOnly="1" fieldPosition="0">
        <references count="7">
          <reference field="1" count="1" selected="0">
            <x v="1"/>
          </reference>
          <reference field="2" count="1" selected="0">
            <x v="2"/>
          </reference>
          <reference field="3" count="1" selected="0">
            <x v="5"/>
          </reference>
          <reference field="4" count="1" selected="0">
            <x v="6"/>
          </reference>
          <reference field="5" count="1" selected="0">
            <x v="2"/>
          </reference>
          <reference field="6" count="0"/>
          <reference field="16" count="0" selected="0"/>
        </references>
      </pivotArea>
    </format>
    <format dxfId="449">
      <pivotArea dataOnly="0" labelOnly="1" fieldPosition="0">
        <references count="7">
          <reference field="1" count="1" selected="0">
            <x v="1"/>
          </reference>
          <reference field="2" count="1" selected="0">
            <x v="2"/>
          </reference>
          <reference field="3" count="1" selected="0">
            <x v="5"/>
          </reference>
          <reference field="4" count="1" selected="0">
            <x v="7"/>
          </reference>
          <reference field="5" count="1" selected="0">
            <x v="2"/>
          </reference>
          <reference field="6" count="0"/>
          <reference field="16" count="0" selected="0"/>
        </references>
      </pivotArea>
    </format>
    <format dxfId="448">
      <pivotArea dataOnly="0" labelOnly="1" fieldPosition="0">
        <references count="7">
          <reference field="1" count="1" selected="0">
            <x v="1"/>
          </reference>
          <reference field="2" count="1" selected="0">
            <x v="2"/>
          </reference>
          <reference field="3" count="1" selected="0">
            <x v="5"/>
          </reference>
          <reference field="4" count="1" selected="0">
            <x v="8"/>
          </reference>
          <reference field="5" count="1" selected="0">
            <x v="2"/>
          </reference>
          <reference field="6" count="0"/>
          <reference field="16" count="0" selected="0"/>
        </references>
      </pivotArea>
    </format>
    <format dxfId="447">
      <pivotArea dataOnly="0" labelOnly="1" fieldPosition="0">
        <references count="7">
          <reference field="1" count="1" selected="0">
            <x v="2"/>
          </reference>
          <reference field="2" count="1" selected="0">
            <x v="2"/>
          </reference>
          <reference field="3" count="1" selected="0">
            <x v="6"/>
          </reference>
          <reference field="4" count="1" selected="0">
            <x v="1"/>
          </reference>
          <reference field="5" count="1" selected="0">
            <x v="0"/>
          </reference>
          <reference field="6" count="0"/>
          <reference field="16" count="0" selected="0"/>
        </references>
      </pivotArea>
    </format>
    <format dxfId="446">
      <pivotArea dataOnly="0" labelOnly="1" fieldPosition="0">
        <references count="7">
          <reference field="1" count="1" selected="0">
            <x v="2"/>
          </reference>
          <reference field="2" count="1" selected="0">
            <x v="2"/>
          </reference>
          <reference field="3" count="1" selected="0">
            <x v="6"/>
          </reference>
          <reference field="4" count="1" selected="0">
            <x v="1"/>
          </reference>
          <reference field="5" count="1" selected="0">
            <x v="1"/>
          </reference>
          <reference field="6" count="0"/>
          <reference field="16" count="0" selected="0"/>
        </references>
      </pivotArea>
    </format>
    <format dxfId="445">
      <pivotArea dataOnly="0" labelOnly="1" fieldPosition="0">
        <references count="7">
          <reference field="1" count="1" selected="0">
            <x v="2"/>
          </reference>
          <reference field="2" count="1" selected="0">
            <x v="2"/>
          </reference>
          <reference field="3" count="1" selected="0">
            <x v="6"/>
          </reference>
          <reference field="4" count="1" selected="0">
            <x v="3"/>
          </reference>
          <reference field="5" count="1" selected="0">
            <x v="2"/>
          </reference>
          <reference field="6" count="0"/>
          <reference field="16" count="0" selected="0"/>
        </references>
      </pivotArea>
    </format>
    <format dxfId="444">
      <pivotArea dataOnly="0" labelOnly="1" fieldPosition="0">
        <references count="7">
          <reference field="1" count="1" selected="0">
            <x v="3"/>
          </reference>
          <reference field="2" count="1" selected="0">
            <x v="2"/>
          </reference>
          <reference field="3" count="1" selected="0">
            <x v="0"/>
          </reference>
          <reference field="4" count="1" selected="0">
            <x v="3"/>
          </reference>
          <reference field="5" count="1" selected="0">
            <x v="2"/>
          </reference>
          <reference field="6" count="0"/>
          <reference field="16" count="0" selected="0"/>
        </references>
      </pivotArea>
    </format>
    <format dxfId="443">
      <pivotArea dataOnly="0" labelOnly="1" fieldPosition="0">
        <references count="7">
          <reference field="1" count="1" selected="0">
            <x v="3"/>
          </reference>
          <reference field="2" count="1" selected="0">
            <x v="2"/>
          </reference>
          <reference field="3" count="1" selected="0">
            <x v="1"/>
          </reference>
          <reference field="4" count="1" selected="0">
            <x v="3"/>
          </reference>
          <reference field="5" count="1" selected="0">
            <x v="2"/>
          </reference>
          <reference field="6" count="0"/>
          <reference field="16" count="0" selected="0"/>
        </references>
      </pivotArea>
    </format>
    <format dxfId="442">
      <pivotArea dataOnly="0" labelOnly="1" fieldPosition="0">
        <references count="7">
          <reference field="1" count="1" selected="0">
            <x v="3"/>
          </reference>
          <reference field="2" count="1" selected="0">
            <x v="2"/>
          </reference>
          <reference field="3" count="1" selected="0">
            <x v="3"/>
          </reference>
          <reference field="4" count="1" selected="0">
            <x v="3"/>
          </reference>
          <reference field="5" count="1" selected="0">
            <x v="2"/>
          </reference>
          <reference field="6" count="0"/>
          <reference field="16" count="0" selected="0"/>
        </references>
      </pivotArea>
    </format>
    <format dxfId="441">
      <pivotArea dataOnly="0" labelOnly="1" fieldPosition="0">
        <references count="7">
          <reference field="1" count="1" selected="0">
            <x v="3"/>
          </reference>
          <reference field="2" count="1" selected="0">
            <x v="2"/>
          </reference>
          <reference field="3" count="1" selected="0">
            <x v="4"/>
          </reference>
          <reference field="4" count="1" selected="0">
            <x v="3"/>
          </reference>
          <reference field="5" count="1" selected="0">
            <x v="2"/>
          </reference>
          <reference field="6" count="0"/>
          <reference field="16" count="0" selected="0"/>
        </references>
      </pivotArea>
    </format>
    <format dxfId="440">
      <pivotArea dataOnly="0" labelOnly="1" fieldPosition="0">
        <references count="7">
          <reference field="1" count="1" selected="0">
            <x v="3"/>
          </reference>
          <reference field="2" count="1" selected="0">
            <x v="2"/>
          </reference>
          <reference field="3" count="1" selected="0">
            <x v="7"/>
          </reference>
          <reference field="4" count="1" selected="0">
            <x v="0"/>
          </reference>
          <reference field="5" count="1" selected="0">
            <x v="2"/>
          </reference>
          <reference field="6" count="0"/>
          <reference field="16" count="0" selected="0"/>
        </references>
      </pivotArea>
    </format>
    <format dxfId="439">
      <pivotArea dataOnly="0" labelOnly="1" fieldPosition="0">
        <references count="7">
          <reference field="1" count="1" selected="0">
            <x v="4"/>
          </reference>
          <reference field="2" count="1" selected="0">
            <x v="2"/>
          </reference>
          <reference field="3" count="1" selected="0">
            <x v="2"/>
          </reference>
          <reference field="4" count="1" selected="0">
            <x v="2"/>
          </reference>
          <reference field="5" count="1" selected="0">
            <x v="2"/>
          </reference>
          <reference field="6" count="0"/>
          <reference field="16" count="0" selected="0"/>
        </references>
      </pivotArea>
    </format>
    <format dxfId="438">
      <pivotArea dataOnly="0" labelOnly="1" fieldPosition="0">
        <references count="8">
          <reference field="1" count="1" selected="0">
            <x v="0"/>
          </reference>
          <reference field="2" count="1" selected="0">
            <x v="0"/>
          </reference>
          <reference field="3" count="1" selected="0">
            <x v="3"/>
          </reference>
          <reference field="4" count="1" selected="0">
            <x v="3"/>
          </reference>
          <reference field="5" count="1" selected="0">
            <x v="2"/>
          </reference>
          <reference field="6" count="0" selected="0"/>
          <reference field="7" count="2">
            <x v="0"/>
            <x v="3"/>
          </reference>
          <reference field="16" count="0" selected="0"/>
        </references>
      </pivotArea>
    </format>
    <format dxfId="437">
      <pivotArea dataOnly="0" labelOnly="1" fieldPosition="0">
        <references count="8">
          <reference field="1" count="1" selected="0">
            <x v="0"/>
          </reference>
          <reference field="2" count="1" selected="0">
            <x v="3"/>
          </reference>
          <reference field="3" count="1" selected="0">
            <x v="0"/>
          </reference>
          <reference field="4" count="1" selected="0">
            <x v="3"/>
          </reference>
          <reference field="5" count="1" selected="0">
            <x v="2"/>
          </reference>
          <reference field="6" count="0" selected="0"/>
          <reference field="7" count="3">
            <x v="0"/>
            <x v="2"/>
            <x v="3"/>
          </reference>
          <reference field="16" count="0" selected="0"/>
        </references>
      </pivotArea>
    </format>
    <format dxfId="436">
      <pivotArea dataOnly="0" labelOnly="1" fieldPosition="0">
        <references count="8">
          <reference field="1" count="1" selected="0">
            <x v="0"/>
          </reference>
          <reference field="2" count="1" selected="0">
            <x v="3"/>
          </reference>
          <reference field="3" count="1" selected="0">
            <x v="3"/>
          </reference>
          <reference field="4" count="1" selected="0">
            <x v="3"/>
          </reference>
          <reference field="5" count="1" selected="0">
            <x v="2"/>
          </reference>
          <reference field="6" count="0" selected="0"/>
          <reference field="7" count="3">
            <x v="0"/>
            <x v="2"/>
            <x v="3"/>
          </reference>
          <reference field="16" count="0" selected="0"/>
        </references>
      </pivotArea>
    </format>
    <format dxfId="435">
      <pivotArea dataOnly="0" labelOnly="1" fieldPosition="0">
        <references count="8">
          <reference field="1" count="1" selected="0">
            <x v="0"/>
          </reference>
          <reference field="2" count="1" selected="0">
            <x v="3"/>
          </reference>
          <reference field="3" count="1" selected="0">
            <x v="4"/>
          </reference>
          <reference field="4" count="1" selected="0">
            <x v="3"/>
          </reference>
          <reference field="5" count="1" selected="0">
            <x v="2"/>
          </reference>
          <reference field="6" count="0" selected="0"/>
          <reference field="7" count="3">
            <x v="0"/>
            <x v="2"/>
            <x v="3"/>
          </reference>
          <reference field="16" count="0" selected="0"/>
        </references>
      </pivotArea>
    </format>
    <format dxfId="434">
      <pivotArea dataOnly="0" labelOnly="1" fieldPosition="0">
        <references count="8">
          <reference field="1" count="1" selected="0">
            <x v="0"/>
          </reference>
          <reference field="2" count="1" selected="0">
            <x v="3"/>
          </reference>
          <reference field="3" count="1" selected="0">
            <x v="5"/>
          </reference>
          <reference field="4" count="1" selected="0">
            <x v="4"/>
          </reference>
          <reference field="5" count="1" selected="0">
            <x v="2"/>
          </reference>
          <reference field="6" count="0" selected="0"/>
          <reference field="7" count="3">
            <x v="0"/>
            <x v="2"/>
            <x v="3"/>
          </reference>
          <reference field="16" count="0" selected="0"/>
        </references>
      </pivotArea>
    </format>
    <format dxfId="433">
      <pivotArea dataOnly="0" labelOnly="1" fieldPosition="0">
        <references count="8">
          <reference field="1" count="1" selected="0">
            <x v="1"/>
          </reference>
          <reference field="2" count="1" selected="0">
            <x v="1"/>
          </reference>
          <reference field="3" count="1" selected="0">
            <x v="5"/>
          </reference>
          <reference field="4" count="1" selected="0">
            <x v="4"/>
          </reference>
          <reference field="5" count="1" selected="0">
            <x v="2"/>
          </reference>
          <reference field="6" count="0" selected="0"/>
          <reference field="7" count="3">
            <x v="0"/>
            <x v="1"/>
            <x v="3"/>
          </reference>
          <reference field="16" count="0" selected="0"/>
        </references>
      </pivotArea>
    </format>
    <format dxfId="432">
      <pivotArea dataOnly="0" labelOnly="1" fieldPosition="0">
        <references count="8">
          <reference field="1" count="1" selected="0">
            <x v="1"/>
          </reference>
          <reference field="2" count="1" selected="0">
            <x v="2"/>
          </reference>
          <reference field="3" count="1" selected="0">
            <x v="5"/>
          </reference>
          <reference field="4" count="1" selected="0">
            <x v="4"/>
          </reference>
          <reference field="5" count="1" selected="0">
            <x v="2"/>
          </reference>
          <reference field="6" count="0" selected="0"/>
          <reference field="7" count="1">
            <x v="2"/>
          </reference>
          <reference field="16" count="0" selected="0"/>
        </references>
      </pivotArea>
    </format>
    <format dxfId="431">
      <pivotArea dataOnly="0" labelOnly="1" fieldPosition="0">
        <references count="8">
          <reference field="1" count="1" selected="0">
            <x v="1"/>
          </reference>
          <reference field="2" count="1" selected="0">
            <x v="2"/>
          </reference>
          <reference field="3" count="1" selected="0">
            <x v="5"/>
          </reference>
          <reference field="4" count="1" selected="0">
            <x v="5"/>
          </reference>
          <reference field="5" count="1" selected="0">
            <x v="2"/>
          </reference>
          <reference field="6" count="0" selected="0"/>
          <reference field="7" count="1">
            <x v="2"/>
          </reference>
          <reference field="16" count="0" selected="0"/>
        </references>
      </pivotArea>
    </format>
    <format dxfId="430">
      <pivotArea dataOnly="0" labelOnly="1" fieldPosition="0">
        <references count="8">
          <reference field="1" count="1" selected="0">
            <x v="1"/>
          </reference>
          <reference field="2" count="1" selected="0">
            <x v="2"/>
          </reference>
          <reference field="3" count="1" selected="0">
            <x v="5"/>
          </reference>
          <reference field="4" count="1" selected="0">
            <x v="6"/>
          </reference>
          <reference field="5" count="1" selected="0">
            <x v="2"/>
          </reference>
          <reference field="6" count="0" selected="0"/>
          <reference field="7" count="1">
            <x v="2"/>
          </reference>
          <reference field="16" count="0" selected="0"/>
        </references>
      </pivotArea>
    </format>
    <format dxfId="429">
      <pivotArea dataOnly="0" labelOnly="1" fieldPosition="0">
        <references count="8">
          <reference field="1" count="1" selected="0">
            <x v="1"/>
          </reference>
          <reference field="2" count="1" selected="0">
            <x v="2"/>
          </reference>
          <reference field="3" count="1" selected="0">
            <x v="5"/>
          </reference>
          <reference field="4" count="1" selected="0">
            <x v="7"/>
          </reference>
          <reference field="5" count="1" selected="0">
            <x v="2"/>
          </reference>
          <reference field="6" count="0" selected="0"/>
          <reference field="7" count="1">
            <x v="2"/>
          </reference>
          <reference field="16" count="0" selected="0"/>
        </references>
      </pivotArea>
    </format>
    <format dxfId="428">
      <pivotArea dataOnly="0" labelOnly="1" fieldPosition="0">
        <references count="8">
          <reference field="1" count="1" selected="0">
            <x v="1"/>
          </reference>
          <reference field="2" count="1" selected="0">
            <x v="2"/>
          </reference>
          <reference field="3" count="1" selected="0">
            <x v="5"/>
          </reference>
          <reference field="4" count="1" selected="0">
            <x v="8"/>
          </reference>
          <reference field="5" count="1" selected="0">
            <x v="2"/>
          </reference>
          <reference field="6" count="0" selected="0"/>
          <reference field="7" count="1">
            <x v="2"/>
          </reference>
          <reference field="16" count="0" selected="0"/>
        </references>
      </pivotArea>
    </format>
    <format dxfId="427">
      <pivotArea dataOnly="0" labelOnly="1" fieldPosition="0">
        <references count="8">
          <reference field="1" count="1" selected="0">
            <x v="2"/>
          </reference>
          <reference field="2" count="1" selected="0">
            <x v="2"/>
          </reference>
          <reference field="3" count="1" selected="0">
            <x v="6"/>
          </reference>
          <reference field="4" count="1" selected="0">
            <x v="1"/>
          </reference>
          <reference field="5" count="1" selected="0">
            <x v="0"/>
          </reference>
          <reference field="6" count="0" selected="0"/>
          <reference field="7" count="1">
            <x v="2"/>
          </reference>
          <reference field="16" count="0" selected="0"/>
        </references>
      </pivotArea>
    </format>
    <format dxfId="426">
      <pivotArea dataOnly="0" labelOnly="1" fieldPosition="0">
        <references count="8">
          <reference field="1" count="1" selected="0">
            <x v="2"/>
          </reference>
          <reference field="2" count="1" selected="0">
            <x v="2"/>
          </reference>
          <reference field="3" count="1" selected="0">
            <x v="6"/>
          </reference>
          <reference field="4" count="1" selected="0">
            <x v="1"/>
          </reference>
          <reference field="5" count="1" selected="0">
            <x v="1"/>
          </reference>
          <reference field="6" count="0" selected="0"/>
          <reference field="7" count="1">
            <x v="2"/>
          </reference>
          <reference field="16" count="0" selected="0"/>
        </references>
      </pivotArea>
    </format>
    <format dxfId="425">
      <pivotArea dataOnly="0" labelOnly="1" fieldPosition="0">
        <references count="8">
          <reference field="1" count="1" selected="0">
            <x v="2"/>
          </reference>
          <reference field="2" count="1" selected="0">
            <x v="2"/>
          </reference>
          <reference field="3" count="1" selected="0">
            <x v="6"/>
          </reference>
          <reference field="4" count="1" selected="0">
            <x v="3"/>
          </reference>
          <reference field="5" count="1" selected="0">
            <x v="2"/>
          </reference>
          <reference field="6" count="0" selected="0"/>
          <reference field="7" count="1">
            <x v="2"/>
          </reference>
          <reference field="16" count="0" selected="0"/>
        </references>
      </pivotArea>
    </format>
    <format dxfId="424">
      <pivotArea dataOnly="0" labelOnly="1" fieldPosition="0">
        <references count="8">
          <reference field="1" count="1" selected="0">
            <x v="3"/>
          </reference>
          <reference field="2" count="1" selected="0">
            <x v="2"/>
          </reference>
          <reference field="3" count="1" selected="0">
            <x v="0"/>
          </reference>
          <reference field="4" count="1" selected="0">
            <x v="3"/>
          </reference>
          <reference field="5" count="1" selected="0">
            <x v="2"/>
          </reference>
          <reference field="6" count="0" selected="0"/>
          <reference field="7" count="1">
            <x v="2"/>
          </reference>
          <reference field="16" count="0" selected="0"/>
        </references>
      </pivotArea>
    </format>
    <format dxfId="423">
      <pivotArea dataOnly="0" labelOnly="1" fieldPosition="0">
        <references count="8">
          <reference field="1" count="1" selected="0">
            <x v="3"/>
          </reference>
          <reference field="2" count="1" selected="0">
            <x v="2"/>
          </reference>
          <reference field="3" count="1" selected="0">
            <x v="1"/>
          </reference>
          <reference field="4" count="1" selected="0">
            <x v="3"/>
          </reference>
          <reference field="5" count="1" selected="0">
            <x v="2"/>
          </reference>
          <reference field="6" count="0" selected="0"/>
          <reference field="7" count="1">
            <x v="2"/>
          </reference>
          <reference field="16" count="0" selected="0"/>
        </references>
      </pivotArea>
    </format>
    <format dxfId="422">
      <pivotArea dataOnly="0" labelOnly="1" fieldPosition="0">
        <references count="8">
          <reference field="1" count="1" selected="0">
            <x v="3"/>
          </reference>
          <reference field="2" count="1" selected="0">
            <x v="2"/>
          </reference>
          <reference field="3" count="1" selected="0">
            <x v="3"/>
          </reference>
          <reference field="4" count="1" selected="0">
            <x v="3"/>
          </reference>
          <reference field="5" count="1" selected="0">
            <x v="2"/>
          </reference>
          <reference field="6" count="0" selected="0"/>
          <reference field="7" count="1">
            <x v="2"/>
          </reference>
          <reference field="16" count="0" selected="0"/>
        </references>
      </pivotArea>
    </format>
    <format dxfId="421">
      <pivotArea dataOnly="0" labelOnly="1" fieldPosition="0">
        <references count="8">
          <reference field="1" count="1" selected="0">
            <x v="3"/>
          </reference>
          <reference field="2" count="1" selected="0">
            <x v="2"/>
          </reference>
          <reference field="3" count="1" selected="0">
            <x v="4"/>
          </reference>
          <reference field="4" count="1" selected="0">
            <x v="3"/>
          </reference>
          <reference field="5" count="1" selected="0">
            <x v="2"/>
          </reference>
          <reference field="6" count="0" selected="0"/>
          <reference field="7" count="1">
            <x v="2"/>
          </reference>
          <reference field="16" count="0" selected="0"/>
        </references>
      </pivotArea>
    </format>
    <format dxfId="420">
      <pivotArea dataOnly="0" labelOnly="1" fieldPosition="0">
        <references count="8">
          <reference field="1" count="1" selected="0">
            <x v="3"/>
          </reference>
          <reference field="2" count="1" selected="0">
            <x v="2"/>
          </reference>
          <reference field="3" count="1" selected="0">
            <x v="7"/>
          </reference>
          <reference field="4" count="1" selected="0">
            <x v="0"/>
          </reference>
          <reference field="5" count="1" selected="0">
            <x v="2"/>
          </reference>
          <reference field="6" count="0" selected="0"/>
          <reference field="7" count="1">
            <x v="2"/>
          </reference>
          <reference field="16" count="0" selected="0"/>
        </references>
      </pivotArea>
    </format>
    <format dxfId="419">
      <pivotArea dataOnly="0" labelOnly="1" fieldPosition="0">
        <references count="8">
          <reference field="1" count="1" selected="0">
            <x v="4"/>
          </reference>
          <reference field="2" count="1" selected="0">
            <x v="2"/>
          </reference>
          <reference field="3" count="1" selected="0">
            <x v="2"/>
          </reference>
          <reference field="4" count="1" selected="0">
            <x v="2"/>
          </reference>
          <reference field="5" count="1" selected="0">
            <x v="2"/>
          </reference>
          <reference field="6" count="0" selected="0"/>
          <reference field="7" count="1">
            <x v="2"/>
          </reference>
          <reference field="16" count="0" selected="0"/>
        </references>
      </pivotArea>
    </format>
    <format dxfId="418">
      <pivotArea dataOnly="0" labelOnly="1" fieldPosition="0">
        <references count="9">
          <reference field="1" count="1" selected="0">
            <x v="0"/>
          </reference>
          <reference field="2" count="1" selected="0">
            <x v="0"/>
          </reference>
          <reference field="3" count="1" selected="0">
            <x v="3"/>
          </reference>
          <reference field="4" count="1" selected="0">
            <x v="3"/>
          </reference>
          <reference field="5" count="1" selected="0">
            <x v="2"/>
          </reference>
          <reference field="6" count="0" selected="0"/>
          <reference field="7" count="1" selected="0">
            <x v="0"/>
          </reference>
          <reference field="8" count="0"/>
          <reference field="16" count="0" selected="0"/>
        </references>
      </pivotArea>
    </format>
    <format dxfId="417">
      <pivotArea dataOnly="0" labelOnly="1" fieldPosition="0">
        <references count="9">
          <reference field="1" count="1" selected="0">
            <x v="0"/>
          </reference>
          <reference field="2" count="1" selected="0">
            <x v="0"/>
          </reference>
          <reference field="3" count="1" selected="0">
            <x v="3"/>
          </reference>
          <reference field="4" count="1" selected="0">
            <x v="3"/>
          </reference>
          <reference field="5" count="1" selected="0">
            <x v="2"/>
          </reference>
          <reference field="6" count="0" selected="0"/>
          <reference field="7" count="1" selected="0">
            <x v="3"/>
          </reference>
          <reference field="8" count="0"/>
          <reference field="16" count="0" selected="0"/>
        </references>
      </pivotArea>
    </format>
    <format dxfId="416">
      <pivotArea dataOnly="0" labelOnly="1" fieldPosition="0">
        <references count="9">
          <reference field="1" count="1" selected="0">
            <x v="0"/>
          </reference>
          <reference field="2" count="1" selected="0">
            <x v="3"/>
          </reference>
          <reference field="3" count="1" selected="0">
            <x v="0"/>
          </reference>
          <reference field="4" count="1" selected="0">
            <x v="3"/>
          </reference>
          <reference field="5" count="1" selected="0">
            <x v="2"/>
          </reference>
          <reference field="6" count="0" selected="0"/>
          <reference field="7" count="1" selected="0">
            <x v="0"/>
          </reference>
          <reference field="8" count="0"/>
          <reference field="16" count="0" selected="0"/>
        </references>
      </pivotArea>
    </format>
    <format dxfId="415">
      <pivotArea dataOnly="0" labelOnly="1" fieldPosition="0">
        <references count="9">
          <reference field="1" count="1" selected="0">
            <x v="0"/>
          </reference>
          <reference field="2" count="1" selected="0">
            <x v="3"/>
          </reference>
          <reference field="3" count="1" selected="0">
            <x v="0"/>
          </reference>
          <reference field="4" count="1" selected="0">
            <x v="3"/>
          </reference>
          <reference field="5" count="1" selected="0">
            <x v="2"/>
          </reference>
          <reference field="6" count="0" selected="0"/>
          <reference field="7" count="1" selected="0">
            <x v="2"/>
          </reference>
          <reference field="8" count="0"/>
          <reference field="16" count="0" selected="0"/>
        </references>
      </pivotArea>
    </format>
    <format dxfId="414">
      <pivotArea dataOnly="0" labelOnly="1" fieldPosition="0">
        <references count="9">
          <reference field="1" count="1" selected="0">
            <x v="0"/>
          </reference>
          <reference field="2" count="1" selected="0">
            <x v="3"/>
          </reference>
          <reference field="3" count="1" selected="0">
            <x v="0"/>
          </reference>
          <reference field="4" count="1" selected="0">
            <x v="3"/>
          </reference>
          <reference field="5" count="1" selected="0">
            <x v="2"/>
          </reference>
          <reference field="6" count="0" selected="0"/>
          <reference field="7" count="1" selected="0">
            <x v="3"/>
          </reference>
          <reference field="8" count="0"/>
          <reference field="16" count="0" selected="0"/>
        </references>
      </pivotArea>
    </format>
    <format dxfId="413">
      <pivotArea dataOnly="0" labelOnly="1" fieldPosition="0">
        <references count="9">
          <reference field="1" count="1" selected="0">
            <x v="0"/>
          </reference>
          <reference field="2" count="1" selected="0">
            <x v="3"/>
          </reference>
          <reference field="3" count="1" selected="0">
            <x v="3"/>
          </reference>
          <reference field="4" count="1" selected="0">
            <x v="3"/>
          </reference>
          <reference field="5" count="1" selected="0">
            <x v="2"/>
          </reference>
          <reference field="6" count="0" selected="0"/>
          <reference field="7" count="1" selected="0">
            <x v="0"/>
          </reference>
          <reference field="8" count="0"/>
          <reference field="16" count="0" selected="0"/>
        </references>
      </pivotArea>
    </format>
    <format dxfId="412">
      <pivotArea dataOnly="0" labelOnly="1" fieldPosition="0">
        <references count="9">
          <reference field="1" count="1" selected="0">
            <x v="0"/>
          </reference>
          <reference field="2" count="1" selected="0">
            <x v="3"/>
          </reference>
          <reference field="3" count="1" selected="0">
            <x v="3"/>
          </reference>
          <reference field="4" count="1" selected="0">
            <x v="3"/>
          </reference>
          <reference field="5" count="1" selected="0">
            <x v="2"/>
          </reference>
          <reference field="6" count="0" selected="0"/>
          <reference field="7" count="1" selected="0">
            <x v="2"/>
          </reference>
          <reference field="8" count="0"/>
          <reference field="16" count="0" selected="0"/>
        </references>
      </pivotArea>
    </format>
    <format dxfId="411">
      <pivotArea dataOnly="0" labelOnly="1" fieldPosition="0">
        <references count="9">
          <reference field="1" count="1" selected="0">
            <x v="0"/>
          </reference>
          <reference field="2" count="1" selected="0">
            <x v="3"/>
          </reference>
          <reference field="3" count="1" selected="0">
            <x v="3"/>
          </reference>
          <reference field="4" count="1" selected="0">
            <x v="3"/>
          </reference>
          <reference field="5" count="1" selected="0">
            <x v="2"/>
          </reference>
          <reference field="6" count="0" selected="0"/>
          <reference field="7" count="1" selected="0">
            <x v="3"/>
          </reference>
          <reference field="8" count="0"/>
          <reference field="16" count="0" selected="0"/>
        </references>
      </pivotArea>
    </format>
    <format dxfId="410">
      <pivotArea dataOnly="0" labelOnly="1" fieldPosition="0">
        <references count="9">
          <reference field="1" count="1" selected="0">
            <x v="0"/>
          </reference>
          <reference field="2" count="1" selected="0">
            <x v="3"/>
          </reference>
          <reference field="3" count="1" selected="0">
            <x v="4"/>
          </reference>
          <reference field="4" count="1" selected="0">
            <x v="3"/>
          </reference>
          <reference field="5" count="1" selected="0">
            <x v="2"/>
          </reference>
          <reference field="6" count="0" selected="0"/>
          <reference field="7" count="1" selected="0">
            <x v="0"/>
          </reference>
          <reference field="8" count="0"/>
          <reference field="16" count="0" selected="0"/>
        </references>
      </pivotArea>
    </format>
    <format dxfId="409">
      <pivotArea dataOnly="0" labelOnly="1" fieldPosition="0">
        <references count="9">
          <reference field="1" count="1" selected="0">
            <x v="0"/>
          </reference>
          <reference field="2" count="1" selected="0">
            <x v="3"/>
          </reference>
          <reference field="3" count="1" selected="0">
            <x v="4"/>
          </reference>
          <reference field="4" count="1" selected="0">
            <x v="3"/>
          </reference>
          <reference field="5" count="1" selected="0">
            <x v="2"/>
          </reference>
          <reference field="6" count="0" selected="0"/>
          <reference field="7" count="1" selected="0">
            <x v="2"/>
          </reference>
          <reference field="8" count="0"/>
          <reference field="16" count="0" selected="0"/>
        </references>
      </pivotArea>
    </format>
    <format dxfId="408">
      <pivotArea dataOnly="0" labelOnly="1" fieldPosition="0">
        <references count="9">
          <reference field="1" count="1" selected="0">
            <x v="0"/>
          </reference>
          <reference field="2" count="1" selected="0">
            <x v="3"/>
          </reference>
          <reference field="3" count="1" selected="0">
            <x v="4"/>
          </reference>
          <reference field="4" count="1" selected="0">
            <x v="3"/>
          </reference>
          <reference field="5" count="1" selected="0">
            <x v="2"/>
          </reference>
          <reference field="6" count="0" selected="0"/>
          <reference field="7" count="1" selected="0">
            <x v="3"/>
          </reference>
          <reference field="8" count="0"/>
          <reference field="16" count="0" selected="0"/>
        </references>
      </pivotArea>
    </format>
    <format dxfId="407">
      <pivotArea dataOnly="0" labelOnly="1" fieldPosition="0">
        <references count="9">
          <reference field="1" count="1" selected="0">
            <x v="0"/>
          </reference>
          <reference field="2" count="1" selected="0">
            <x v="3"/>
          </reference>
          <reference field="3" count="1" selected="0">
            <x v="5"/>
          </reference>
          <reference field="4" count="1" selected="0">
            <x v="4"/>
          </reference>
          <reference field="5" count="1" selected="0">
            <x v="2"/>
          </reference>
          <reference field="6" count="0" selected="0"/>
          <reference field="7" count="1" selected="0">
            <x v="0"/>
          </reference>
          <reference field="8" count="0"/>
          <reference field="16" count="0" selected="0"/>
        </references>
      </pivotArea>
    </format>
    <format dxfId="406">
      <pivotArea dataOnly="0" labelOnly="1" fieldPosition="0">
        <references count="9">
          <reference field="1" count="1" selected="0">
            <x v="0"/>
          </reference>
          <reference field="2" count="1" selected="0">
            <x v="3"/>
          </reference>
          <reference field="3" count="1" selected="0">
            <x v="5"/>
          </reference>
          <reference field="4" count="1" selected="0">
            <x v="4"/>
          </reference>
          <reference field="5" count="1" selected="0">
            <x v="2"/>
          </reference>
          <reference field="6" count="0" selected="0"/>
          <reference field="7" count="1" selected="0">
            <x v="2"/>
          </reference>
          <reference field="8" count="0"/>
          <reference field="16" count="0" selected="0"/>
        </references>
      </pivotArea>
    </format>
    <format dxfId="405">
      <pivotArea dataOnly="0" labelOnly="1" fieldPosition="0">
        <references count="9">
          <reference field="1" count="1" selected="0">
            <x v="0"/>
          </reference>
          <reference field="2" count="1" selected="0">
            <x v="3"/>
          </reference>
          <reference field="3" count="1" selected="0">
            <x v="5"/>
          </reference>
          <reference field="4" count="1" selected="0">
            <x v="4"/>
          </reference>
          <reference field="5" count="1" selected="0">
            <x v="2"/>
          </reference>
          <reference field="6" count="0" selected="0"/>
          <reference field="7" count="1" selected="0">
            <x v="3"/>
          </reference>
          <reference field="8" count="0"/>
          <reference field="16" count="0" selected="0"/>
        </references>
      </pivotArea>
    </format>
    <format dxfId="404">
      <pivotArea dataOnly="0" labelOnly="1" fieldPosition="0">
        <references count="9">
          <reference field="1" count="1" selected="0">
            <x v="1"/>
          </reference>
          <reference field="2" count="1" selected="0">
            <x v="1"/>
          </reference>
          <reference field="3" count="1" selected="0">
            <x v="5"/>
          </reference>
          <reference field="4" count="1" selected="0">
            <x v="4"/>
          </reference>
          <reference field="5" count="1" selected="0">
            <x v="2"/>
          </reference>
          <reference field="6" count="0" selected="0"/>
          <reference field="7" count="1" selected="0">
            <x v="0"/>
          </reference>
          <reference field="8" count="0"/>
          <reference field="16" count="0" selected="0"/>
        </references>
      </pivotArea>
    </format>
    <format dxfId="403">
      <pivotArea dataOnly="0" labelOnly="1" fieldPosition="0">
        <references count="9">
          <reference field="1" count="1" selected="0">
            <x v="1"/>
          </reference>
          <reference field="2" count="1" selected="0">
            <x v="1"/>
          </reference>
          <reference field="3" count="1" selected="0">
            <x v="5"/>
          </reference>
          <reference field="4" count="1" selected="0">
            <x v="4"/>
          </reference>
          <reference field="5" count="1" selected="0">
            <x v="2"/>
          </reference>
          <reference field="6" count="0" selected="0"/>
          <reference field="7" count="1" selected="0">
            <x v="1"/>
          </reference>
          <reference field="8" count="0"/>
          <reference field="16" count="0" selected="0"/>
        </references>
      </pivotArea>
    </format>
    <format dxfId="402">
      <pivotArea dataOnly="0" labelOnly="1" fieldPosition="0">
        <references count="9">
          <reference field="1" count="1" selected="0">
            <x v="1"/>
          </reference>
          <reference field="2" count="1" selected="0">
            <x v="1"/>
          </reference>
          <reference field="3" count="1" selected="0">
            <x v="5"/>
          </reference>
          <reference field="4" count="1" selected="0">
            <x v="4"/>
          </reference>
          <reference field="5" count="1" selected="0">
            <x v="2"/>
          </reference>
          <reference field="6" count="0" selected="0"/>
          <reference field="7" count="1" selected="0">
            <x v="3"/>
          </reference>
          <reference field="8" count="0"/>
          <reference field="16" count="0" selected="0"/>
        </references>
      </pivotArea>
    </format>
    <format dxfId="401">
      <pivotArea dataOnly="0" labelOnly="1" fieldPosition="0">
        <references count="9">
          <reference field="1" count="1" selected="0">
            <x v="1"/>
          </reference>
          <reference field="2" count="1" selected="0">
            <x v="2"/>
          </reference>
          <reference field="3" count="1" selected="0">
            <x v="5"/>
          </reference>
          <reference field="4" count="1" selected="0">
            <x v="4"/>
          </reference>
          <reference field="5" count="1" selected="0">
            <x v="2"/>
          </reference>
          <reference field="6" count="0" selected="0"/>
          <reference field="7" count="1" selected="0">
            <x v="2"/>
          </reference>
          <reference field="8" count="0"/>
          <reference field="16" count="0" selected="0"/>
        </references>
      </pivotArea>
    </format>
    <format dxfId="400">
      <pivotArea dataOnly="0" labelOnly="1" fieldPosition="0">
        <references count="9">
          <reference field="1" count="1" selected="0">
            <x v="1"/>
          </reference>
          <reference field="2" count="1" selected="0">
            <x v="2"/>
          </reference>
          <reference field="3" count="1" selected="0">
            <x v="5"/>
          </reference>
          <reference field="4" count="1" selected="0">
            <x v="5"/>
          </reference>
          <reference field="5" count="1" selected="0">
            <x v="2"/>
          </reference>
          <reference field="6" count="0" selected="0"/>
          <reference field="7" count="1" selected="0">
            <x v="2"/>
          </reference>
          <reference field="8" count="0"/>
          <reference field="16" count="0" selected="0"/>
        </references>
      </pivotArea>
    </format>
    <format dxfId="399">
      <pivotArea dataOnly="0" labelOnly="1" fieldPosition="0">
        <references count="9">
          <reference field="1" count="1" selected="0">
            <x v="1"/>
          </reference>
          <reference field="2" count="1" selected="0">
            <x v="2"/>
          </reference>
          <reference field="3" count="1" selected="0">
            <x v="5"/>
          </reference>
          <reference field="4" count="1" selected="0">
            <x v="6"/>
          </reference>
          <reference field="5" count="1" selected="0">
            <x v="2"/>
          </reference>
          <reference field="6" count="0" selected="0"/>
          <reference field="7" count="1" selected="0">
            <x v="2"/>
          </reference>
          <reference field="8" count="0"/>
          <reference field="16" count="0" selected="0"/>
        </references>
      </pivotArea>
    </format>
    <format dxfId="398">
      <pivotArea dataOnly="0" labelOnly="1" fieldPosition="0">
        <references count="9">
          <reference field="1" count="1" selected="0">
            <x v="1"/>
          </reference>
          <reference field="2" count="1" selected="0">
            <x v="2"/>
          </reference>
          <reference field="3" count="1" selected="0">
            <x v="5"/>
          </reference>
          <reference field="4" count="1" selected="0">
            <x v="7"/>
          </reference>
          <reference field="5" count="1" selected="0">
            <x v="2"/>
          </reference>
          <reference field="6" count="0" selected="0"/>
          <reference field="7" count="1" selected="0">
            <x v="2"/>
          </reference>
          <reference field="8" count="0"/>
          <reference field="16" count="0" selected="0"/>
        </references>
      </pivotArea>
    </format>
    <format dxfId="397">
      <pivotArea dataOnly="0" labelOnly="1" fieldPosition="0">
        <references count="9">
          <reference field="1" count="1" selected="0">
            <x v="1"/>
          </reference>
          <reference field="2" count="1" selected="0">
            <x v="2"/>
          </reference>
          <reference field="3" count="1" selected="0">
            <x v="5"/>
          </reference>
          <reference field="4" count="1" selected="0">
            <x v="8"/>
          </reference>
          <reference field="5" count="1" selected="0">
            <x v="2"/>
          </reference>
          <reference field="6" count="0" selected="0"/>
          <reference field="7" count="1" selected="0">
            <x v="2"/>
          </reference>
          <reference field="8" count="0"/>
          <reference field="16" count="0" selected="0"/>
        </references>
      </pivotArea>
    </format>
    <format dxfId="396">
      <pivotArea dataOnly="0" labelOnly="1" fieldPosition="0">
        <references count="9">
          <reference field="1" count="1" selected="0">
            <x v="2"/>
          </reference>
          <reference field="2" count="1" selected="0">
            <x v="2"/>
          </reference>
          <reference field="3" count="1" selected="0">
            <x v="6"/>
          </reference>
          <reference field="4" count="1" selected="0">
            <x v="1"/>
          </reference>
          <reference field="5" count="1" selected="0">
            <x v="0"/>
          </reference>
          <reference field="6" count="0" selected="0"/>
          <reference field="7" count="1" selected="0">
            <x v="2"/>
          </reference>
          <reference field="8" count="8">
            <x v="0"/>
            <x v="1"/>
            <x v="2"/>
            <x v="3"/>
            <x v="4"/>
            <x v="6"/>
            <x v="9"/>
            <x v="11"/>
          </reference>
          <reference field="16" count="0" selected="0"/>
        </references>
      </pivotArea>
    </format>
    <format dxfId="395">
      <pivotArea dataOnly="0" labelOnly="1" fieldPosition="0">
        <references count="9">
          <reference field="1" count="1" selected="0">
            <x v="2"/>
          </reference>
          <reference field="2" count="1" selected="0">
            <x v="2"/>
          </reference>
          <reference field="3" count="1" selected="0">
            <x v="6"/>
          </reference>
          <reference field="4" count="1" selected="0">
            <x v="1"/>
          </reference>
          <reference field="5" count="1" selected="0">
            <x v="1"/>
          </reference>
          <reference field="6" count="0" selected="0"/>
          <reference field="7" count="1" selected="0">
            <x v="2"/>
          </reference>
          <reference field="8" count="10">
            <x v="0"/>
            <x v="2"/>
            <x v="3"/>
            <x v="4"/>
            <x v="5"/>
            <x v="6"/>
            <x v="7"/>
            <x v="8"/>
            <x v="9"/>
            <x v="10"/>
          </reference>
          <reference field="16" count="0" selected="0"/>
        </references>
      </pivotArea>
    </format>
    <format dxfId="394">
      <pivotArea dataOnly="0" labelOnly="1" fieldPosition="0">
        <references count="9">
          <reference field="1" count="1" selected="0">
            <x v="2"/>
          </reference>
          <reference field="2" count="1" selected="0">
            <x v="2"/>
          </reference>
          <reference field="3" count="1" selected="0">
            <x v="6"/>
          </reference>
          <reference field="4" count="1" selected="0">
            <x v="3"/>
          </reference>
          <reference field="5" count="1" selected="0">
            <x v="2"/>
          </reference>
          <reference field="6" count="0" selected="0"/>
          <reference field="7" count="1" selected="0">
            <x v="2"/>
          </reference>
          <reference field="8" count="0"/>
          <reference field="16" count="0" selected="0"/>
        </references>
      </pivotArea>
    </format>
    <format dxfId="393">
      <pivotArea dataOnly="0" labelOnly="1" fieldPosition="0">
        <references count="9">
          <reference field="1" count="1" selected="0">
            <x v="3"/>
          </reference>
          <reference field="2" count="1" selected="0">
            <x v="2"/>
          </reference>
          <reference field="3" count="1" selected="0">
            <x v="0"/>
          </reference>
          <reference field="4" count="1" selected="0">
            <x v="3"/>
          </reference>
          <reference field="5" count="1" selected="0">
            <x v="2"/>
          </reference>
          <reference field="6" count="0" selected="0"/>
          <reference field="7" count="1" selected="0">
            <x v="2"/>
          </reference>
          <reference field="8" count="0"/>
          <reference field="16" count="0" selected="0"/>
        </references>
      </pivotArea>
    </format>
    <format dxfId="392">
      <pivotArea dataOnly="0" labelOnly="1" fieldPosition="0">
        <references count="9">
          <reference field="1" count="1" selected="0">
            <x v="3"/>
          </reference>
          <reference field="2" count="1" selected="0">
            <x v="2"/>
          </reference>
          <reference field="3" count="1" selected="0">
            <x v="1"/>
          </reference>
          <reference field="4" count="1" selected="0">
            <x v="3"/>
          </reference>
          <reference field="5" count="1" selected="0">
            <x v="2"/>
          </reference>
          <reference field="6" count="0" selected="0"/>
          <reference field="7" count="1" selected="0">
            <x v="2"/>
          </reference>
          <reference field="8" count="0"/>
          <reference field="16" count="0" selected="0"/>
        </references>
      </pivotArea>
    </format>
    <format dxfId="391">
      <pivotArea dataOnly="0" labelOnly="1" fieldPosition="0">
        <references count="9">
          <reference field="1" count="1" selected="0">
            <x v="3"/>
          </reference>
          <reference field="2" count="1" selected="0">
            <x v="2"/>
          </reference>
          <reference field="3" count="1" selected="0">
            <x v="3"/>
          </reference>
          <reference field="4" count="1" selected="0">
            <x v="3"/>
          </reference>
          <reference field="5" count="1" selected="0">
            <x v="2"/>
          </reference>
          <reference field="6" count="0" selected="0"/>
          <reference field="7" count="1" selected="0">
            <x v="2"/>
          </reference>
          <reference field="8" count="0"/>
          <reference field="16" count="0" selected="0"/>
        </references>
      </pivotArea>
    </format>
    <format dxfId="390">
      <pivotArea dataOnly="0" labelOnly="1" fieldPosition="0">
        <references count="9">
          <reference field="1" count="1" selected="0">
            <x v="3"/>
          </reference>
          <reference field="2" count="1" selected="0">
            <x v="2"/>
          </reference>
          <reference field="3" count="1" selected="0">
            <x v="4"/>
          </reference>
          <reference field="4" count="1" selected="0">
            <x v="3"/>
          </reference>
          <reference field="5" count="1" selected="0">
            <x v="2"/>
          </reference>
          <reference field="6" count="0" selected="0"/>
          <reference field="7" count="1" selected="0">
            <x v="2"/>
          </reference>
          <reference field="8" count="0"/>
          <reference field="16" count="0" selected="0"/>
        </references>
      </pivotArea>
    </format>
    <format dxfId="389">
      <pivotArea dataOnly="0" labelOnly="1" fieldPosition="0">
        <references count="9">
          <reference field="1" count="1" selected="0">
            <x v="3"/>
          </reference>
          <reference field="2" count="1" selected="0">
            <x v="2"/>
          </reference>
          <reference field="3" count="1" selected="0">
            <x v="7"/>
          </reference>
          <reference field="4" count="1" selected="0">
            <x v="0"/>
          </reference>
          <reference field="5" count="1" selected="0">
            <x v="2"/>
          </reference>
          <reference field="6" count="0" selected="0"/>
          <reference field="7" count="1" selected="0">
            <x v="2"/>
          </reference>
          <reference field="8" count="0"/>
          <reference field="16" count="0" selected="0"/>
        </references>
      </pivotArea>
    </format>
    <format dxfId="388">
      <pivotArea dataOnly="0" labelOnly="1" fieldPosition="0">
        <references count="9">
          <reference field="1" count="1" selected="0">
            <x v="4"/>
          </reference>
          <reference field="2" count="1" selected="0">
            <x v="2"/>
          </reference>
          <reference field="3" count="1" selected="0">
            <x v="2"/>
          </reference>
          <reference field="4" count="1" selected="0">
            <x v="2"/>
          </reference>
          <reference field="5" count="1" selected="0">
            <x v="2"/>
          </reference>
          <reference field="6" count="0" selected="0"/>
          <reference field="7" count="1" selected="0">
            <x v="2"/>
          </reference>
          <reference field="8" count="0"/>
          <reference field="16" count="0" selected="0"/>
        </references>
      </pivotArea>
    </format>
    <format dxfId="387">
      <pivotArea dataOnly="0" labelOnly="1" outline="0" fieldPosition="0">
        <references count="1">
          <reference field="4294967294" count="9">
            <x v="0"/>
            <x v="1"/>
            <x v="2"/>
            <x v="3"/>
            <x v="4"/>
            <x v="5"/>
            <x v="6"/>
            <x v="7"/>
            <x v="8"/>
          </reference>
        </references>
      </pivotArea>
    </format>
    <format dxfId="386">
      <pivotArea type="all" dataOnly="0" outline="0" fieldPosition="0"/>
    </format>
    <format dxfId="385">
      <pivotArea outline="0" collapsedLevelsAreSubtotals="1" fieldPosition="0"/>
    </format>
    <format dxfId="384">
      <pivotArea field="16" type="button" dataOnly="0" labelOnly="1" outline="0" axis="axisRow" fieldPosition="0"/>
    </format>
    <format dxfId="383">
      <pivotArea dataOnly="0" labelOnly="1" fieldPosition="0">
        <references count="1">
          <reference field="16" count="0"/>
        </references>
      </pivotArea>
    </format>
    <format dxfId="382">
      <pivotArea dataOnly="0" labelOnly="1" fieldPosition="0">
        <references count="2">
          <reference field="1" count="0"/>
          <reference field="16" count="0" selected="0"/>
        </references>
      </pivotArea>
    </format>
    <format dxfId="381">
      <pivotArea dataOnly="0" labelOnly="1" fieldPosition="0">
        <references count="3">
          <reference field="1" count="1" selected="0">
            <x v="0"/>
          </reference>
          <reference field="2" count="2">
            <x v="0"/>
            <x v="3"/>
          </reference>
          <reference field="16" count="0" selected="0"/>
        </references>
      </pivotArea>
    </format>
    <format dxfId="380">
      <pivotArea dataOnly="0" labelOnly="1" fieldPosition="0">
        <references count="3">
          <reference field="1" count="1" selected="0">
            <x v="1"/>
          </reference>
          <reference field="2" count="2">
            <x v="1"/>
            <x v="2"/>
          </reference>
          <reference field="16" count="0" selected="0"/>
        </references>
      </pivotArea>
    </format>
    <format dxfId="379">
      <pivotArea dataOnly="0" labelOnly="1" fieldPosition="0">
        <references count="3">
          <reference field="1" count="1" selected="0">
            <x v="2"/>
          </reference>
          <reference field="2" count="1">
            <x v="2"/>
          </reference>
          <reference field="16" count="0" selected="0"/>
        </references>
      </pivotArea>
    </format>
    <format dxfId="378">
      <pivotArea dataOnly="0" labelOnly="1" fieldPosition="0">
        <references count="3">
          <reference field="1" count="1" selected="0">
            <x v="3"/>
          </reference>
          <reference field="2" count="1">
            <x v="2"/>
          </reference>
          <reference field="16" count="0" selected="0"/>
        </references>
      </pivotArea>
    </format>
    <format dxfId="377">
      <pivotArea dataOnly="0" labelOnly="1" fieldPosition="0">
        <references count="3">
          <reference field="1" count="1" selected="0">
            <x v="4"/>
          </reference>
          <reference field="2" count="1">
            <x v="2"/>
          </reference>
          <reference field="16" count="0" selected="0"/>
        </references>
      </pivotArea>
    </format>
    <format dxfId="376">
      <pivotArea dataOnly="0" labelOnly="1" fieldPosition="0">
        <references count="4">
          <reference field="1" count="1" selected="0">
            <x v="0"/>
          </reference>
          <reference field="2" count="1" selected="0">
            <x v="0"/>
          </reference>
          <reference field="3" count="1">
            <x v="3"/>
          </reference>
          <reference field="16" count="0" selected="0"/>
        </references>
      </pivotArea>
    </format>
    <format dxfId="375">
      <pivotArea dataOnly="0" labelOnly="1" fieldPosition="0">
        <references count="4">
          <reference field="1" count="1" selected="0">
            <x v="0"/>
          </reference>
          <reference field="2" count="1" selected="0">
            <x v="3"/>
          </reference>
          <reference field="3" count="4">
            <x v="0"/>
            <x v="3"/>
            <x v="4"/>
            <x v="5"/>
          </reference>
          <reference field="16" count="0" selected="0"/>
        </references>
      </pivotArea>
    </format>
    <format dxfId="374">
      <pivotArea dataOnly="0" labelOnly="1" fieldPosition="0">
        <references count="4">
          <reference field="1" count="1" selected="0">
            <x v="1"/>
          </reference>
          <reference field="2" count="1" selected="0">
            <x v="1"/>
          </reference>
          <reference field="3" count="1">
            <x v="5"/>
          </reference>
          <reference field="16" count="0" selected="0"/>
        </references>
      </pivotArea>
    </format>
    <format dxfId="373">
      <pivotArea dataOnly="0" labelOnly="1" fieldPosition="0">
        <references count="4">
          <reference field="1" count="1" selected="0">
            <x v="1"/>
          </reference>
          <reference field="2" count="1" selected="0">
            <x v="2"/>
          </reference>
          <reference field="3" count="1">
            <x v="5"/>
          </reference>
          <reference field="16" count="0" selected="0"/>
        </references>
      </pivotArea>
    </format>
    <format dxfId="372">
      <pivotArea dataOnly="0" labelOnly="1" fieldPosition="0">
        <references count="4">
          <reference field="1" count="1" selected="0">
            <x v="2"/>
          </reference>
          <reference field="2" count="1" selected="0">
            <x v="2"/>
          </reference>
          <reference field="3" count="1">
            <x v="6"/>
          </reference>
          <reference field="16" count="0" selected="0"/>
        </references>
      </pivotArea>
    </format>
    <format dxfId="371">
      <pivotArea dataOnly="0" labelOnly="1" fieldPosition="0">
        <references count="4">
          <reference field="1" count="1" selected="0">
            <x v="3"/>
          </reference>
          <reference field="2" count="1" selected="0">
            <x v="2"/>
          </reference>
          <reference field="3" count="5">
            <x v="0"/>
            <x v="1"/>
            <x v="3"/>
            <x v="4"/>
            <x v="7"/>
          </reference>
          <reference field="16" count="0" selected="0"/>
        </references>
      </pivotArea>
    </format>
    <format dxfId="370">
      <pivotArea dataOnly="0" labelOnly="1" fieldPosition="0">
        <references count="4">
          <reference field="1" count="1" selected="0">
            <x v="4"/>
          </reference>
          <reference field="2" count="1" selected="0">
            <x v="2"/>
          </reference>
          <reference field="3" count="1">
            <x v="2"/>
          </reference>
          <reference field="16" count="0" selected="0"/>
        </references>
      </pivotArea>
    </format>
    <format dxfId="369">
      <pivotArea dataOnly="0" labelOnly="1" fieldPosition="0">
        <references count="5">
          <reference field="1" count="1" selected="0">
            <x v="0"/>
          </reference>
          <reference field="2" count="1" selected="0">
            <x v="0"/>
          </reference>
          <reference field="3" count="1" selected="0">
            <x v="3"/>
          </reference>
          <reference field="4" count="1">
            <x v="3"/>
          </reference>
          <reference field="16" count="0" selected="0"/>
        </references>
      </pivotArea>
    </format>
    <format dxfId="368">
      <pivotArea dataOnly="0" labelOnly="1" fieldPosition="0">
        <references count="5">
          <reference field="1" count="1" selected="0">
            <x v="0"/>
          </reference>
          <reference field="2" count="1" selected="0">
            <x v="3"/>
          </reference>
          <reference field="3" count="1" selected="0">
            <x v="0"/>
          </reference>
          <reference field="4" count="1">
            <x v="3"/>
          </reference>
          <reference field="16" count="0" selected="0"/>
        </references>
      </pivotArea>
    </format>
    <format dxfId="367">
      <pivotArea dataOnly="0" labelOnly="1" fieldPosition="0">
        <references count="5">
          <reference field="1" count="1" selected="0">
            <x v="0"/>
          </reference>
          <reference field="2" count="1" selected="0">
            <x v="3"/>
          </reference>
          <reference field="3" count="1" selected="0">
            <x v="3"/>
          </reference>
          <reference field="4" count="1">
            <x v="3"/>
          </reference>
          <reference field="16" count="0" selected="0"/>
        </references>
      </pivotArea>
    </format>
    <format dxfId="366">
      <pivotArea dataOnly="0" labelOnly="1" fieldPosition="0">
        <references count="5">
          <reference field="1" count="1" selected="0">
            <x v="0"/>
          </reference>
          <reference field="2" count="1" selected="0">
            <x v="3"/>
          </reference>
          <reference field="3" count="1" selected="0">
            <x v="4"/>
          </reference>
          <reference field="4" count="1">
            <x v="3"/>
          </reference>
          <reference field="16" count="0" selected="0"/>
        </references>
      </pivotArea>
    </format>
    <format dxfId="365">
      <pivotArea dataOnly="0" labelOnly="1" fieldPosition="0">
        <references count="5">
          <reference field="1" count="1" selected="0">
            <x v="0"/>
          </reference>
          <reference field="2" count="1" selected="0">
            <x v="3"/>
          </reference>
          <reference field="3" count="1" selected="0">
            <x v="5"/>
          </reference>
          <reference field="4" count="1">
            <x v="4"/>
          </reference>
          <reference field="16" count="0" selected="0"/>
        </references>
      </pivotArea>
    </format>
    <format dxfId="364">
      <pivotArea dataOnly="0" labelOnly="1" fieldPosition="0">
        <references count="5">
          <reference field="1" count="1" selected="0">
            <x v="1"/>
          </reference>
          <reference field="2" count="1" selected="0">
            <x v="1"/>
          </reference>
          <reference field="3" count="1" selected="0">
            <x v="5"/>
          </reference>
          <reference field="4" count="1">
            <x v="4"/>
          </reference>
          <reference field="16" count="0" selected="0"/>
        </references>
      </pivotArea>
    </format>
    <format dxfId="363">
      <pivotArea dataOnly="0" labelOnly="1" fieldPosition="0">
        <references count="5">
          <reference field="1" count="1" selected="0">
            <x v="1"/>
          </reference>
          <reference field="2" count="1" selected="0">
            <x v="2"/>
          </reference>
          <reference field="3" count="1" selected="0">
            <x v="5"/>
          </reference>
          <reference field="4" count="5">
            <x v="4"/>
            <x v="5"/>
            <x v="6"/>
            <x v="7"/>
            <x v="8"/>
          </reference>
          <reference field="16" count="0" selected="0"/>
        </references>
      </pivotArea>
    </format>
    <format dxfId="362">
      <pivotArea dataOnly="0" labelOnly="1" fieldPosition="0">
        <references count="5">
          <reference field="1" count="1" selected="0">
            <x v="2"/>
          </reference>
          <reference field="2" count="1" selected="0">
            <x v="2"/>
          </reference>
          <reference field="3" count="1" selected="0">
            <x v="6"/>
          </reference>
          <reference field="4" count="2">
            <x v="1"/>
            <x v="3"/>
          </reference>
          <reference field="16" count="0" selected="0"/>
        </references>
      </pivotArea>
    </format>
    <format dxfId="361">
      <pivotArea dataOnly="0" labelOnly="1" fieldPosition="0">
        <references count="5">
          <reference field="1" count="1" selected="0">
            <x v="3"/>
          </reference>
          <reference field="2" count="1" selected="0">
            <x v="2"/>
          </reference>
          <reference field="3" count="1" selected="0">
            <x v="0"/>
          </reference>
          <reference field="4" count="1">
            <x v="3"/>
          </reference>
          <reference field="16" count="0" selected="0"/>
        </references>
      </pivotArea>
    </format>
    <format dxfId="360">
      <pivotArea dataOnly="0" labelOnly="1" fieldPosition="0">
        <references count="5">
          <reference field="1" count="1" selected="0">
            <x v="3"/>
          </reference>
          <reference field="2" count="1" selected="0">
            <x v="2"/>
          </reference>
          <reference field="3" count="1" selected="0">
            <x v="1"/>
          </reference>
          <reference field="4" count="1">
            <x v="3"/>
          </reference>
          <reference field="16" count="0" selected="0"/>
        </references>
      </pivotArea>
    </format>
    <format dxfId="359">
      <pivotArea dataOnly="0" labelOnly="1" fieldPosition="0">
        <references count="5">
          <reference field="1" count="1" selected="0">
            <x v="3"/>
          </reference>
          <reference field="2" count="1" selected="0">
            <x v="2"/>
          </reference>
          <reference field="3" count="1" selected="0">
            <x v="3"/>
          </reference>
          <reference field="4" count="1">
            <x v="3"/>
          </reference>
          <reference field="16" count="0" selected="0"/>
        </references>
      </pivotArea>
    </format>
    <format dxfId="358">
      <pivotArea dataOnly="0" labelOnly="1" fieldPosition="0">
        <references count="5">
          <reference field="1" count="1" selected="0">
            <x v="3"/>
          </reference>
          <reference field="2" count="1" selected="0">
            <x v="2"/>
          </reference>
          <reference field="3" count="1" selected="0">
            <x v="4"/>
          </reference>
          <reference field="4" count="1">
            <x v="3"/>
          </reference>
          <reference field="16" count="0" selected="0"/>
        </references>
      </pivotArea>
    </format>
    <format dxfId="357">
      <pivotArea dataOnly="0" labelOnly="1" fieldPosition="0">
        <references count="5">
          <reference field="1" count="1" selected="0">
            <x v="3"/>
          </reference>
          <reference field="2" count="1" selected="0">
            <x v="2"/>
          </reference>
          <reference field="3" count="1" selected="0">
            <x v="7"/>
          </reference>
          <reference field="4" count="1">
            <x v="0"/>
          </reference>
          <reference field="16" count="0" selected="0"/>
        </references>
      </pivotArea>
    </format>
    <format dxfId="356">
      <pivotArea dataOnly="0" labelOnly="1" fieldPosition="0">
        <references count="5">
          <reference field="1" count="1" selected="0">
            <x v="4"/>
          </reference>
          <reference field="2" count="1" selected="0">
            <x v="2"/>
          </reference>
          <reference field="3" count="1" selected="0">
            <x v="2"/>
          </reference>
          <reference field="4" count="1">
            <x v="2"/>
          </reference>
          <reference field="16" count="0" selected="0"/>
        </references>
      </pivotArea>
    </format>
    <format dxfId="355">
      <pivotArea dataOnly="0" labelOnly="1" fieldPosition="0">
        <references count="6">
          <reference field="1" count="1" selected="0">
            <x v="0"/>
          </reference>
          <reference field="2" count="1" selected="0">
            <x v="0"/>
          </reference>
          <reference field="3" count="1" selected="0">
            <x v="3"/>
          </reference>
          <reference field="4" count="1" selected="0">
            <x v="3"/>
          </reference>
          <reference field="5" count="1">
            <x v="2"/>
          </reference>
          <reference field="16" count="0" selected="0"/>
        </references>
      </pivotArea>
    </format>
    <format dxfId="354">
      <pivotArea dataOnly="0" labelOnly="1" fieldPosition="0">
        <references count="6">
          <reference field="1" count="1" selected="0">
            <x v="0"/>
          </reference>
          <reference field="2" count="1" selected="0">
            <x v="3"/>
          </reference>
          <reference field="3" count="1" selected="0">
            <x v="0"/>
          </reference>
          <reference field="4" count="1" selected="0">
            <x v="3"/>
          </reference>
          <reference field="5" count="1">
            <x v="2"/>
          </reference>
          <reference field="16" count="0" selected="0"/>
        </references>
      </pivotArea>
    </format>
    <format dxfId="353">
      <pivotArea dataOnly="0" labelOnly="1" fieldPosition="0">
        <references count="6">
          <reference field="1" count="1" selected="0">
            <x v="0"/>
          </reference>
          <reference field="2" count="1" selected="0">
            <x v="3"/>
          </reference>
          <reference field="3" count="1" selected="0">
            <x v="3"/>
          </reference>
          <reference field="4" count="1" selected="0">
            <x v="3"/>
          </reference>
          <reference field="5" count="1">
            <x v="2"/>
          </reference>
          <reference field="16" count="0" selected="0"/>
        </references>
      </pivotArea>
    </format>
    <format dxfId="352">
      <pivotArea dataOnly="0" labelOnly="1" fieldPosition="0">
        <references count="6">
          <reference field="1" count="1" selected="0">
            <x v="0"/>
          </reference>
          <reference field="2" count="1" selected="0">
            <x v="3"/>
          </reference>
          <reference field="3" count="1" selected="0">
            <x v="4"/>
          </reference>
          <reference field="4" count="1" selected="0">
            <x v="3"/>
          </reference>
          <reference field="5" count="1">
            <x v="2"/>
          </reference>
          <reference field="16" count="0" selected="0"/>
        </references>
      </pivotArea>
    </format>
    <format dxfId="351">
      <pivotArea dataOnly="0" labelOnly="1" fieldPosition="0">
        <references count="6">
          <reference field="1" count="1" selected="0">
            <x v="0"/>
          </reference>
          <reference field="2" count="1" selected="0">
            <x v="3"/>
          </reference>
          <reference field="3" count="1" selected="0">
            <x v="5"/>
          </reference>
          <reference field="4" count="1" selected="0">
            <x v="4"/>
          </reference>
          <reference field="5" count="1">
            <x v="2"/>
          </reference>
          <reference field="16" count="0" selected="0"/>
        </references>
      </pivotArea>
    </format>
    <format dxfId="350">
      <pivotArea dataOnly="0" labelOnly="1" fieldPosition="0">
        <references count="6">
          <reference field="1" count="1" selected="0">
            <x v="1"/>
          </reference>
          <reference field="2" count="1" selected="0">
            <x v="1"/>
          </reference>
          <reference field="3" count="1" selected="0">
            <x v="5"/>
          </reference>
          <reference field="4" count="1" selected="0">
            <x v="4"/>
          </reference>
          <reference field="5" count="1">
            <x v="2"/>
          </reference>
          <reference field="16" count="0" selected="0"/>
        </references>
      </pivotArea>
    </format>
    <format dxfId="349">
      <pivotArea dataOnly="0" labelOnly="1" fieldPosition="0">
        <references count="6">
          <reference field="1" count="1" selected="0">
            <x v="1"/>
          </reference>
          <reference field="2" count="1" selected="0">
            <x v="2"/>
          </reference>
          <reference field="3" count="1" selected="0">
            <x v="5"/>
          </reference>
          <reference field="4" count="1" selected="0">
            <x v="4"/>
          </reference>
          <reference field="5" count="1">
            <x v="2"/>
          </reference>
          <reference field="16" count="0" selected="0"/>
        </references>
      </pivotArea>
    </format>
    <format dxfId="348">
      <pivotArea dataOnly="0" labelOnly="1" fieldPosition="0">
        <references count="6">
          <reference field="1" count="1" selected="0">
            <x v="1"/>
          </reference>
          <reference field="2" count="1" selected="0">
            <x v="2"/>
          </reference>
          <reference field="3" count="1" selected="0">
            <x v="5"/>
          </reference>
          <reference field="4" count="1" selected="0">
            <x v="5"/>
          </reference>
          <reference field="5" count="1">
            <x v="2"/>
          </reference>
          <reference field="16" count="0" selected="0"/>
        </references>
      </pivotArea>
    </format>
    <format dxfId="347">
      <pivotArea dataOnly="0" labelOnly="1" fieldPosition="0">
        <references count="6">
          <reference field="1" count="1" selected="0">
            <x v="1"/>
          </reference>
          <reference field="2" count="1" selected="0">
            <x v="2"/>
          </reference>
          <reference field="3" count="1" selected="0">
            <x v="5"/>
          </reference>
          <reference field="4" count="1" selected="0">
            <x v="6"/>
          </reference>
          <reference field="5" count="1">
            <x v="2"/>
          </reference>
          <reference field="16" count="0" selected="0"/>
        </references>
      </pivotArea>
    </format>
    <format dxfId="346">
      <pivotArea dataOnly="0" labelOnly="1" fieldPosition="0">
        <references count="6">
          <reference field="1" count="1" selected="0">
            <x v="1"/>
          </reference>
          <reference field="2" count="1" selected="0">
            <x v="2"/>
          </reference>
          <reference field="3" count="1" selected="0">
            <x v="5"/>
          </reference>
          <reference field="4" count="1" selected="0">
            <x v="7"/>
          </reference>
          <reference field="5" count="1">
            <x v="2"/>
          </reference>
          <reference field="16" count="0" selected="0"/>
        </references>
      </pivotArea>
    </format>
    <format dxfId="345">
      <pivotArea dataOnly="0" labelOnly="1" fieldPosition="0">
        <references count="6">
          <reference field="1" count="1" selected="0">
            <x v="1"/>
          </reference>
          <reference field="2" count="1" selected="0">
            <x v="2"/>
          </reference>
          <reference field="3" count="1" selected="0">
            <x v="5"/>
          </reference>
          <reference field="4" count="1" selected="0">
            <x v="8"/>
          </reference>
          <reference field="5" count="1">
            <x v="2"/>
          </reference>
          <reference field="16" count="0" selected="0"/>
        </references>
      </pivotArea>
    </format>
    <format dxfId="344">
      <pivotArea dataOnly="0" labelOnly="1" fieldPosition="0">
        <references count="6">
          <reference field="1" count="1" selected="0">
            <x v="2"/>
          </reference>
          <reference field="2" count="1" selected="0">
            <x v="2"/>
          </reference>
          <reference field="3" count="1" selected="0">
            <x v="6"/>
          </reference>
          <reference field="4" count="1" selected="0">
            <x v="1"/>
          </reference>
          <reference field="5" count="2">
            <x v="0"/>
            <x v="1"/>
          </reference>
          <reference field="16" count="0" selected="0"/>
        </references>
      </pivotArea>
    </format>
    <format dxfId="343">
      <pivotArea dataOnly="0" labelOnly="1" fieldPosition="0">
        <references count="6">
          <reference field="1" count="1" selected="0">
            <x v="2"/>
          </reference>
          <reference field="2" count="1" selected="0">
            <x v="2"/>
          </reference>
          <reference field="3" count="1" selected="0">
            <x v="6"/>
          </reference>
          <reference field="4" count="1" selected="0">
            <x v="3"/>
          </reference>
          <reference field="5" count="1">
            <x v="2"/>
          </reference>
          <reference field="16" count="0" selected="0"/>
        </references>
      </pivotArea>
    </format>
    <format dxfId="342">
      <pivotArea dataOnly="0" labelOnly="1" fieldPosition="0">
        <references count="6">
          <reference field="1" count="1" selected="0">
            <x v="3"/>
          </reference>
          <reference field="2" count="1" selected="0">
            <x v="2"/>
          </reference>
          <reference field="3" count="1" selected="0">
            <x v="0"/>
          </reference>
          <reference field="4" count="1" selected="0">
            <x v="3"/>
          </reference>
          <reference field="5" count="1">
            <x v="2"/>
          </reference>
          <reference field="16" count="0" selected="0"/>
        </references>
      </pivotArea>
    </format>
    <format dxfId="341">
      <pivotArea dataOnly="0" labelOnly="1" fieldPosition="0">
        <references count="6">
          <reference field="1" count="1" selected="0">
            <x v="3"/>
          </reference>
          <reference field="2" count="1" selected="0">
            <x v="2"/>
          </reference>
          <reference field="3" count="1" selected="0">
            <x v="1"/>
          </reference>
          <reference field="4" count="1" selected="0">
            <x v="3"/>
          </reference>
          <reference field="5" count="1">
            <x v="2"/>
          </reference>
          <reference field="16" count="0" selected="0"/>
        </references>
      </pivotArea>
    </format>
    <format dxfId="340">
      <pivotArea dataOnly="0" labelOnly="1" fieldPosition="0">
        <references count="6">
          <reference field="1" count="1" selected="0">
            <x v="3"/>
          </reference>
          <reference field="2" count="1" selected="0">
            <x v="2"/>
          </reference>
          <reference field="3" count="1" selected="0">
            <x v="3"/>
          </reference>
          <reference field="4" count="1" selected="0">
            <x v="3"/>
          </reference>
          <reference field="5" count="1">
            <x v="2"/>
          </reference>
          <reference field="16" count="0" selected="0"/>
        </references>
      </pivotArea>
    </format>
    <format dxfId="339">
      <pivotArea dataOnly="0" labelOnly="1" fieldPosition="0">
        <references count="6">
          <reference field="1" count="1" selected="0">
            <x v="3"/>
          </reference>
          <reference field="2" count="1" selected="0">
            <x v="2"/>
          </reference>
          <reference field="3" count="1" selected="0">
            <x v="4"/>
          </reference>
          <reference field="4" count="1" selected="0">
            <x v="3"/>
          </reference>
          <reference field="5" count="1">
            <x v="2"/>
          </reference>
          <reference field="16" count="0" selected="0"/>
        </references>
      </pivotArea>
    </format>
    <format dxfId="338">
      <pivotArea dataOnly="0" labelOnly="1" fieldPosition="0">
        <references count="6">
          <reference field="1" count="1" selected="0">
            <x v="3"/>
          </reference>
          <reference field="2" count="1" selected="0">
            <x v="2"/>
          </reference>
          <reference field="3" count="1" selected="0">
            <x v="7"/>
          </reference>
          <reference field="4" count="1" selected="0">
            <x v="0"/>
          </reference>
          <reference field="5" count="1">
            <x v="2"/>
          </reference>
          <reference field="16" count="0" selected="0"/>
        </references>
      </pivotArea>
    </format>
    <format dxfId="337">
      <pivotArea dataOnly="0" labelOnly="1" fieldPosition="0">
        <references count="6">
          <reference field="1" count="1" selected="0">
            <x v="4"/>
          </reference>
          <reference field="2" count="1" selected="0">
            <x v="2"/>
          </reference>
          <reference field="3" count="1" selected="0">
            <x v="2"/>
          </reference>
          <reference field="4" count="1" selected="0">
            <x v="2"/>
          </reference>
          <reference field="5" count="1">
            <x v="2"/>
          </reference>
          <reference field="16" count="0" selected="0"/>
        </references>
      </pivotArea>
    </format>
    <format dxfId="336">
      <pivotArea dataOnly="0" labelOnly="1" fieldPosition="0">
        <references count="7">
          <reference field="1" count="1" selected="0">
            <x v="0"/>
          </reference>
          <reference field="2" count="1" selected="0">
            <x v="0"/>
          </reference>
          <reference field="3" count="1" selected="0">
            <x v="3"/>
          </reference>
          <reference field="4" count="1" selected="0">
            <x v="3"/>
          </reference>
          <reference field="5" count="1" selected="0">
            <x v="2"/>
          </reference>
          <reference field="6" count="0"/>
          <reference field="16" count="0" selected="0"/>
        </references>
      </pivotArea>
    </format>
    <format dxfId="335">
      <pivotArea dataOnly="0" labelOnly="1" fieldPosition="0">
        <references count="7">
          <reference field="1" count="1" selected="0">
            <x v="0"/>
          </reference>
          <reference field="2" count="1" selected="0">
            <x v="3"/>
          </reference>
          <reference field="3" count="1" selected="0">
            <x v="0"/>
          </reference>
          <reference field="4" count="1" selected="0">
            <x v="3"/>
          </reference>
          <reference field="5" count="1" selected="0">
            <x v="2"/>
          </reference>
          <reference field="6" count="0"/>
          <reference field="16" count="0" selected="0"/>
        </references>
      </pivotArea>
    </format>
    <format dxfId="334">
      <pivotArea dataOnly="0" labelOnly="1" fieldPosition="0">
        <references count="7">
          <reference field="1" count="1" selected="0">
            <x v="0"/>
          </reference>
          <reference field="2" count="1" selected="0">
            <x v="3"/>
          </reference>
          <reference field="3" count="1" selected="0">
            <x v="3"/>
          </reference>
          <reference field="4" count="1" selected="0">
            <x v="3"/>
          </reference>
          <reference field="5" count="1" selected="0">
            <x v="2"/>
          </reference>
          <reference field="6" count="0"/>
          <reference field="16" count="0" selected="0"/>
        </references>
      </pivotArea>
    </format>
    <format dxfId="333">
      <pivotArea dataOnly="0" labelOnly="1" fieldPosition="0">
        <references count="7">
          <reference field="1" count="1" selected="0">
            <x v="0"/>
          </reference>
          <reference field="2" count="1" selected="0">
            <x v="3"/>
          </reference>
          <reference field="3" count="1" selected="0">
            <x v="4"/>
          </reference>
          <reference field="4" count="1" selected="0">
            <x v="3"/>
          </reference>
          <reference field="5" count="1" selected="0">
            <x v="2"/>
          </reference>
          <reference field="6" count="0"/>
          <reference field="16" count="0" selected="0"/>
        </references>
      </pivotArea>
    </format>
    <format dxfId="332">
      <pivotArea dataOnly="0" labelOnly="1" fieldPosition="0">
        <references count="7">
          <reference field="1" count="1" selected="0">
            <x v="0"/>
          </reference>
          <reference field="2" count="1" selected="0">
            <x v="3"/>
          </reference>
          <reference field="3" count="1" selected="0">
            <x v="5"/>
          </reference>
          <reference field="4" count="1" selected="0">
            <x v="4"/>
          </reference>
          <reference field="5" count="1" selected="0">
            <x v="2"/>
          </reference>
          <reference field="6" count="0"/>
          <reference field="16" count="0" selected="0"/>
        </references>
      </pivotArea>
    </format>
    <format dxfId="331">
      <pivotArea dataOnly="0" labelOnly="1" fieldPosition="0">
        <references count="7">
          <reference field="1" count="1" selected="0">
            <x v="1"/>
          </reference>
          <reference field="2" count="1" selected="0">
            <x v="1"/>
          </reference>
          <reference field="3" count="1" selected="0">
            <x v="5"/>
          </reference>
          <reference field="4" count="1" selected="0">
            <x v="4"/>
          </reference>
          <reference field="5" count="1" selected="0">
            <x v="2"/>
          </reference>
          <reference field="6" count="0"/>
          <reference field="16" count="0" selected="0"/>
        </references>
      </pivotArea>
    </format>
    <format dxfId="330">
      <pivotArea dataOnly="0" labelOnly="1" fieldPosition="0">
        <references count="7">
          <reference field="1" count="1" selected="0">
            <x v="1"/>
          </reference>
          <reference field="2" count="1" selected="0">
            <x v="2"/>
          </reference>
          <reference field="3" count="1" selected="0">
            <x v="5"/>
          </reference>
          <reference field="4" count="1" selected="0">
            <x v="4"/>
          </reference>
          <reference field="5" count="1" selected="0">
            <x v="2"/>
          </reference>
          <reference field="6" count="0"/>
          <reference field="16" count="0" selected="0"/>
        </references>
      </pivotArea>
    </format>
    <format dxfId="329">
      <pivotArea dataOnly="0" labelOnly="1" fieldPosition="0">
        <references count="7">
          <reference field="1" count="1" selected="0">
            <x v="1"/>
          </reference>
          <reference field="2" count="1" selected="0">
            <x v="2"/>
          </reference>
          <reference field="3" count="1" selected="0">
            <x v="5"/>
          </reference>
          <reference field="4" count="1" selected="0">
            <x v="5"/>
          </reference>
          <reference field="5" count="1" selected="0">
            <x v="2"/>
          </reference>
          <reference field="6" count="0"/>
          <reference field="16" count="0" selected="0"/>
        </references>
      </pivotArea>
    </format>
    <format dxfId="328">
      <pivotArea dataOnly="0" labelOnly="1" fieldPosition="0">
        <references count="7">
          <reference field="1" count="1" selected="0">
            <x v="1"/>
          </reference>
          <reference field="2" count="1" selected="0">
            <x v="2"/>
          </reference>
          <reference field="3" count="1" selected="0">
            <x v="5"/>
          </reference>
          <reference field="4" count="1" selected="0">
            <x v="6"/>
          </reference>
          <reference field="5" count="1" selected="0">
            <x v="2"/>
          </reference>
          <reference field="6" count="0"/>
          <reference field="16" count="0" selected="0"/>
        </references>
      </pivotArea>
    </format>
    <format dxfId="327">
      <pivotArea dataOnly="0" labelOnly="1" fieldPosition="0">
        <references count="7">
          <reference field="1" count="1" selected="0">
            <x v="1"/>
          </reference>
          <reference field="2" count="1" selected="0">
            <x v="2"/>
          </reference>
          <reference field="3" count="1" selected="0">
            <x v="5"/>
          </reference>
          <reference field="4" count="1" selected="0">
            <x v="7"/>
          </reference>
          <reference field="5" count="1" selected="0">
            <x v="2"/>
          </reference>
          <reference field="6" count="0"/>
          <reference field="16" count="0" selected="0"/>
        </references>
      </pivotArea>
    </format>
    <format dxfId="326">
      <pivotArea dataOnly="0" labelOnly="1" fieldPosition="0">
        <references count="7">
          <reference field="1" count="1" selected="0">
            <x v="1"/>
          </reference>
          <reference field="2" count="1" selected="0">
            <x v="2"/>
          </reference>
          <reference field="3" count="1" selected="0">
            <x v="5"/>
          </reference>
          <reference field="4" count="1" selected="0">
            <x v="8"/>
          </reference>
          <reference field="5" count="1" selected="0">
            <x v="2"/>
          </reference>
          <reference field="6" count="0"/>
          <reference field="16" count="0" selected="0"/>
        </references>
      </pivotArea>
    </format>
    <format dxfId="325">
      <pivotArea dataOnly="0" labelOnly="1" fieldPosition="0">
        <references count="7">
          <reference field="1" count="1" selected="0">
            <x v="2"/>
          </reference>
          <reference field="2" count="1" selected="0">
            <x v="2"/>
          </reference>
          <reference field="3" count="1" selected="0">
            <x v="6"/>
          </reference>
          <reference field="4" count="1" selected="0">
            <x v="1"/>
          </reference>
          <reference field="5" count="1" selected="0">
            <x v="0"/>
          </reference>
          <reference field="6" count="0"/>
          <reference field="16" count="0" selected="0"/>
        </references>
      </pivotArea>
    </format>
    <format dxfId="324">
      <pivotArea dataOnly="0" labelOnly="1" fieldPosition="0">
        <references count="7">
          <reference field="1" count="1" selected="0">
            <x v="2"/>
          </reference>
          <reference field="2" count="1" selected="0">
            <x v="2"/>
          </reference>
          <reference field="3" count="1" selected="0">
            <x v="6"/>
          </reference>
          <reference field="4" count="1" selected="0">
            <x v="1"/>
          </reference>
          <reference field="5" count="1" selected="0">
            <x v="1"/>
          </reference>
          <reference field="6" count="0"/>
          <reference field="16" count="0" selected="0"/>
        </references>
      </pivotArea>
    </format>
    <format dxfId="323">
      <pivotArea dataOnly="0" labelOnly="1" fieldPosition="0">
        <references count="7">
          <reference field="1" count="1" selected="0">
            <x v="2"/>
          </reference>
          <reference field="2" count="1" selected="0">
            <x v="2"/>
          </reference>
          <reference field="3" count="1" selected="0">
            <x v="6"/>
          </reference>
          <reference field="4" count="1" selected="0">
            <x v="3"/>
          </reference>
          <reference field="5" count="1" selected="0">
            <x v="2"/>
          </reference>
          <reference field="6" count="0"/>
          <reference field="16" count="0" selected="0"/>
        </references>
      </pivotArea>
    </format>
    <format dxfId="322">
      <pivotArea dataOnly="0" labelOnly="1" fieldPosition="0">
        <references count="7">
          <reference field="1" count="1" selected="0">
            <x v="3"/>
          </reference>
          <reference field="2" count="1" selected="0">
            <x v="2"/>
          </reference>
          <reference field="3" count="1" selected="0">
            <x v="0"/>
          </reference>
          <reference field="4" count="1" selected="0">
            <x v="3"/>
          </reference>
          <reference field="5" count="1" selected="0">
            <x v="2"/>
          </reference>
          <reference field="6" count="0"/>
          <reference field="16" count="0" selected="0"/>
        </references>
      </pivotArea>
    </format>
    <format dxfId="321">
      <pivotArea dataOnly="0" labelOnly="1" fieldPosition="0">
        <references count="7">
          <reference field="1" count="1" selected="0">
            <x v="3"/>
          </reference>
          <reference field="2" count="1" selected="0">
            <x v="2"/>
          </reference>
          <reference field="3" count="1" selected="0">
            <x v="1"/>
          </reference>
          <reference field="4" count="1" selected="0">
            <x v="3"/>
          </reference>
          <reference field="5" count="1" selected="0">
            <x v="2"/>
          </reference>
          <reference field="6" count="0"/>
          <reference field="16" count="0" selected="0"/>
        </references>
      </pivotArea>
    </format>
    <format dxfId="320">
      <pivotArea dataOnly="0" labelOnly="1" fieldPosition="0">
        <references count="7">
          <reference field="1" count="1" selected="0">
            <x v="3"/>
          </reference>
          <reference field="2" count="1" selected="0">
            <x v="2"/>
          </reference>
          <reference field="3" count="1" selected="0">
            <x v="3"/>
          </reference>
          <reference field="4" count="1" selected="0">
            <x v="3"/>
          </reference>
          <reference field="5" count="1" selected="0">
            <x v="2"/>
          </reference>
          <reference field="6" count="0"/>
          <reference field="16" count="0" selected="0"/>
        </references>
      </pivotArea>
    </format>
    <format dxfId="319">
      <pivotArea dataOnly="0" labelOnly="1" fieldPosition="0">
        <references count="7">
          <reference field="1" count="1" selected="0">
            <x v="3"/>
          </reference>
          <reference field="2" count="1" selected="0">
            <x v="2"/>
          </reference>
          <reference field="3" count="1" selected="0">
            <x v="4"/>
          </reference>
          <reference field="4" count="1" selected="0">
            <x v="3"/>
          </reference>
          <reference field="5" count="1" selected="0">
            <x v="2"/>
          </reference>
          <reference field="6" count="0"/>
          <reference field="16" count="0" selected="0"/>
        </references>
      </pivotArea>
    </format>
    <format dxfId="318">
      <pivotArea dataOnly="0" labelOnly="1" fieldPosition="0">
        <references count="7">
          <reference field="1" count="1" selected="0">
            <x v="3"/>
          </reference>
          <reference field="2" count="1" selected="0">
            <x v="2"/>
          </reference>
          <reference field="3" count="1" selected="0">
            <x v="7"/>
          </reference>
          <reference field="4" count="1" selected="0">
            <x v="0"/>
          </reference>
          <reference field="5" count="1" selected="0">
            <x v="2"/>
          </reference>
          <reference field="6" count="0"/>
          <reference field="16" count="0" selected="0"/>
        </references>
      </pivotArea>
    </format>
    <format dxfId="317">
      <pivotArea dataOnly="0" labelOnly="1" fieldPosition="0">
        <references count="7">
          <reference field="1" count="1" selected="0">
            <x v="4"/>
          </reference>
          <reference field="2" count="1" selected="0">
            <x v="2"/>
          </reference>
          <reference field="3" count="1" selected="0">
            <x v="2"/>
          </reference>
          <reference field="4" count="1" selected="0">
            <x v="2"/>
          </reference>
          <reference field="5" count="1" selected="0">
            <x v="2"/>
          </reference>
          <reference field="6" count="0"/>
          <reference field="16" count="0" selected="0"/>
        </references>
      </pivotArea>
    </format>
    <format dxfId="316">
      <pivotArea dataOnly="0" labelOnly="1" fieldPosition="0">
        <references count="8">
          <reference field="1" count="1" selected="0">
            <x v="0"/>
          </reference>
          <reference field="2" count="1" selected="0">
            <x v="0"/>
          </reference>
          <reference field="3" count="1" selected="0">
            <x v="3"/>
          </reference>
          <reference field="4" count="1" selected="0">
            <x v="3"/>
          </reference>
          <reference field="5" count="1" selected="0">
            <x v="2"/>
          </reference>
          <reference field="6" count="0" selected="0"/>
          <reference field="7" count="2">
            <x v="0"/>
            <x v="3"/>
          </reference>
          <reference field="16" count="0" selected="0"/>
        </references>
      </pivotArea>
    </format>
    <format dxfId="315">
      <pivotArea dataOnly="0" labelOnly="1" fieldPosition="0">
        <references count="8">
          <reference field="1" count="1" selected="0">
            <x v="0"/>
          </reference>
          <reference field="2" count="1" selected="0">
            <x v="3"/>
          </reference>
          <reference field="3" count="1" selected="0">
            <x v="0"/>
          </reference>
          <reference field="4" count="1" selected="0">
            <x v="3"/>
          </reference>
          <reference field="5" count="1" selected="0">
            <x v="2"/>
          </reference>
          <reference field="6" count="0" selected="0"/>
          <reference field="7" count="3">
            <x v="0"/>
            <x v="2"/>
            <x v="3"/>
          </reference>
          <reference field="16" count="0" selected="0"/>
        </references>
      </pivotArea>
    </format>
    <format dxfId="314">
      <pivotArea dataOnly="0" labelOnly="1" fieldPosition="0">
        <references count="8">
          <reference field="1" count="1" selected="0">
            <x v="0"/>
          </reference>
          <reference field="2" count="1" selected="0">
            <x v="3"/>
          </reference>
          <reference field="3" count="1" selected="0">
            <x v="3"/>
          </reference>
          <reference field="4" count="1" selected="0">
            <x v="3"/>
          </reference>
          <reference field="5" count="1" selected="0">
            <x v="2"/>
          </reference>
          <reference field="6" count="0" selected="0"/>
          <reference field="7" count="3">
            <x v="0"/>
            <x v="2"/>
            <x v="3"/>
          </reference>
          <reference field="16" count="0" selected="0"/>
        </references>
      </pivotArea>
    </format>
    <format dxfId="313">
      <pivotArea dataOnly="0" labelOnly="1" fieldPosition="0">
        <references count="8">
          <reference field="1" count="1" selected="0">
            <x v="0"/>
          </reference>
          <reference field="2" count="1" selected="0">
            <x v="3"/>
          </reference>
          <reference field="3" count="1" selected="0">
            <x v="4"/>
          </reference>
          <reference field="4" count="1" selected="0">
            <x v="3"/>
          </reference>
          <reference field="5" count="1" selected="0">
            <x v="2"/>
          </reference>
          <reference field="6" count="0" selected="0"/>
          <reference field="7" count="3">
            <x v="0"/>
            <x v="2"/>
            <x v="3"/>
          </reference>
          <reference field="16" count="0" selected="0"/>
        </references>
      </pivotArea>
    </format>
    <format dxfId="312">
      <pivotArea dataOnly="0" labelOnly="1" fieldPosition="0">
        <references count="8">
          <reference field="1" count="1" selected="0">
            <x v="0"/>
          </reference>
          <reference field="2" count="1" selected="0">
            <x v="3"/>
          </reference>
          <reference field="3" count="1" selected="0">
            <x v="5"/>
          </reference>
          <reference field="4" count="1" selected="0">
            <x v="4"/>
          </reference>
          <reference field="5" count="1" selected="0">
            <x v="2"/>
          </reference>
          <reference field="6" count="0" selected="0"/>
          <reference field="7" count="3">
            <x v="0"/>
            <x v="2"/>
            <x v="3"/>
          </reference>
          <reference field="16" count="0" selected="0"/>
        </references>
      </pivotArea>
    </format>
    <format dxfId="311">
      <pivotArea dataOnly="0" labelOnly="1" fieldPosition="0">
        <references count="8">
          <reference field="1" count="1" selected="0">
            <x v="1"/>
          </reference>
          <reference field="2" count="1" selected="0">
            <x v="1"/>
          </reference>
          <reference field="3" count="1" selected="0">
            <x v="5"/>
          </reference>
          <reference field="4" count="1" selected="0">
            <x v="4"/>
          </reference>
          <reference field="5" count="1" selected="0">
            <x v="2"/>
          </reference>
          <reference field="6" count="0" selected="0"/>
          <reference field="7" count="3">
            <x v="0"/>
            <x v="1"/>
            <x v="3"/>
          </reference>
          <reference field="16" count="0" selected="0"/>
        </references>
      </pivotArea>
    </format>
    <format dxfId="310">
      <pivotArea dataOnly="0" labelOnly="1" fieldPosition="0">
        <references count="8">
          <reference field="1" count="1" selected="0">
            <x v="1"/>
          </reference>
          <reference field="2" count="1" selected="0">
            <x v="2"/>
          </reference>
          <reference field="3" count="1" selected="0">
            <x v="5"/>
          </reference>
          <reference field="4" count="1" selected="0">
            <x v="4"/>
          </reference>
          <reference field="5" count="1" selected="0">
            <x v="2"/>
          </reference>
          <reference field="6" count="0" selected="0"/>
          <reference field="7" count="1">
            <x v="2"/>
          </reference>
          <reference field="16" count="0" selected="0"/>
        </references>
      </pivotArea>
    </format>
    <format dxfId="309">
      <pivotArea dataOnly="0" labelOnly="1" fieldPosition="0">
        <references count="8">
          <reference field="1" count="1" selected="0">
            <x v="1"/>
          </reference>
          <reference field="2" count="1" selected="0">
            <x v="2"/>
          </reference>
          <reference field="3" count="1" selected="0">
            <x v="5"/>
          </reference>
          <reference field="4" count="1" selected="0">
            <x v="5"/>
          </reference>
          <reference field="5" count="1" selected="0">
            <x v="2"/>
          </reference>
          <reference field="6" count="0" selected="0"/>
          <reference field="7" count="1">
            <x v="2"/>
          </reference>
          <reference field="16" count="0" selected="0"/>
        </references>
      </pivotArea>
    </format>
    <format dxfId="308">
      <pivotArea dataOnly="0" labelOnly="1" fieldPosition="0">
        <references count="8">
          <reference field="1" count="1" selected="0">
            <x v="1"/>
          </reference>
          <reference field="2" count="1" selected="0">
            <x v="2"/>
          </reference>
          <reference field="3" count="1" selected="0">
            <x v="5"/>
          </reference>
          <reference field="4" count="1" selected="0">
            <x v="6"/>
          </reference>
          <reference field="5" count="1" selected="0">
            <x v="2"/>
          </reference>
          <reference field="6" count="0" selected="0"/>
          <reference field="7" count="1">
            <x v="2"/>
          </reference>
          <reference field="16" count="0" selected="0"/>
        </references>
      </pivotArea>
    </format>
    <format dxfId="307">
      <pivotArea dataOnly="0" labelOnly="1" fieldPosition="0">
        <references count="8">
          <reference field="1" count="1" selected="0">
            <x v="1"/>
          </reference>
          <reference field="2" count="1" selected="0">
            <x v="2"/>
          </reference>
          <reference field="3" count="1" selected="0">
            <x v="5"/>
          </reference>
          <reference field="4" count="1" selected="0">
            <x v="7"/>
          </reference>
          <reference field="5" count="1" selected="0">
            <x v="2"/>
          </reference>
          <reference field="6" count="0" selected="0"/>
          <reference field="7" count="1">
            <x v="2"/>
          </reference>
          <reference field="16" count="0" selected="0"/>
        </references>
      </pivotArea>
    </format>
    <format dxfId="306">
      <pivotArea dataOnly="0" labelOnly="1" fieldPosition="0">
        <references count="8">
          <reference field="1" count="1" selected="0">
            <x v="1"/>
          </reference>
          <reference field="2" count="1" selected="0">
            <x v="2"/>
          </reference>
          <reference field="3" count="1" selected="0">
            <x v="5"/>
          </reference>
          <reference field="4" count="1" selected="0">
            <x v="8"/>
          </reference>
          <reference field="5" count="1" selected="0">
            <x v="2"/>
          </reference>
          <reference field="6" count="0" selected="0"/>
          <reference field="7" count="1">
            <x v="2"/>
          </reference>
          <reference field="16" count="0" selected="0"/>
        </references>
      </pivotArea>
    </format>
    <format dxfId="305">
      <pivotArea dataOnly="0" labelOnly="1" fieldPosition="0">
        <references count="8">
          <reference field="1" count="1" selected="0">
            <x v="2"/>
          </reference>
          <reference field="2" count="1" selected="0">
            <x v="2"/>
          </reference>
          <reference field="3" count="1" selected="0">
            <x v="6"/>
          </reference>
          <reference field="4" count="1" selected="0">
            <x v="1"/>
          </reference>
          <reference field="5" count="1" selected="0">
            <x v="0"/>
          </reference>
          <reference field="6" count="0" selected="0"/>
          <reference field="7" count="1">
            <x v="2"/>
          </reference>
          <reference field="16" count="0" selected="0"/>
        </references>
      </pivotArea>
    </format>
    <format dxfId="304">
      <pivotArea dataOnly="0" labelOnly="1" fieldPosition="0">
        <references count="8">
          <reference field="1" count="1" selected="0">
            <x v="2"/>
          </reference>
          <reference field="2" count="1" selected="0">
            <x v="2"/>
          </reference>
          <reference field="3" count="1" selected="0">
            <x v="6"/>
          </reference>
          <reference field="4" count="1" selected="0">
            <x v="1"/>
          </reference>
          <reference field="5" count="1" selected="0">
            <x v="1"/>
          </reference>
          <reference field="6" count="0" selected="0"/>
          <reference field="7" count="1">
            <x v="2"/>
          </reference>
          <reference field="16" count="0" selected="0"/>
        </references>
      </pivotArea>
    </format>
    <format dxfId="303">
      <pivotArea dataOnly="0" labelOnly="1" fieldPosition="0">
        <references count="8">
          <reference field="1" count="1" selected="0">
            <x v="2"/>
          </reference>
          <reference field="2" count="1" selected="0">
            <x v="2"/>
          </reference>
          <reference field="3" count="1" selected="0">
            <x v="6"/>
          </reference>
          <reference field="4" count="1" selected="0">
            <x v="3"/>
          </reference>
          <reference field="5" count="1" selected="0">
            <x v="2"/>
          </reference>
          <reference field="6" count="0" selected="0"/>
          <reference field="7" count="1">
            <x v="2"/>
          </reference>
          <reference field="16" count="0" selected="0"/>
        </references>
      </pivotArea>
    </format>
    <format dxfId="302">
      <pivotArea dataOnly="0" labelOnly="1" fieldPosition="0">
        <references count="8">
          <reference field="1" count="1" selected="0">
            <x v="3"/>
          </reference>
          <reference field="2" count="1" selected="0">
            <x v="2"/>
          </reference>
          <reference field="3" count="1" selected="0">
            <x v="0"/>
          </reference>
          <reference field="4" count="1" selected="0">
            <x v="3"/>
          </reference>
          <reference field="5" count="1" selected="0">
            <x v="2"/>
          </reference>
          <reference field="6" count="0" selected="0"/>
          <reference field="7" count="1">
            <x v="2"/>
          </reference>
          <reference field="16" count="0" selected="0"/>
        </references>
      </pivotArea>
    </format>
    <format dxfId="301">
      <pivotArea dataOnly="0" labelOnly="1" fieldPosition="0">
        <references count="8">
          <reference field="1" count="1" selected="0">
            <x v="3"/>
          </reference>
          <reference field="2" count="1" selected="0">
            <x v="2"/>
          </reference>
          <reference field="3" count="1" selected="0">
            <x v="1"/>
          </reference>
          <reference field="4" count="1" selected="0">
            <x v="3"/>
          </reference>
          <reference field="5" count="1" selected="0">
            <x v="2"/>
          </reference>
          <reference field="6" count="0" selected="0"/>
          <reference field="7" count="1">
            <x v="2"/>
          </reference>
          <reference field="16" count="0" selected="0"/>
        </references>
      </pivotArea>
    </format>
    <format dxfId="300">
      <pivotArea dataOnly="0" labelOnly="1" fieldPosition="0">
        <references count="8">
          <reference field="1" count="1" selected="0">
            <x v="3"/>
          </reference>
          <reference field="2" count="1" selected="0">
            <x v="2"/>
          </reference>
          <reference field="3" count="1" selected="0">
            <x v="3"/>
          </reference>
          <reference field="4" count="1" selected="0">
            <x v="3"/>
          </reference>
          <reference field="5" count="1" selected="0">
            <x v="2"/>
          </reference>
          <reference field="6" count="0" selected="0"/>
          <reference field="7" count="1">
            <x v="2"/>
          </reference>
          <reference field="16" count="0" selected="0"/>
        </references>
      </pivotArea>
    </format>
    <format dxfId="299">
      <pivotArea dataOnly="0" labelOnly="1" fieldPosition="0">
        <references count="8">
          <reference field="1" count="1" selected="0">
            <x v="3"/>
          </reference>
          <reference field="2" count="1" selected="0">
            <x v="2"/>
          </reference>
          <reference field="3" count="1" selected="0">
            <x v="4"/>
          </reference>
          <reference field="4" count="1" selected="0">
            <x v="3"/>
          </reference>
          <reference field="5" count="1" selected="0">
            <x v="2"/>
          </reference>
          <reference field="6" count="0" selected="0"/>
          <reference field="7" count="1">
            <x v="2"/>
          </reference>
          <reference field="16" count="0" selected="0"/>
        </references>
      </pivotArea>
    </format>
    <format dxfId="298">
      <pivotArea dataOnly="0" labelOnly="1" fieldPosition="0">
        <references count="8">
          <reference field="1" count="1" selected="0">
            <x v="3"/>
          </reference>
          <reference field="2" count="1" selected="0">
            <x v="2"/>
          </reference>
          <reference field="3" count="1" selected="0">
            <x v="7"/>
          </reference>
          <reference field="4" count="1" selected="0">
            <x v="0"/>
          </reference>
          <reference field="5" count="1" selected="0">
            <x v="2"/>
          </reference>
          <reference field="6" count="0" selected="0"/>
          <reference field="7" count="1">
            <x v="2"/>
          </reference>
          <reference field="16" count="0" selected="0"/>
        </references>
      </pivotArea>
    </format>
    <format dxfId="297">
      <pivotArea dataOnly="0" labelOnly="1" fieldPosition="0">
        <references count="8">
          <reference field="1" count="1" selected="0">
            <x v="4"/>
          </reference>
          <reference field="2" count="1" selected="0">
            <x v="2"/>
          </reference>
          <reference field="3" count="1" selected="0">
            <x v="2"/>
          </reference>
          <reference field="4" count="1" selected="0">
            <x v="2"/>
          </reference>
          <reference field="5" count="1" selected="0">
            <x v="2"/>
          </reference>
          <reference field="6" count="0" selected="0"/>
          <reference field="7" count="1">
            <x v="2"/>
          </reference>
          <reference field="16" count="0" selected="0"/>
        </references>
      </pivotArea>
    </format>
    <format dxfId="296">
      <pivotArea dataOnly="0" labelOnly="1" fieldPosition="0">
        <references count="9">
          <reference field="1" count="1" selected="0">
            <x v="0"/>
          </reference>
          <reference field="2" count="1" selected="0">
            <x v="0"/>
          </reference>
          <reference field="3" count="1" selected="0">
            <x v="3"/>
          </reference>
          <reference field="4" count="1" selected="0">
            <x v="3"/>
          </reference>
          <reference field="5" count="1" selected="0">
            <x v="2"/>
          </reference>
          <reference field="6" count="0" selected="0"/>
          <reference field="7" count="1" selected="0">
            <x v="0"/>
          </reference>
          <reference field="8" count="0"/>
          <reference field="16" count="0" selected="0"/>
        </references>
      </pivotArea>
    </format>
    <format dxfId="295">
      <pivotArea dataOnly="0" labelOnly="1" fieldPosition="0">
        <references count="9">
          <reference field="1" count="1" selected="0">
            <x v="0"/>
          </reference>
          <reference field="2" count="1" selected="0">
            <x v="0"/>
          </reference>
          <reference field="3" count="1" selected="0">
            <x v="3"/>
          </reference>
          <reference field="4" count="1" selected="0">
            <x v="3"/>
          </reference>
          <reference field="5" count="1" selected="0">
            <x v="2"/>
          </reference>
          <reference field="6" count="0" selected="0"/>
          <reference field="7" count="1" selected="0">
            <x v="3"/>
          </reference>
          <reference field="8" count="0"/>
          <reference field="16" count="0" selected="0"/>
        </references>
      </pivotArea>
    </format>
    <format dxfId="294">
      <pivotArea dataOnly="0" labelOnly="1" fieldPosition="0">
        <references count="9">
          <reference field="1" count="1" selected="0">
            <x v="0"/>
          </reference>
          <reference field="2" count="1" selected="0">
            <x v="3"/>
          </reference>
          <reference field="3" count="1" selected="0">
            <x v="0"/>
          </reference>
          <reference field="4" count="1" selected="0">
            <x v="3"/>
          </reference>
          <reference field="5" count="1" selected="0">
            <x v="2"/>
          </reference>
          <reference field="6" count="0" selected="0"/>
          <reference field="7" count="1" selected="0">
            <x v="0"/>
          </reference>
          <reference field="8" count="0"/>
          <reference field="16" count="0" selected="0"/>
        </references>
      </pivotArea>
    </format>
    <format dxfId="293">
      <pivotArea dataOnly="0" labelOnly="1" fieldPosition="0">
        <references count="9">
          <reference field="1" count="1" selected="0">
            <x v="0"/>
          </reference>
          <reference field="2" count="1" selected="0">
            <x v="3"/>
          </reference>
          <reference field="3" count="1" selected="0">
            <x v="0"/>
          </reference>
          <reference field="4" count="1" selected="0">
            <x v="3"/>
          </reference>
          <reference field="5" count="1" selected="0">
            <x v="2"/>
          </reference>
          <reference field="6" count="0" selected="0"/>
          <reference field="7" count="1" selected="0">
            <x v="2"/>
          </reference>
          <reference field="8" count="0"/>
          <reference field="16" count="0" selected="0"/>
        </references>
      </pivotArea>
    </format>
    <format dxfId="292">
      <pivotArea dataOnly="0" labelOnly="1" fieldPosition="0">
        <references count="9">
          <reference field="1" count="1" selected="0">
            <x v="0"/>
          </reference>
          <reference field="2" count="1" selected="0">
            <x v="3"/>
          </reference>
          <reference field="3" count="1" selected="0">
            <x v="0"/>
          </reference>
          <reference field="4" count="1" selected="0">
            <x v="3"/>
          </reference>
          <reference field="5" count="1" selected="0">
            <x v="2"/>
          </reference>
          <reference field="6" count="0" selected="0"/>
          <reference field="7" count="1" selected="0">
            <x v="3"/>
          </reference>
          <reference field="8" count="0"/>
          <reference field="16" count="0" selected="0"/>
        </references>
      </pivotArea>
    </format>
    <format dxfId="291">
      <pivotArea dataOnly="0" labelOnly="1" fieldPosition="0">
        <references count="9">
          <reference field="1" count="1" selected="0">
            <x v="0"/>
          </reference>
          <reference field="2" count="1" selected="0">
            <x v="3"/>
          </reference>
          <reference field="3" count="1" selected="0">
            <x v="3"/>
          </reference>
          <reference field="4" count="1" selected="0">
            <x v="3"/>
          </reference>
          <reference field="5" count="1" selected="0">
            <x v="2"/>
          </reference>
          <reference field="6" count="0" selected="0"/>
          <reference field="7" count="1" selected="0">
            <x v="0"/>
          </reference>
          <reference field="8" count="0"/>
          <reference field="16" count="0" selected="0"/>
        </references>
      </pivotArea>
    </format>
    <format dxfId="290">
      <pivotArea dataOnly="0" labelOnly="1" fieldPosition="0">
        <references count="9">
          <reference field="1" count="1" selected="0">
            <x v="0"/>
          </reference>
          <reference field="2" count="1" selected="0">
            <x v="3"/>
          </reference>
          <reference field="3" count="1" selected="0">
            <x v="3"/>
          </reference>
          <reference field="4" count="1" selected="0">
            <x v="3"/>
          </reference>
          <reference field="5" count="1" selected="0">
            <x v="2"/>
          </reference>
          <reference field="6" count="0" selected="0"/>
          <reference field="7" count="1" selected="0">
            <x v="2"/>
          </reference>
          <reference field="8" count="0"/>
          <reference field="16" count="0" selected="0"/>
        </references>
      </pivotArea>
    </format>
    <format dxfId="289">
      <pivotArea dataOnly="0" labelOnly="1" fieldPosition="0">
        <references count="9">
          <reference field="1" count="1" selected="0">
            <x v="0"/>
          </reference>
          <reference field="2" count="1" selected="0">
            <x v="3"/>
          </reference>
          <reference field="3" count="1" selected="0">
            <x v="3"/>
          </reference>
          <reference field="4" count="1" selected="0">
            <x v="3"/>
          </reference>
          <reference field="5" count="1" selected="0">
            <x v="2"/>
          </reference>
          <reference field="6" count="0" selected="0"/>
          <reference field="7" count="1" selected="0">
            <x v="3"/>
          </reference>
          <reference field="8" count="0"/>
          <reference field="16" count="0" selected="0"/>
        </references>
      </pivotArea>
    </format>
    <format dxfId="288">
      <pivotArea dataOnly="0" labelOnly="1" fieldPosition="0">
        <references count="9">
          <reference field="1" count="1" selected="0">
            <x v="0"/>
          </reference>
          <reference field="2" count="1" selected="0">
            <x v="3"/>
          </reference>
          <reference field="3" count="1" selected="0">
            <x v="4"/>
          </reference>
          <reference field="4" count="1" selected="0">
            <x v="3"/>
          </reference>
          <reference field="5" count="1" selected="0">
            <x v="2"/>
          </reference>
          <reference field="6" count="0" selected="0"/>
          <reference field="7" count="1" selected="0">
            <x v="0"/>
          </reference>
          <reference field="8" count="0"/>
          <reference field="16" count="0" selected="0"/>
        </references>
      </pivotArea>
    </format>
    <format dxfId="287">
      <pivotArea dataOnly="0" labelOnly="1" fieldPosition="0">
        <references count="9">
          <reference field="1" count="1" selected="0">
            <x v="0"/>
          </reference>
          <reference field="2" count="1" selected="0">
            <x v="3"/>
          </reference>
          <reference field="3" count="1" selected="0">
            <x v="4"/>
          </reference>
          <reference field="4" count="1" selected="0">
            <x v="3"/>
          </reference>
          <reference field="5" count="1" selected="0">
            <x v="2"/>
          </reference>
          <reference field="6" count="0" selected="0"/>
          <reference field="7" count="1" selected="0">
            <x v="2"/>
          </reference>
          <reference field="8" count="0"/>
          <reference field="16" count="0" selected="0"/>
        </references>
      </pivotArea>
    </format>
    <format dxfId="286">
      <pivotArea dataOnly="0" labelOnly="1" fieldPosition="0">
        <references count="9">
          <reference field="1" count="1" selected="0">
            <x v="0"/>
          </reference>
          <reference field="2" count="1" selected="0">
            <x v="3"/>
          </reference>
          <reference field="3" count="1" selected="0">
            <x v="4"/>
          </reference>
          <reference field="4" count="1" selected="0">
            <x v="3"/>
          </reference>
          <reference field="5" count="1" selected="0">
            <x v="2"/>
          </reference>
          <reference field="6" count="0" selected="0"/>
          <reference field="7" count="1" selected="0">
            <x v="3"/>
          </reference>
          <reference field="8" count="0"/>
          <reference field="16" count="0" selected="0"/>
        </references>
      </pivotArea>
    </format>
    <format dxfId="285">
      <pivotArea dataOnly="0" labelOnly="1" fieldPosition="0">
        <references count="9">
          <reference field="1" count="1" selected="0">
            <x v="0"/>
          </reference>
          <reference field="2" count="1" selected="0">
            <x v="3"/>
          </reference>
          <reference field="3" count="1" selected="0">
            <x v="5"/>
          </reference>
          <reference field="4" count="1" selected="0">
            <x v="4"/>
          </reference>
          <reference field="5" count="1" selected="0">
            <x v="2"/>
          </reference>
          <reference field="6" count="0" selected="0"/>
          <reference field="7" count="1" selected="0">
            <x v="0"/>
          </reference>
          <reference field="8" count="0"/>
          <reference field="16" count="0" selected="0"/>
        </references>
      </pivotArea>
    </format>
    <format dxfId="284">
      <pivotArea dataOnly="0" labelOnly="1" fieldPosition="0">
        <references count="9">
          <reference field="1" count="1" selected="0">
            <x v="0"/>
          </reference>
          <reference field="2" count="1" selected="0">
            <x v="3"/>
          </reference>
          <reference field="3" count="1" selected="0">
            <x v="5"/>
          </reference>
          <reference field="4" count="1" selected="0">
            <x v="4"/>
          </reference>
          <reference field="5" count="1" selected="0">
            <x v="2"/>
          </reference>
          <reference field="6" count="0" selected="0"/>
          <reference field="7" count="1" selected="0">
            <x v="2"/>
          </reference>
          <reference field="8" count="0"/>
          <reference field="16" count="0" selected="0"/>
        </references>
      </pivotArea>
    </format>
    <format dxfId="283">
      <pivotArea dataOnly="0" labelOnly="1" fieldPosition="0">
        <references count="9">
          <reference field="1" count="1" selected="0">
            <x v="0"/>
          </reference>
          <reference field="2" count="1" selected="0">
            <x v="3"/>
          </reference>
          <reference field="3" count="1" selected="0">
            <x v="5"/>
          </reference>
          <reference field="4" count="1" selected="0">
            <x v="4"/>
          </reference>
          <reference field="5" count="1" selected="0">
            <x v="2"/>
          </reference>
          <reference field="6" count="0" selected="0"/>
          <reference field="7" count="1" selected="0">
            <x v="3"/>
          </reference>
          <reference field="8" count="0"/>
          <reference field="16" count="0" selected="0"/>
        </references>
      </pivotArea>
    </format>
    <format dxfId="282">
      <pivotArea dataOnly="0" labelOnly="1" fieldPosition="0">
        <references count="9">
          <reference field="1" count="1" selected="0">
            <x v="1"/>
          </reference>
          <reference field="2" count="1" selected="0">
            <x v="1"/>
          </reference>
          <reference field="3" count="1" selected="0">
            <x v="5"/>
          </reference>
          <reference field="4" count="1" selected="0">
            <x v="4"/>
          </reference>
          <reference field="5" count="1" selected="0">
            <x v="2"/>
          </reference>
          <reference field="6" count="0" selected="0"/>
          <reference field="7" count="1" selected="0">
            <x v="0"/>
          </reference>
          <reference field="8" count="0"/>
          <reference field="16" count="0" selected="0"/>
        </references>
      </pivotArea>
    </format>
    <format dxfId="281">
      <pivotArea dataOnly="0" labelOnly="1" fieldPosition="0">
        <references count="9">
          <reference field="1" count="1" selected="0">
            <x v="1"/>
          </reference>
          <reference field="2" count="1" selected="0">
            <x v="1"/>
          </reference>
          <reference field="3" count="1" selected="0">
            <x v="5"/>
          </reference>
          <reference field="4" count="1" selected="0">
            <x v="4"/>
          </reference>
          <reference field="5" count="1" selected="0">
            <x v="2"/>
          </reference>
          <reference field="6" count="0" selected="0"/>
          <reference field="7" count="1" selected="0">
            <x v="1"/>
          </reference>
          <reference field="8" count="0"/>
          <reference field="16" count="0" selected="0"/>
        </references>
      </pivotArea>
    </format>
    <format dxfId="280">
      <pivotArea dataOnly="0" labelOnly="1" fieldPosition="0">
        <references count="9">
          <reference field="1" count="1" selected="0">
            <x v="1"/>
          </reference>
          <reference field="2" count="1" selected="0">
            <x v="1"/>
          </reference>
          <reference field="3" count="1" selected="0">
            <x v="5"/>
          </reference>
          <reference field="4" count="1" selected="0">
            <x v="4"/>
          </reference>
          <reference field="5" count="1" selected="0">
            <x v="2"/>
          </reference>
          <reference field="6" count="0" selected="0"/>
          <reference field="7" count="1" selected="0">
            <x v="3"/>
          </reference>
          <reference field="8" count="0"/>
          <reference field="16" count="0" selected="0"/>
        </references>
      </pivotArea>
    </format>
    <format dxfId="279">
      <pivotArea dataOnly="0" labelOnly="1" fieldPosition="0">
        <references count="9">
          <reference field="1" count="1" selected="0">
            <x v="1"/>
          </reference>
          <reference field="2" count="1" selected="0">
            <x v="2"/>
          </reference>
          <reference field="3" count="1" selected="0">
            <x v="5"/>
          </reference>
          <reference field="4" count="1" selected="0">
            <x v="4"/>
          </reference>
          <reference field="5" count="1" selected="0">
            <x v="2"/>
          </reference>
          <reference field="6" count="0" selected="0"/>
          <reference field="7" count="1" selected="0">
            <x v="2"/>
          </reference>
          <reference field="8" count="0"/>
          <reference field="16" count="0" selected="0"/>
        </references>
      </pivotArea>
    </format>
    <format dxfId="278">
      <pivotArea dataOnly="0" labelOnly="1" fieldPosition="0">
        <references count="9">
          <reference field="1" count="1" selected="0">
            <x v="1"/>
          </reference>
          <reference field="2" count="1" selected="0">
            <x v="2"/>
          </reference>
          <reference field="3" count="1" selected="0">
            <x v="5"/>
          </reference>
          <reference field="4" count="1" selected="0">
            <x v="5"/>
          </reference>
          <reference field="5" count="1" selected="0">
            <x v="2"/>
          </reference>
          <reference field="6" count="0" selected="0"/>
          <reference field="7" count="1" selected="0">
            <x v="2"/>
          </reference>
          <reference field="8" count="0"/>
          <reference field="16" count="0" selected="0"/>
        </references>
      </pivotArea>
    </format>
    <format dxfId="277">
      <pivotArea dataOnly="0" labelOnly="1" fieldPosition="0">
        <references count="9">
          <reference field="1" count="1" selected="0">
            <x v="1"/>
          </reference>
          <reference field="2" count="1" selected="0">
            <x v="2"/>
          </reference>
          <reference field="3" count="1" selected="0">
            <x v="5"/>
          </reference>
          <reference field="4" count="1" selected="0">
            <x v="6"/>
          </reference>
          <reference field="5" count="1" selected="0">
            <x v="2"/>
          </reference>
          <reference field="6" count="0" selected="0"/>
          <reference field="7" count="1" selected="0">
            <x v="2"/>
          </reference>
          <reference field="8" count="0"/>
          <reference field="16" count="0" selected="0"/>
        </references>
      </pivotArea>
    </format>
    <format dxfId="276">
      <pivotArea dataOnly="0" labelOnly="1" fieldPosition="0">
        <references count="9">
          <reference field="1" count="1" selected="0">
            <x v="1"/>
          </reference>
          <reference field="2" count="1" selected="0">
            <x v="2"/>
          </reference>
          <reference field="3" count="1" selected="0">
            <x v="5"/>
          </reference>
          <reference field="4" count="1" selected="0">
            <x v="7"/>
          </reference>
          <reference field="5" count="1" selected="0">
            <x v="2"/>
          </reference>
          <reference field="6" count="0" selected="0"/>
          <reference field="7" count="1" selected="0">
            <x v="2"/>
          </reference>
          <reference field="8" count="0"/>
          <reference field="16" count="0" selected="0"/>
        </references>
      </pivotArea>
    </format>
    <format dxfId="275">
      <pivotArea dataOnly="0" labelOnly="1" fieldPosition="0">
        <references count="9">
          <reference field="1" count="1" selected="0">
            <x v="1"/>
          </reference>
          <reference field="2" count="1" selected="0">
            <x v="2"/>
          </reference>
          <reference field="3" count="1" selected="0">
            <x v="5"/>
          </reference>
          <reference field="4" count="1" selected="0">
            <x v="8"/>
          </reference>
          <reference field="5" count="1" selected="0">
            <x v="2"/>
          </reference>
          <reference field="6" count="0" selected="0"/>
          <reference field="7" count="1" selected="0">
            <x v="2"/>
          </reference>
          <reference field="8" count="0"/>
          <reference field="16" count="0" selected="0"/>
        </references>
      </pivotArea>
    </format>
    <format dxfId="274">
      <pivotArea dataOnly="0" labelOnly="1" fieldPosition="0">
        <references count="9">
          <reference field="1" count="1" selected="0">
            <x v="2"/>
          </reference>
          <reference field="2" count="1" selected="0">
            <x v="2"/>
          </reference>
          <reference field="3" count="1" selected="0">
            <x v="6"/>
          </reference>
          <reference field="4" count="1" selected="0">
            <x v="1"/>
          </reference>
          <reference field="5" count="1" selected="0">
            <x v="0"/>
          </reference>
          <reference field="6" count="0" selected="0"/>
          <reference field="7" count="1" selected="0">
            <x v="2"/>
          </reference>
          <reference field="8" count="8">
            <x v="0"/>
            <x v="1"/>
            <x v="2"/>
            <x v="3"/>
            <x v="4"/>
            <x v="6"/>
            <x v="9"/>
            <x v="11"/>
          </reference>
          <reference field="16" count="0" selected="0"/>
        </references>
      </pivotArea>
    </format>
    <format dxfId="273">
      <pivotArea dataOnly="0" labelOnly="1" fieldPosition="0">
        <references count="9">
          <reference field="1" count="1" selected="0">
            <x v="2"/>
          </reference>
          <reference field="2" count="1" selected="0">
            <x v="2"/>
          </reference>
          <reference field="3" count="1" selected="0">
            <x v="6"/>
          </reference>
          <reference field="4" count="1" selected="0">
            <x v="1"/>
          </reference>
          <reference field="5" count="1" selected="0">
            <x v="1"/>
          </reference>
          <reference field="6" count="0" selected="0"/>
          <reference field="7" count="1" selected="0">
            <x v="2"/>
          </reference>
          <reference field="8" count="10">
            <x v="0"/>
            <x v="2"/>
            <x v="3"/>
            <x v="4"/>
            <x v="5"/>
            <x v="6"/>
            <x v="7"/>
            <x v="8"/>
            <x v="9"/>
            <x v="10"/>
          </reference>
          <reference field="16" count="0" selected="0"/>
        </references>
      </pivotArea>
    </format>
    <format dxfId="272">
      <pivotArea dataOnly="0" labelOnly="1" fieldPosition="0">
        <references count="9">
          <reference field="1" count="1" selected="0">
            <x v="2"/>
          </reference>
          <reference field="2" count="1" selected="0">
            <x v="2"/>
          </reference>
          <reference field="3" count="1" selected="0">
            <x v="6"/>
          </reference>
          <reference field="4" count="1" selected="0">
            <x v="3"/>
          </reference>
          <reference field="5" count="1" selected="0">
            <x v="2"/>
          </reference>
          <reference field="6" count="0" selected="0"/>
          <reference field="7" count="1" selected="0">
            <x v="2"/>
          </reference>
          <reference field="8" count="0"/>
          <reference field="16" count="0" selected="0"/>
        </references>
      </pivotArea>
    </format>
    <format dxfId="271">
      <pivotArea dataOnly="0" labelOnly="1" fieldPosition="0">
        <references count="9">
          <reference field="1" count="1" selected="0">
            <x v="3"/>
          </reference>
          <reference field="2" count="1" selected="0">
            <x v="2"/>
          </reference>
          <reference field="3" count="1" selected="0">
            <x v="0"/>
          </reference>
          <reference field="4" count="1" selected="0">
            <x v="3"/>
          </reference>
          <reference field="5" count="1" selected="0">
            <x v="2"/>
          </reference>
          <reference field="6" count="0" selected="0"/>
          <reference field="7" count="1" selected="0">
            <x v="2"/>
          </reference>
          <reference field="8" count="0"/>
          <reference field="16" count="0" selected="0"/>
        </references>
      </pivotArea>
    </format>
    <format dxfId="270">
      <pivotArea dataOnly="0" labelOnly="1" fieldPosition="0">
        <references count="9">
          <reference field="1" count="1" selected="0">
            <x v="3"/>
          </reference>
          <reference field="2" count="1" selected="0">
            <x v="2"/>
          </reference>
          <reference field="3" count="1" selected="0">
            <x v="1"/>
          </reference>
          <reference field="4" count="1" selected="0">
            <x v="3"/>
          </reference>
          <reference field="5" count="1" selected="0">
            <x v="2"/>
          </reference>
          <reference field="6" count="0" selected="0"/>
          <reference field="7" count="1" selected="0">
            <x v="2"/>
          </reference>
          <reference field="8" count="0"/>
          <reference field="16" count="0" selected="0"/>
        </references>
      </pivotArea>
    </format>
    <format dxfId="269">
      <pivotArea dataOnly="0" labelOnly="1" fieldPosition="0">
        <references count="9">
          <reference field="1" count="1" selected="0">
            <x v="3"/>
          </reference>
          <reference field="2" count="1" selected="0">
            <x v="2"/>
          </reference>
          <reference field="3" count="1" selected="0">
            <x v="3"/>
          </reference>
          <reference field="4" count="1" selected="0">
            <x v="3"/>
          </reference>
          <reference field="5" count="1" selected="0">
            <x v="2"/>
          </reference>
          <reference field="6" count="0" selected="0"/>
          <reference field="7" count="1" selected="0">
            <x v="2"/>
          </reference>
          <reference field="8" count="0"/>
          <reference field="16" count="0" selected="0"/>
        </references>
      </pivotArea>
    </format>
    <format dxfId="268">
      <pivotArea dataOnly="0" labelOnly="1" fieldPosition="0">
        <references count="9">
          <reference field="1" count="1" selected="0">
            <x v="3"/>
          </reference>
          <reference field="2" count="1" selected="0">
            <x v="2"/>
          </reference>
          <reference field="3" count="1" selected="0">
            <x v="4"/>
          </reference>
          <reference field="4" count="1" selected="0">
            <x v="3"/>
          </reference>
          <reference field="5" count="1" selected="0">
            <x v="2"/>
          </reference>
          <reference field="6" count="0" selected="0"/>
          <reference field="7" count="1" selected="0">
            <x v="2"/>
          </reference>
          <reference field="8" count="0"/>
          <reference field="16" count="0" selected="0"/>
        </references>
      </pivotArea>
    </format>
    <format dxfId="267">
      <pivotArea dataOnly="0" labelOnly="1" fieldPosition="0">
        <references count="9">
          <reference field="1" count="1" selected="0">
            <x v="3"/>
          </reference>
          <reference field="2" count="1" selected="0">
            <x v="2"/>
          </reference>
          <reference field="3" count="1" selected="0">
            <x v="7"/>
          </reference>
          <reference field="4" count="1" selected="0">
            <x v="0"/>
          </reference>
          <reference field="5" count="1" selected="0">
            <x v="2"/>
          </reference>
          <reference field="6" count="0" selected="0"/>
          <reference field="7" count="1" selected="0">
            <x v="2"/>
          </reference>
          <reference field="8" count="0"/>
          <reference field="16" count="0" selected="0"/>
        </references>
      </pivotArea>
    </format>
    <format dxfId="266">
      <pivotArea dataOnly="0" labelOnly="1" fieldPosition="0">
        <references count="9">
          <reference field="1" count="1" selected="0">
            <x v="4"/>
          </reference>
          <reference field="2" count="1" selected="0">
            <x v="2"/>
          </reference>
          <reference field="3" count="1" selected="0">
            <x v="2"/>
          </reference>
          <reference field="4" count="1" selected="0">
            <x v="2"/>
          </reference>
          <reference field="5" count="1" selected="0">
            <x v="2"/>
          </reference>
          <reference field="6" count="0" selected="0"/>
          <reference field="7" count="1" selected="0">
            <x v="2"/>
          </reference>
          <reference field="8" count="0"/>
          <reference field="16" count="0" selected="0"/>
        </references>
      </pivotArea>
    </format>
    <format dxfId="265">
      <pivotArea dataOnly="0" labelOnly="1" outline="0" fieldPosition="0">
        <references count="1">
          <reference field="4294967294" count="9">
            <x v="0"/>
            <x v="1"/>
            <x v="2"/>
            <x v="3"/>
            <x v="4"/>
            <x v="5"/>
            <x v="6"/>
            <x v="7"/>
            <x v="8"/>
          </reference>
        </references>
      </pivotArea>
    </format>
  </formats>
  <pivotTableStyleInfo name="PivotStyleMedium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04EA44-E0FC-46F8-B823-02136C88D108}" name="Subsidio Resumo" cacheId="1" applyNumberFormats="0" applyBorderFormats="0" applyFontFormats="0" applyPatternFormats="0" applyAlignmentFormats="0" applyWidthHeightFormats="1" dataCaption="Valores" updatedVersion="7" minRefreshableVersion="3" useAutoFormatting="1" rowGrandTotals="0" colGrandTotals="0" itemPrintTitles="1" createdVersion="5" indent="0" outline="1" outlineData="1" multipleFieldFilters="0">
  <location ref="A1:G148" firstHeaderRow="0" firstDataRow="1" firstDataCol="1"/>
  <pivotFields count="34">
    <pivotField showAll="0"/>
    <pivotField axis="axisRow" showAll="0">
      <items count="4">
        <item x="0"/>
        <item x="1"/>
        <item x="2"/>
        <item t="default"/>
      </items>
    </pivotField>
    <pivotField axis="axisRow" showAll="0">
      <items count="2">
        <item x="0"/>
        <item t="default"/>
      </items>
    </pivotField>
    <pivotField axis="axisRow" showAll="0">
      <items count="4">
        <item x="0"/>
        <item x="1"/>
        <item x="2"/>
        <item t="default"/>
      </items>
    </pivotField>
    <pivotField axis="axisRow" showAll="0">
      <items count="9">
        <item x="7"/>
        <item x="5"/>
        <item x="6"/>
        <item x="0"/>
        <item x="1"/>
        <item x="2"/>
        <item x="3"/>
        <item x="4"/>
        <item t="default"/>
      </items>
    </pivotField>
    <pivotField axis="axisRow" showAll="0">
      <items count="4">
        <item x="1"/>
        <item x="2"/>
        <item x="0"/>
        <item t="default"/>
      </items>
    </pivotField>
    <pivotField axis="axisRow" showAll="0">
      <items count="2">
        <item x="0"/>
        <item t="default"/>
      </items>
    </pivotField>
    <pivotField axis="axisRow" showAll="0">
      <items count="2">
        <item x="0"/>
        <item t="default"/>
      </items>
    </pivotField>
    <pivotField axis="axisRow" numFmtId="14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umFmtId="40" showAll="0"/>
    <pivotField numFmtId="40" showAll="0"/>
    <pivotField numFmtId="40" showAll="0"/>
    <pivotField numFmtId="40" showAll="0"/>
    <pivotField numFmtId="40" showAll="0"/>
    <pivotField numFmtId="40" showAll="0"/>
    <pivotField numFmtId="40" showAll="0"/>
    <pivotField showAll="0"/>
    <pivotField showAll="0"/>
    <pivotField showAll="0"/>
    <pivotField showAll="0"/>
    <pivotField showAll="0"/>
    <pivotField numFmtId="40" showAll="0"/>
    <pivotField numFmtId="40" showAll="0"/>
    <pivotField numFmtId="40" showAll="0"/>
    <pivotField showAll="0"/>
    <pivotField numFmtId="40" showAll="0"/>
    <pivotField numFmtId="40" showAll="0"/>
    <pivotField dataField="1" numFmtId="40" showAll="0"/>
    <pivotField dataField="1" numFmtId="40" showAll="0"/>
    <pivotField dataField="1" numFmtId="40" showAll="0"/>
    <pivotField dataField="1" numFmtId="40" showAll="0"/>
    <pivotField axis="axisRow" showAll="0">
      <items count="6">
        <item x="4"/>
        <item x="1"/>
        <item x="3"/>
        <item x="2"/>
        <item x="0"/>
        <item t="default"/>
      </items>
    </pivotField>
    <pivotField dataField="1" dragToRow="0" dragToCol="0" dragToPage="0" showAll="0" defaultSubtotal="0"/>
    <pivotField dataField="1" dragToRow="0" dragToCol="0" dragToPage="0" showAll="0" defaultSubtotal="0"/>
  </pivotFields>
  <rowFields count="9">
    <field x="31"/>
    <field x="1"/>
    <field x="2"/>
    <field x="3"/>
    <field x="4"/>
    <field x="5"/>
    <field x="6"/>
    <field x="7"/>
    <field x="8"/>
  </rowFields>
  <rowItems count="147">
    <i>
      <x/>
    </i>
    <i r="1">
      <x v="2"/>
    </i>
    <i r="2">
      <x/>
    </i>
    <i r="3">
      <x v="2"/>
    </i>
    <i r="4">
      <x/>
    </i>
    <i r="5">
      <x v="2"/>
    </i>
    <i r="6">
      <x/>
    </i>
    <i r="7">
      <x/>
    </i>
    <i r="8">
      <x/>
    </i>
    <i r="8">
      <x v="1"/>
    </i>
    <i r="8">
      <x v="2"/>
    </i>
    <i r="8">
      <x v="3"/>
    </i>
    <i r="8">
      <x v="4"/>
    </i>
    <i r="8">
      <x v="5"/>
    </i>
    <i r="8">
      <x v="6"/>
    </i>
    <i r="8">
      <x v="7"/>
    </i>
    <i r="8">
      <x v="8"/>
    </i>
    <i r="8">
      <x v="9"/>
    </i>
    <i r="8">
      <x v="10"/>
    </i>
    <i r="8">
      <x v="11"/>
    </i>
    <i>
      <x v="1"/>
    </i>
    <i r="1">
      <x/>
    </i>
    <i r="2">
      <x/>
    </i>
    <i r="3">
      <x/>
    </i>
    <i r="4">
      <x v="4"/>
    </i>
    <i r="5">
      <x v="2"/>
    </i>
    <i r="6">
      <x/>
    </i>
    <i r="7">
      <x/>
    </i>
    <i r="8">
      <x/>
    </i>
    <i r="8">
      <x v="1"/>
    </i>
    <i r="8">
      <x v="2"/>
    </i>
    <i r="8">
      <x v="3"/>
    </i>
    <i r="8">
      <x v="4"/>
    </i>
    <i r="8">
      <x v="5"/>
    </i>
    <i r="8">
      <x v="6"/>
    </i>
    <i r="8">
      <x v="7"/>
    </i>
    <i r="8">
      <x v="8"/>
    </i>
    <i r="8">
      <x v="9"/>
    </i>
    <i r="8">
      <x v="10"/>
    </i>
    <i r="8">
      <x v="11"/>
    </i>
    <i r="4">
      <x v="5"/>
    </i>
    <i r="5">
      <x v="2"/>
    </i>
    <i r="6">
      <x/>
    </i>
    <i r="7">
      <x/>
    </i>
    <i r="8">
      <x/>
    </i>
    <i r="8">
      <x v="1"/>
    </i>
    <i r="8">
      <x v="2"/>
    </i>
    <i r="8">
      <x v="3"/>
    </i>
    <i r="8">
      <x v="4"/>
    </i>
    <i r="8">
      <x v="5"/>
    </i>
    <i r="8">
      <x v="6"/>
    </i>
    <i r="8">
      <x v="7"/>
    </i>
    <i r="8">
      <x v="8"/>
    </i>
    <i r="8">
      <x v="9"/>
    </i>
    <i r="8">
      <x v="10"/>
    </i>
    <i r="8">
      <x v="11"/>
    </i>
    <i r="4">
      <x v="6"/>
    </i>
    <i r="5">
      <x v="2"/>
    </i>
    <i r="6">
      <x/>
    </i>
    <i r="7">
      <x/>
    </i>
    <i r="8">
      <x/>
    </i>
    <i r="8">
      <x v="1"/>
    </i>
    <i r="8">
      <x v="2"/>
    </i>
    <i r="8">
      <x v="3"/>
    </i>
    <i r="8">
      <x v="4"/>
    </i>
    <i r="8">
      <x v="5"/>
    </i>
    <i r="8">
      <x v="6"/>
    </i>
    <i r="8">
      <x v="7"/>
    </i>
    <i r="8">
      <x v="8"/>
    </i>
    <i r="8">
      <x v="9"/>
    </i>
    <i r="8">
      <x v="10"/>
    </i>
    <i r="8">
      <x v="11"/>
    </i>
    <i r="4">
      <x v="7"/>
    </i>
    <i r="5">
      <x v="2"/>
    </i>
    <i r="6">
      <x/>
    </i>
    <i r="7">
      <x/>
    </i>
    <i r="8">
      <x/>
    </i>
    <i r="8">
      <x v="1"/>
    </i>
    <i r="8">
      <x v="2"/>
    </i>
    <i r="8">
      <x v="3"/>
    </i>
    <i r="8">
      <x v="4"/>
    </i>
    <i r="8">
      <x v="5"/>
    </i>
    <i r="8">
      <x v="6"/>
    </i>
    <i r="8">
      <x v="7"/>
    </i>
    <i r="8">
      <x v="8"/>
    </i>
    <i r="8">
      <x v="9"/>
    </i>
    <i r="8">
      <x v="10"/>
    </i>
    <i r="8">
      <x v="11"/>
    </i>
    <i>
      <x v="2"/>
    </i>
    <i r="1">
      <x v="1"/>
    </i>
    <i r="2">
      <x/>
    </i>
    <i r="3">
      <x v="1"/>
    </i>
    <i r="4">
      <x v="1"/>
    </i>
    <i r="5">
      <x v="1"/>
    </i>
    <i r="6">
      <x/>
    </i>
    <i r="7">
      <x/>
    </i>
    <i r="8">
      <x/>
    </i>
    <i r="8">
      <x v="2"/>
    </i>
    <i r="8">
      <x v="3"/>
    </i>
    <i r="8">
      <x v="4"/>
    </i>
    <i r="8">
      <x v="5"/>
    </i>
    <i r="8">
      <x v="6"/>
    </i>
    <i r="8">
      <x v="7"/>
    </i>
    <i r="8">
      <x v="8"/>
    </i>
    <i r="8">
      <x v="9"/>
    </i>
    <i r="8">
      <x v="10"/>
    </i>
    <i>
      <x v="3"/>
    </i>
    <i r="1">
      <x v="1"/>
    </i>
    <i r="2">
      <x/>
    </i>
    <i r="3">
      <x v="1"/>
    </i>
    <i r="4">
      <x v="1"/>
    </i>
    <i r="5">
      <x/>
    </i>
    <i r="6">
      <x/>
    </i>
    <i r="7">
      <x/>
    </i>
    <i r="8">
      <x/>
    </i>
    <i r="8">
      <x v="1"/>
    </i>
    <i r="8">
      <x v="2"/>
    </i>
    <i r="8">
      <x v="3"/>
    </i>
    <i r="8">
      <x v="4"/>
    </i>
    <i r="8">
      <x v="6"/>
    </i>
    <i r="8">
      <x v="9"/>
    </i>
    <i r="8">
      <x v="11"/>
    </i>
    <i r="4">
      <x v="2"/>
    </i>
    <i r="5">
      <x v="2"/>
    </i>
    <i r="6">
      <x/>
    </i>
    <i r="7">
      <x/>
    </i>
    <i r="8">
      <x/>
    </i>
    <i r="8">
      <x v="1"/>
    </i>
    <i r="8">
      <x v="2"/>
    </i>
    <i r="8">
      <x v="3"/>
    </i>
    <i r="8">
      <x v="4"/>
    </i>
    <i r="8">
      <x v="5"/>
    </i>
    <i r="8">
      <x v="6"/>
    </i>
    <i r="8">
      <x v="7"/>
    </i>
    <i r="8">
      <x v="8"/>
    </i>
    <i r="8">
      <x v="9"/>
    </i>
    <i r="8">
      <x v="10"/>
    </i>
    <i r="8">
      <x v="11"/>
    </i>
    <i>
      <x v="4"/>
    </i>
    <i r="1">
      <x/>
    </i>
    <i r="2">
      <x/>
    </i>
    <i r="3">
      <x/>
    </i>
    <i r="4">
      <x v="3"/>
    </i>
    <i r="5">
      <x v="2"/>
    </i>
    <i r="6">
      <x/>
    </i>
    <i r="7">
      <x/>
    </i>
    <i r="8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Soma de SUBSIDIO kW - TV" fld="27" baseField="0" baseItem="0"/>
    <dataField name="Soma de SUBSIDIO MWh - TV" fld="28" baseField="0" baseItem="0"/>
    <dataField name="Soma de SUBSIDIO kW - TN" fld="29" baseField="0" baseItem="0"/>
    <dataField name="Soma de SUBSIDIO MWh - TN" fld="30" baseField="0" baseItem="0"/>
    <dataField name="Soma de TOTAL TV" fld="32" baseField="0" baseItem="0" numFmtId="40"/>
    <dataField name="Soma de TOTAL TN" fld="33" baseField="0" baseItem="0" numFmtId="40"/>
  </dataFields>
  <formats count="124">
    <format dxfId="264">
      <pivotArea outline="0" collapsedLevelsAreSubtotals="1" fieldPosition="0"/>
    </format>
    <format dxfId="263">
      <pivotArea dataOnly="0" labelOnly="1" outline="0" fieldPosition="0">
        <references count="1">
          <reference field="4294967294" count="6">
            <x v="0"/>
            <x v="1"/>
            <x v="2"/>
            <x v="3"/>
            <x v="4"/>
            <x v="5"/>
          </reference>
        </references>
      </pivotArea>
    </format>
    <format dxfId="262">
      <pivotArea type="all" dataOnly="0" outline="0" fieldPosition="0"/>
    </format>
    <format dxfId="261">
      <pivotArea outline="0" collapsedLevelsAreSubtotals="1" fieldPosition="0"/>
    </format>
    <format dxfId="260">
      <pivotArea field="31" type="button" dataOnly="0" labelOnly="1" outline="0" axis="axisRow" fieldPosition="0"/>
    </format>
    <format dxfId="259">
      <pivotArea dataOnly="0" labelOnly="1" fieldPosition="0">
        <references count="1">
          <reference field="31" count="0"/>
        </references>
      </pivotArea>
    </format>
    <format dxfId="258">
      <pivotArea dataOnly="0" labelOnly="1" fieldPosition="0">
        <references count="2">
          <reference field="1" count="1">
            <x v="2"/>
          </reference>
          <reference field="31" count="1" selected="0">
            <x v="0"/>
          </reference>
        </references>
      </pivotArea>
    </format>
    <format dxfId="257">
      <pivotArea dataOnly="0" labelOnly="1" fieldPosition="0">
        <references count="2">
          <reference field="1" count="1">
            <x v="0"/>
          </reference>
          <reference field="31" count="1" selected="0">
            <x v="1"/>
          </reference>
        </references>
      </pivotArea>
    </format>
    <format dxfId="256">
      <pivotArea dataOnly="0" labelOnly="1" fieldPosition="0">
        <references count="2">
          <reference field="1" count="1">
            <x v="1"/>
          </reference>
          <reference field="31" count="1" selected="0">
            <x v="2"/>
          </reference>
        </references>
      </pivotArea>
    </format>
    <format dxfId="255">
      <pivotArea dataOnly="0" labelOnly="1" fieldPosition="0">
        <references count="2">
          <reference field="1" count="1">
            <x v="1"/>
          </reference>
          <reference field="31" count="1" selected="0">
            <x v="3"/>
          </reference>
        </references>
      </pivotArea>
    </format>
    <format dxfId="254">
      <pivotArea dataOnly="0" labelOnly="1" fieldPosition="0">
        <references count="2">
          <reference field="1" count="1">
            <x v="0"/>
          </reference>
          <reference field="31" count="1" selected="0">
            <x v="4"/>
          </reference>
        </references>
      </pivotArea>
    </format>
    <format dxfId="253">
      <pivotArea dataOnly="0" labelOnly="1" fieldPosition="0">
        <references count="3">
          <reference field="1" count="1" selected="0">
            <x v="2"/>
          </reference>
          <reference field="2" count="0"/>
          <reference field="31" count="1" selected="0">
            <x v="0"/>
          </reference>
        </references>
      </pivotArea>
    </format>
    <format dxfId="252">
      <pivotArea dataOnly="0" labelOnly="1" fieldPosition="0">
        <references count="3">
          <reference field="1" count="1" selected="0">
            <x v="0"/>
          </reference>
          <reference field="2" count="0"/>
          <reference field="31" count="1" selected="0">
            <x v="1"/>
          </reference>
        </references>
      </pivotArea>
    </format>
    <format dxfId="251">
      <pivotArea dataOnly="0" labelOnly="1" fieldPosition="0">
        <references count="3">
          <reference field="1" count="1" selected="0">
            <x v="1"/>
          </reference>
          <reference field="2" count="0"/>
          <reference field="31" count="1" selected="0">
            <x v="2"/>
          </reference>
        </references>
      </pivotArea>
    </format>
    <format dxfId="250">
      <pivotArea dataOnly="0" labelOnly="1" fieldPosition="0">
        <references count="3">
          <reference field="1" count="1" selected="0">
            <x v="1"/>
          </reference>
          <reference field="2" count="0"/>
          <reference field="31" count="1" selected="0">
            <x v="3"/>
          </reference>
        </references>
      </pivotArea>
    </format>
    <format dxfId="249">
      <pivotArea dataOnly="0" labelOnly="1" fieldPosition="0">
        <references count="3">
          <reference field="1" count="1" selected="0">
            <x v="0"/>
          </reference>
          <reference field="2" count="0"/>
          <reference field="31" count="1" selected="0">
            <x v="4"/>
          </reference>
        </references>
      </pivotArea>
    </format>
    <format dxfId="248">
      <pivotArea dataOnly="0" labelOnly="1" fieldPosition="0">
        <references count="4">
          <reference field="1" count="1" selected="0">
            <x v="2"/>
          </reference>
          <reference field="2" count="0" selected="0"/>
          <reference field="3" count="1">
            <x v="2"/>
          </reference>
          <reference field="31" count="1" selected="0">
            <x v="0"/>
          </reference>
        </references>
      </pivotArea>
    </format>
    <format dxfId="247">
      <pivotArea dataOnly="0" labelOnly="1" fieldPosition="0">
        <references count="4">
          <reference field="1" count="1" selected="0">
            <x v="0"/>
          </reference>
          <reference field="2" count="0" selected="0"/>
          <reference field="3" count="1">
            <x v="0"/>
          </reference>
          <reference field="31" count="1" selected="0">
            <x v="1"/>
          </reference>
        </references>
      </pivotArea>
    </format>
    <format dxfId="246">
      <pivotArea dataOnly="0" labelOnly="1" fieldPosition="0">
        <references count="4">
          <reference field="1" count="1" selected="0">
            <x v="1"/>
          </reference>
          <reference field="2" count="0" selected="0"/>
          <reference field="3" count="1">
            <x v="1"/>
          </reference>
          <reference field="31" count="1" selected="0">
            <x v="2"/>
          </reference>
        </references>
      </pivotArea>
    </format>
    <format dxfId="245">
      <pivotArea dataOnly="0" labelOnly="1" fieldPosition="0">
        <references count="4">
          <reference field="1" count="1" selected="0">
            <x v="1"/>
          </reference>
          <reference field="2" count="0" selected="0"/>
          <reference field="3" count="1">
            <x v="1"/>
          </reference>
          <reference field="31" count="1" selected="0">
            <x v="3"/>
          </reference>
        </references>
      </pivotArea>
    </format>
    <format dxfId="244">
      <pivotArea dataOnly="0" labelOnly="1" fieldPosition="0">
        <references count="4">
          <reference field="1" count="1" selected="0">
            <x v="0"/>
          </reference>
          <reference field="2" count="0" selected="0"/>
          <reference field="3" count="1">
            <x v="0"/>
          </reference>
          <reference field="31" count="1" selected="0">
            <x v="4"/>
          </reference>
        </references>
      </pivotArea>
    </format>
    <format dxfId="243">
      <pivotArea dataOnly="0" labelOnly="1" fieldPosition="0">
        <references count="5">
          <reference field="1" count="1" selected="0">
            <x v="2"/>
          </reference>
          <reference field="2" count="0" selected="0"/>
          <reference field="3" count="1" selected="0">
            <x v="2"/>
          </reference>
          <reference field="4" count="1">
            <x v="0"/>
          </reference>
          <reference field="31" count="1" selected="0">
            <x v="0"/>
          </reference>
        </references>
      </pivotArea>
    </format>
    <format dxfId="242">
      <pivotArea dataOnly="0" labelOnly="1" fieldPosition="0">
        <references count="5">
          <reference field="1" count="1" selected="0">
            <x v="0"/>
          </reference>
          <reference field="2" count="0" selected="0"/>
          <reference field="3" count="1" selected="0">
            <x v="0"/>
          </reference>
          <reference field="4" count="4">
            <x v="4"/>
            <x v="5"/>
            <x v="6"/>
            <x v="7"/>
          </reference>
          <reference field="31" count="1" selected="0">
            <x v="1"/>
          </reference>
        </references>
      </pivotArea>
    </format>
    <format dxfId="241">
      <pivotArea dataOnly="0" labelOnly="1" fieldPosition="0">
        <references count="5">
          <reference field="1" count="1" selected="0">
            <x v="1"/>
          </reference>
          <reference field="2" count="0" selected="0"/>
          <reference field="3" count="1" selected="0">
            <x v="1"/>
          </reference>
          <reference field="4" count="1">
            <x v="1"/>
          </reference>
          <reference field="31" count="1" selected="0">
            <x v="2"/>
          </reference>
        </references>
      </pivotArea>
    </format>
    <format dxfId="240">
      <pivotArea dataOnly="0" labelOnly="1" fieldPosition="0">
        <references count="5">
          <reference field="1" count="1" selected="0">
            <x v="1"/>
          </reference>
          <reference field="2" count="0" selected="0"/>
          <reference field="3" count="1" selected="0">
            <x v="1"/>
          </reference>
          <reference field="4" count="2">
            <x v="1"/>
            <x v="2"/>
          </reference>
          <reference field="31" count="1" selected="0">
            <x v="3"/>
          </reference>
        </references>
      </pivotArea>
    </format>
    <format dxfId="239">
      <pivotArea dataOnly="0" labelOnly="1" fieldPosition="0">
        <references count="5">
          <reference field="1" count="1" selected="0">
            <x v="0"/>
          </reference>
          <reference field="2" count="0" selected="0"/>
          <reference field="3" count="1" selected="0">
            <x v="0"/>
          </reference>
          <reference field="4" count="1">
            <x v="3"/>
          </reference>
          <reference field="31" count="1" selected="0">
            <x v="4"/>
          </reference>
        </references>
      </pivotArea>
    </format>
    <format dxfId="238">
      <pivotArea dataOnly="0" labelOnly="1" fieldPosition="0">
        <references count="6">
          <reference field="1" count="1" selected="0">
            <x v="2"/>
          </reference>
          <reference field="2" count="0" selected="0"/>
          <reference field="3" count="1" selected="0">
            <x v="2"/>
          </reference>
          <reference field="4" count="1" selected="0">
            <x v="0"/>
          </reference>
          <reference field="5" count="1">
            <x v="2"/>
          </reference>
          <reference field="31" count="1" selected="0">
            <x v="0"/>
          </reference>
        </references>
      </pivotArea>
    </format>
    <format dxfId="237">
      <pivotArea dataOnly="0" labelOnly="1" fieldPosition="0">
        <references count="6">
          <reference field="1" count="1" selected="0">
            <x v="0"/>
          </reference>
          <reference field="2" count="0" selected="0"/>
          <reference field="3" count="1" selected="0">
            <x v="0"/>
          </reference>
          <reference field="4" count="1" selected="0">
            <x v="4"/>
          </reference>
          <reference field="5" count="1">
            <x v="2"/>
          </reference>
          <reference field="31" count="1" selected="0">
            <x v="1"/>
          </reference>
        </references>
      </pivotArea>
    </format>
    <format dxfId="236">
      <pivotArea dataOnly="0" labelOnly="1" fieldPosition="0">
        <references count="6">
          <reference field="1" count="1" selected="0">
            <x v="0"/>
          </reference>
          <reference field="2" count="0" selected="0"/>
          <reference field="3" count="1" selected="0">
            <x v="0"/>
          </reference>
          <reference field="4" count="1" selected="0">
            <x v="5"/>
          </reference>
          <reference field="5" count="1">
            <x v="2"/>
          </reference>
          <reference field="31" count="1" selected="0">
            <x v="1"/>
          </reference>
        </references>
      </pivotArea>
    </format>
    <format dxfId="235">
      <pivotArea dataOnly="0" labelOnly="1" fieldPosition="0">
        <references count="6">
          <reference field="1" count="1" selected="0">
            <x v="0"/>
          </reference>
          <reference field="2" count="0" selected="0"/>
          <reference field="3" count="1" selected="0">
            <x v="0"/>
          </reference>
          <reference field="4" count="1" selected="0">
            <x v="6"/>
          </reference>
          <reference field="5" count="1">
            <x v="2"/>
          </reference>
          <reference field="31" count="1" selected="0">
            <x v="1"/>
          </reference>
        </references>
      </pivotArea>
    </format>
    <format dxfId="234">
      <pivotArea dataOnly="0" labelOnly="1" fieldPosition="0">
        <references count="6">
          <reference field="1" count="1" selected="0">
            <x v="0"/>
          </reference>
          <reference field="2" count="0" selected="0"/>
          <reference field="3" count="1" selected="0">
            <x v="0"/>
          </reference>
          <reference field="4" count="1" selected="0">
            <x v="7"/>
          </reference>
          <reference field="5" count="1">
            <x v="2"/>
          </reference>
          <reference field="31" count="1" selected="0">
            <x v="1"/>
          </reference>
        </references>
      </pivotArea>
    </format>
    <format dxfId="233">
      <pivotArea dataOnly="0" labelOnly="1" fieldPosition="0">
        <references count="6">
          <reference field="1" count="1" selected="0">
            <x v="1"/>
          </reference>
          <reference field="2" count="0" selected="0"/>
          <reference field="3" count="1" selected="0">
            <x v="1"/>
          </reference>
          <reference field="4" count="1" selected="0">
            <x v="1"/>
          </reference>
          <reference field="5" count="1">
            <x v="1"/>
          </reference>
          <reference field="31" count="1" selected="0">
            <x v="2"/>
          </reference>
        </references>
      </pivotArea>
    </format>
    <format dxfId="232">
      <pivotArea dataOnly="0" labelOnly="1" fieldPosition="0">
        <references count="6">
          <reference field="1" count="1" selected="0">
            <x v="1"/>
          </reference>
          <reference field="2" count="0" selected="0"/>
          <reference field="3" count="1" selected="0">
            <x v="1"/>
          </reference>
          <reference field="4" count="1" selected="0">
            <x v="1"/>
          </reference>
          <reference field="5" count="1">
            <x v="0"/>
          </reference>
          <reference field="31" count="1" selected="0">
            <x v="3"/>
          </reference>
        </references>
      </pivotArea>
    </format>
    <format dxfId="231">
      <pivotArea dataOnly="0" labelOnly="1" fieldPosition="0">
        <references count="6">
          <reference field="1" count="1" selected="0">
            <x v="1"/>
          </reference>
          <reference field="2" count="0" selected="0"/>
          <reference field="3" count="1" selected="0">
            <x v="1"/>
          </reference>
          <reference field="4" count="1" selected="0">
            <x v="2"/>
          </reference>
          <reference field="5" count="1">
            <x v="2"/>
          </reference>
          <reference field="31" count="1" selected="0">
            <x v="3"/>
          </reference>
        </references>
      </pivotArea>
    </format>
    <format dxfId="230">
      <pivotArea dataOnly="0" labelOnly="1" fieldPosition="0">
        <references count="6">
          <reference field="1" count="1" selected="0">
            <x v="0"/>
          </reference>
          <reference field="2" count="0" selected="0"/>
          <reference field="3" count="1" selected="0">
            <x v="0"/>
          </reference>
          <reference field="4" count="1" selected="0">
            <x v="3"/>
          </reference>
          <reference field="5" count="1">
            <x v="2"/>
          </reference>
          <reference field="31" count="1" selected="0">
            <x v="4"/>
          </reference>
        </references>
      </pivotArea>
    </format>
    <format dxfId="229">
      <pivotArea dataOnly="0" labelOnly="1" fieldPosition="0">
        <references count="7">
          <reference field="1" count="1" selected="0">
            <x v="2"/>
          </reference>
          <reference field="2" count="0" selected="0"/>
          <reference field="3" count="1" selected="0">
            <x v="2"/>
          </reference>
          <reference field="4" count="1" selected="0">
            <x v="0"/>
          </reference>
          <reference field="5" count="1" selected="0">
            <x v="2"/>
          </reference>
          <reference field="6" count="0"/>
          <reference field="31" count="1" selected="0">
            <x v="0"/>
          </reference>
        </references>
      </pivotArea>
    </format>
    <format dxfId="228">
      <pivotArea dataOnly="0" labelOnly="1" fieldPosition="0">
        <references count="7">
          <reference field="1" count="1" selected="0">
            <x v="0"/>
          </reference>
          <reference field="2" count="0" selected="0"/>
          <reference field="3" count="1" selected="0">
            <x v="0"/>
          </reference>
          <reference field="4" count="1" selected="0">
            <x v="4"/>
          </reference>
          <reference field="5" count="1" selected="0">
            <x v="2"/>
          </reference>
          <reference field="6" count="0"/>
          <reference field="31" count="1" selected="0">
            <x v="1"/>
          </reference>
        </references>
      </pivotArea>
    </format>
    <format dxfId="227">
      <pivotArea dataOnly="0" labelOnly="1" fieldPosition="0">
        <references count="7">
          <reference field="1" count="1" selected="0">
            <x v="0"/>
          </reference>
          <reference field="2" count="0" selected="0"/>
          <reference field="3" count="1" selected="0">
            <x v="0"/>
          </reference>
          <reference field="4" count="1" selected="0">
            <x v="5"/>
          </reference>
          <reference field="5" count="1" selected="0">
            <x v="2"/>
          </reference>
          <reference field="6" count="0"/>
          <reference field="31" count="1" selected="0">
            <x v="1"/>
          </reference>
        </references>
      </pivotArea>
    </format>
    <format dxfId="226">
      <pivotArea dataOnly="0" labelOnly="1" fieldPosition="0">
        <references count="7">
          <reference field="1" count="1" selected="0">
            <x v="0"/>
          </reference>
          <reference field="2" count="0" selected="0"/>
          <reference field="3" count="1" selected="0">
            <x v="0"/>
          </reference>
          <reference field="4" count="1" selected="0">
            <x v="6"/>
          </reference>
          <reference field="5" count="1" selected="0">
            <x v="2"/>
          </reference>
          <reference field="6" count="0"/>
          <reference field="31" count="1" selected="0">
            <x v="1"/>
          </reference>
        </references>
      </pivotArea>
    </format>
    <format dxfId="225">
      <pivotArea dataOnly="0" labelOnly="1" fieldPosition="0">
        <references count="7">
          <reference field="1" count="1" selected="0">
            <x v="0"/>
          </reference>
          <reference field="2" count="0" selected="0"/>
          <reference field="3" count="1" selected="0">
            <x v="0"/>
          </reference>
          <reference field="4" count="1" selected="0">
            <x v="7"/>
          </reference>
          <reference field="5" count="1" selected="0">
            <x v="2"/>
          </reference>
          <reference field="6" count="0"/>
          <reference field="31" count="1" selected="0">
            <x v="1"/>
          </reference>
        </references>
      </pivotArea>
    </format>
    <format dxfId="224">
      <pivotArea dataOnly="0" labelOnly="1" fieldPosition="0">
        <references count="7">
          <reference field="1" count="1" selected="0">
            <x v="1"/>
          </reference>
          <reference field="2" count="0" selected="0"/>
          <reference field="3" count="1" selected="0">
            <x v="1"/>
          </reference>
          <reference field="4" count="1" selected="0">
            <x v="1"/>
          </reference>
          <reference field="5" count="1" selected="0">
            <x v="1"/>
          </reference>
          <reference field="6" count="0"/>
          <reference field="31" count="1" selected="0">
            <x v="2"/>
          </reference>
        </references>
      </pivotArea>
    </format>
    <format dxfId="223">
      <pivotArea dataOnly="0" labelOnly="1" fieldPosition="0">
        <references count="7">
          <reference field="1" count="1" selected="0">
            <x v="1"/>
          </reference>
          <reference field="2" count="0" selected="0"/>
          <reference field="3" count="1" selected="0">
            <x v="1"/>
          </reference>
          <reference field="4" count="1" selected="0">
            <x v="1"/>
          </reference>
          <reference field="5" count="1" selected="0">
            <x v="0"/>
          </reference>
          <reference field="6" count="0"/>
          <reference field="31" count="1" selected="0">
            <x v="3"/>
          </reference>
        </references>
      </pivotArea>
    </format>
    <format dxfId="222">
      <pivotArea dataOnly="0" labelOnly="1" fieldPosition="0">
        <references count="7">
          <reference field="1" count="1" selected="0">
            <x v="1"/>
          </reference>
          <reference field="2" count="0" selected="0"/>
          <reference field="3" count="1" selected="0">
            <x v="1"/>
          </reference>
          <reference field="4" count="1" selected="0">
            <x v="2"/>
          </reference>
          <reference field="5" count="1" selected="0">
            <x v="2"/>
          </reference>
          <reference field="6" count="0"/>
          <reference field="31" count="1" selected="0">
            <x v="3"/>
          </reference>
        </references>
      </pivotArea>
    </format>
    <format dxfId="221">
      <pivotArea dataOnly="0" labelOnly="1" fieldPosition="0">
        <references count="7">
          <reference field="1" count="1" selected="0">
            <x v="0"/>
          </reference>
          <reference field="2" count="0" selected="0"/>
          <reference field="3" count="1" selected="0">
            <x v="0"/>
          </reference>
          <reference field="4" count="1" selected="0">
            <x v="3"/>
          </reference>
          <reference field="5" count="1" selected="0">
            <x v="2"/>
          </reference>
          <reference field="6" count="0"/>
          <reference field="31" count="1" selected="0">
            <x v="4"/>
          </reference>
        </references>
      </pivotArea>
    </format>
    <format dxfId="220">
      <pivotArea dataOnly="0" labelOnly="1" fieldPosition="0">
        <references count="8">
          <reference field="1" count="1" selected="0">
            <x v="2"/>
          </reference>
          <reference field="2" count="0" selected="0"/>
          <reference field="3" count="1" selected="0">
            <x v="2"/>
          </reference>
          <reference field="4" count="1" selected="0">
            <x v="0"/>
          </reference>
          <reference field="5" count="1" selected="0">
            <x v="2"/>
          </reference>
          <reference field="6" count="0" selected="0"/>
          <reference field="7" count="0"/>
          <reference field="31" count="1" selected="0">
            <x v="0"/>
          </reference>
        </references>
      </pivotArea>
    </format>
    <format dxfId="219">
      <pivotArea dataOnly="0" labelOnly="1" fieldPosition="0">
        <references count="8">
          <reference field="1" count="1" selected="0">
            <x v="0"/>
          </reference>
          <reference field="2" count="0" selected="0"/>
          <reference field="3" count="1" selected="0">
            <x v="0"/>
          </reference>
          <reference field="4" count="1" selected="0">
            <x v="4"/>
          </reference>
          <reference field="5" count="1" selected="0">
            <x v="2"/>
          </reference>
          <reference field="6" count="0" selected="0"/>
          <reference field="7" count="0"/>
          <reference field="31" count="1" selected="0">
            <x v="1"/>
          </reference>
        </references>
      </pivotArea>
    </format>
    <format dxfId="218">
      <pivotArea dataOnly="0" labelOnly="1" fieldPosition="0">
        <references count="8">
          <reference field="1" count="1" selected="0">
            <x v="0"/>
          </reference>
          <reference field="2" count="0" selected="0"/>
          <reference field="3" count="1" selected="0">
            <x v="0"/>
          </reference>
          <reference field="4" count="1" selected="0">
            <x v="5"/>
          </reference>
          <reference field="5" count="1" selected="0">
            <x v="2"/>
          </reference>
          <reference field="6" count="0" selected="0"/>
          <reference field="7" count="0"/>
          <reference field="31" count="1" selected="0">
            <x v="1"/>
          </reference>
        </references>
      </pivotArea>
    </format>
    <format dxfId="217">
      <pivotArea dataOnly="0" labelOnly="1" fieldPosition="0">
        <references count="8">
          <reference field="1" count="1" selected="0">
            <x v="0"/>
          </reference>
          <reference field="2" count="0" selected="0"/>
          <reference field="3" count="1" selected="0">
            <x v="0"/>
          </reference>
          <reference field="4" count="1" selected="0">
            <x v="6"/>
          </reference>
          <reference field="5" count="1" selected="0">
            <x v="2"/>
          </reference>
          <reference field="6" count="0" selected="0"/>
          <reference field="7" count="0"/>
          <reference field="31" count="1" selected="0">
            <x v="1"/>
          </reference>
        </references>
      </pivotArea>
    </format>
    <format dxfId="216">
      <pivotArea dataOnly="0" labelOnly="1" fieldPosition="0">
        <references count="8">
          <reference field="1" count="1" selected="0">
            <x v="0"/>
          </reference>
          <reference field="2" count="0" selected="0"/>
          <reference field="3" count="1" selected="0">
            <x v="0"/>
          </reference>
          <reference field="4" count="1" selected="0">
            <x v="7"/>
          </reference>
          <reference field="5" count="1" selected="0">
            <x v="2"/>
          </reference>
          <reference field="6" count="0" selected="0"/>
          <reference field="7" count="0"/>
          <reference field="31" count="1" selected="0">
            <x v="1"/>
          </reference>
        </references>
      </pivotArea>
    </format>
    <format dxfId="215">
      <pivotArea dataOnly="0" labelOnly="1" fieldPosition="0">
        <references count="8">
          <reference field="1" count="1" selected="0">
            <x v="1"/>
          </reference>
          <reference field="2" count="0" selected="0"/>
          <reference field="3" count="1" selected="0">
            <x v="1"/>
          </reference>
          <reference field="4" count="1" selected="0">
            <x v="1"/>
          </reference>
          <reference field="5" count="1" selected="0">
            <x v="1"/>
          </reference>
          <reference field="6" count="0" selected="0"/>
          <reference field="7" count="0"/>
          <reference field="31" count="1" selected="0">
            <x v="2"/>
          </reference>
        </references>
      </pivotArea>
    </format>
    <format dxfId="214">
      <pivotArea dataOnly="0" labelOnly="1" fieldPosition="0">
        <references count="8">
          <reference field="1" count="1" selected="0">
            <x v="1"/>
          </reference>
          <reference field="2" count="0" selected="0"/>
          <reference field="3" count="1" selected="0">
            <x v="1"/>
          </reference>
          <reference field="4" count="1" selected="0">
            <x v="1"/>
          </reference>
          <reference field="5" count="1" selected="0">
            <x v="0"/>
          </reference>
          <reference field="6" count="0" selected="0"/>
          <reference field="7" count="0"/>
          <reference field="31" count="1" selected="0">
            <x v="3"/>
          </reference>
        </references>
      </pivotArea>
    </format>
    <format dxfId="213">
      <pivotArea dataOnly="0" labelOnly="1" fieldPosition="0">
        <references count="8">
          <reference field="1" count="1" selected="0">
            <x v="1"/>
          </reference>
          <reference field="2" count="0" selected="0"/>
          <reference field="3" count="1" selected="0">
            <x v="1"/>
          </reference>
          <reference field="4" count="1" selected="0">
            <x v="2"/>
          </reference>
          <reference field="5" count="1" selected="0">
            <x v="2"/>
          </reference>
          <reference field="6" count="0" selected="0"/>
          <reference field="7" count="0"/>
          <reference field="31" count="1" selected="0">
            <x v="3"/>
          </reference>
        </references>
      </pivotArea>
    </format>
    <format dxfId="212">
      <pivotArea dataOnly="0" labelOnly="1" fieldPosition="0">
        <references count="8">
          <reference field="1" count="1" selected="0">
            <x v="0"/>
          </reference>
          <reference field="2" count="0" selected="0"/>
          <reference field="3" count="1" selected="0">
            <x v="0"/>
          </reference>
          <reference field="4" count="1" selected="0">
            <x v="3"/>
          </reference>
          <reference field="5" count="1" selected="0">
            <x v="2"/>
          </reference>
          <reference field="6" count="0" selected="0"/>
          <reference field="7" count="0"/>
          <reference field="31" count="1" selected="0">
            <x v="4"/>
          </reference>
        </references>
      </pivotArea>
    </format>
    <format dxfId="211">
      <pivotArea dataOnly="0" labelOnly="1" fieldPosition="0">
        <references count="9">
          <reference field="1" count="1" selected="0">
            <x v="2"/>
          </reference>
          <reference field="2" count="0" selected="0"/>
          <reference field="3" count="1" selected="0">
            <x v="2"/>
          </reference>
          <reference field="4" count="1" selected="0">
            <x v="0"/>
          </reference>
          <reference field="5" count="1" selected="0">
            <x v="2"/>
          </reference>
          <reference field="6" count="0" selected="0"/>
          <reference field="7" count="0" selected="0"/>
          <reference field="8" count="0"/>
          <reference field="31" count="1" selected="0">
            <x v="0"/>
          </reference>
        </references>
      </pivotArea>
    </format>
    <format dxfId="210">
      <pivotArea dataOnly="0" labelOnly="1" fieldPosition="0">
        <references count="9">
          <reference field="1" count="1" selected="0">
            <x v="0"/>
          </reference>
          <reference field="2" count="0" selected="0"/>
          <reference field="3" count="1" selected="0">
            <x v="0"/>
          </reference>
          <reference field="4" count="1" selected="0">
            <x v="4"/>
          </reference>
          <reference field="5" count="1" selected="0">
            <x v="2"/>
          </reference>
          <reference field="6" count="0" selected="0"/>
          <reference field="7" count="0" selected="0"/>
          <reference field="8" count="0"/>
          <reference field="31" count="1" selected="0">
            <x v="1"/>
          </reference>
        </references>
      </pivotArea>
    </format>
    <format dxfId="209">
      <pivotArea dataOnly="0" labelOnly="1" fieldPosition="0">
        <references count="9">
          <reference field="1" count="1" selected="0">
            <x v="0"/>
          </reference>
          <reference field="2" count="0" selected="0"/>
          <reference field="3" count="1" selected="0">
            <x v="0"/>
          </reference>
          <reference field="4" count="1" selected="0">
            <x v="5"/>
          </reference>
          <reference field="5" count="1" selected="0">
            <x v="2"/>
          </reference>
          <reference field="6" count="0" selected="0"/>
          <reference field="7" count="0" selected="0"/>
          <reference field="8" count="0"/>
          <reference field="31" count="1" selected="0">
            <x v="1"/>
          </reference>
        </references>
      </pivotArea>
    </format>
    <format dxfId="208">
      <pivotArea dataOnly="0" labelOnly="1" fieldPosition="0">
        <references count="9">
          <reference field="1" count="1" selected="0">
            <x v="0"/>
          </reference>
          <reference field="2" count="0" selected="0"/>
          <reference field="3" count="1" selected="0">
            <x v="0"/>
          </reference>
          <reference field="4" count="1" selected="0">
            <x v="6"/>
          </reference>
          <reference field="5" count="1" selected="0">
            <x v="2"/>
          </reference>
          <reference field="6" count="0" selected="0"/>
          <reference field="7" count="0" selected="0"/>
          <reference field="8" count="0"/>
          <reference field="31" count="1" selected="0">
            <x v="1"/>
          </reference>
        </references>
      </pivotArea>
    </format>
    <format dxfId="207">
      <pivotArea dataOnly="0" labelOnly="1" fieldPosition="0">
        <references count="9">
          <reference field="1" count="1" selected="0">
            <x v="0"/>
          </reference>
          <reference field="2" count="0" selected="0"/>
          <reference field="3" count="1" selected="0">
            <x v="0"/>
          </reference>
          <reference field="4" count="1" selected="0">
            <x v="7"/>
          </reference>
          <reference field="5" count="1" selected="0">
            <x v="2"/>
          </reference>
          <reference field="6" count="0" selected="0"/>
          <reference field="7" count="0" selected="0"/>
          <reference field="8" count="0"/>
          <reference field="31" count="1" selected="0">
            <x v="1"/>
          </reference>
        </references>
      </pivotArea>
    </format>
    <format dxfId="206">
      <pivotArea dataOnly="0" labelOnly="1" fieldPosition="0">
        <references count="9">
          <reference field="1" count="1" selected="0">
            <x v="1"/>
          </reference>
          <reference field="2" count="0" selected="0"/>
          <reference field="3" count="1" selected="0">
            <x v="1"/>
          </reference>
          <reference field="4" count="1" selected="0">
            <x v="1"/>
          </reference>
          <reference field="5" count="1" selected="0">
            <x v="1"/>
          </reference>
          <reference field="6" count="0" selected="0"/>
          <reference field="7" count="0" selected="0"/>
          <reference field="8" count="10">
            <x v="0"/>
            <x v="2"/>
            <x v="3"/>
            <x v="4"/>
            <x v="5"/>
            <x v="6"/>
            <x v="7"/>
            <x v="8"/>
            <x v="9"/>
            <x v="10"/>
          </reference>
          <reference field="31" count="1" selected="0">
            <x v="2"/>
          </reference>
        </references>
      </pivotArea>
    </format>
    <format dxfId="205">
      <pivotArea dataOnly="0" labelOnly="1" fieldPosition="0">
        <references count="9">
          <reference field="1" count="1" selected="0">
            <x v="1"/>
          </reference>
          <reference field="2" count="0" selected="0"/>
          <reference field="3" count="1" selected="0">
            <x v="1"/>
          </reference>
          <reference field="4" count="1" selected="0">
            <x v="1"/>
          </reference>
          <reference field="5" count="1" selected="0">
            <x v="0"/>
          </reference>
          <reference field="6" count="0" selected="0"/>
          <reference field="7" count="0" selected="0"/>
          <reference field="8" count="8">
            <x v="0"/>
            <x v="1"/>
            <x v="2"/>
            <x v="3"/>
            <x v="4"/>
            <x v="6"/>
            <x v="9"/>
            <x v="11"/>
          </reference>
          <reference field="31" count="1" selected="0">
            <x v="3"/>
          </reference>
        </references>
      </pivotArea>
    </format>
    <format dxfId="204">
      <pivotArea dataOnly="0" labelOnly="1" fieldPosition="0">
        <references count="9">
          <reference field="1" count="1" selected="0">
            <x v="1"/>
          </reference>
          <reference field="2" count="0" selected="0"/>
          <reference field="3" count="1" selected="0">
            <x v="1"/>
          </reference>
          <reference field="4" count="1" selected="0">
            <x v="2"/>
          </reference>
          <reference field="5" count="1" selected="0">
            <x v="2"/>
          </reference>
          <reference field="6" count="0" selected="0"/>
          <reference field="7" count="0" selected="0"/>
          <reference field="8" count="0"/>
          <reference field="31" count="1" selected="0">
            <x v="3"/>
          </reference>
        </references>
      </pivotArea>
    </format>
    <format dxfId="203">
      <pivotArea dataOnly="0" labelOnly="1" fieldPosition="0">
        <references count="9">
          <reference field="1" count="1" selected="0">
            <x v="0"/>
          </reference>
          <reference field="2" count="0" selected="0"/>
          <reference field="3" count="1" selected="0">
            <x v="0"/>
          </reference>
          <reference field="4" count="1" selected="0">
            <x v="3"/>
          </reference>
          <reference field="5" count="1" selected="0">
            <x v="2"/>
          </reference>
          <reference field="6" count="0" selected="0"/>
          <reference field="7" count="0" selected="0"/>
          <reference field="8" count="1">
            <x v="0"/>
          </reference>
          <reference field="31" count="1" selected="0">
            <x v="4"/>
          </reference>
        </references>
      </pivotArea>
    </format>
    <format dxfId="202">
      <pivotArea dataOnly="0" labelOnly="1" outline="0" fieldPosition="0">
        <references count="1">
          <reference field="4294967294" count="6">
            <x v="0"/>
            <x v="1"/>
            <x v="2"/>
            <x v="3"/>
            <x v="4"/>
            <x v="5"/>
          </reference>
        </references>
      </pivotArea>
    </format>
    <format dxfId="201">
      <pivotArea type="all" dataOnly="0" outline="0" fieldPosition="0"/>
    </format>
    <format dxfId="200">
      <pivotArea outline="0" collapsedLevelsAreSubtotals="1" fieldPosition="0"/>
    </format>
    <format dxfId="199">
      <pivotArea field="31" type="button" dataOnly="0" labelOnly="1" outline="0" axis="axisRow" fieldPosition="0"/>
    </format>
    <format dxfId="198">
      <pivotArea dataOnly="0" labelOnly="1" fieldPosition="0">
        <references count="1">
          <reference field="31" count="0"/>
        </references>
      </pivotArea>
    </format>
    <format dxfId="197">
      <pivotArea dataOnly="0" labelOnly="1" fieldPosition="0">
        <references count="2">
          <reference field="1" count="1">
            <x v="2"/>
          </reference>
          <reference field="31" count="1" selected="0">
            <x v="0"/>
          </reference>
        </references>
      </pivotArea>
    </format>
    <format dxfId="196">
      <pivotArea dataOnly="0" labelOnly="1" fieldPosition="0">
        <references count="2">
          <reference field="1" count="1">
            <x v="0"/>
          </reference>
          <reference field="31" count="1" selected="0">
            <x v="1"/>
          </reference>
        </references>
      </pivotArea>
    </format>
    <format dxfId="195">
      <pivotArea dataOnly="0" labelOnly="1" fieldPosition="0">
        <references count="2">
          <reference field="1" count="1">
            <x v="1"/>
          </reference>
          <reference field="31" count="1" selected="0">
            <x v="2"/>
          </reference>
        </references>
      </pivotArea>
    </format>
    <format dxfId="194">
      <pivotArea dataOnly="0" labelOnly="1" fieldPosition="0">
        <references count="2">
          <reference field="1" count="1">
            <x v="1"/>
          </reference>
          <reference field="31" count="1" selected="0">
            <x v="3"/>
          </reference>
        </references>
      </pivotArea>
    </format>
    <format dxfId="193">
      <pivotArea dataOnly="0" labelOnly="1" fieldPosition="0">
        <references count="2">
          <reference field="1" count="1">
            <x v="0"/>
          </reference>
          <reference field="31" count="1" selected="0">
            <x v="4"/>
          </reference>
        </references>
      </pivotArea>
    </format>
    <format dxfId="192">
      <pivotArea dataOnly="0" labelOnly="1" fieldPosition="0">
        <references count="3">
          <reference field="1" count="1" selected="0">
            <x v="2"/>
          </reference>
          <reference field="2" count="0"/>
          <reference field="31" count="1" selected="0">
            <x v="0"/>
          </reference>
        </references>
      </pivotArea>
    </format>
    <format dxfId="191">
      <pivotArea dataOnly="0" labelOnly="1" fieldPosition="0">
        <references count="3">
          <reference field="1" count="1" selected="0">
            <x v="0"/>
          </reference>
          <reference field="2" count="0"/>
          <reference field="31" count="1" selected="0">
            <x v="1"/>
          </reference>
        </references>
      </pivotArea>
    </format>
    <format dxfId="190">
      <pivotArea dataOnly="0" labelOnly="1" fieldPosition="0">
        <references count="3">
          <reference field="1" count="1" selected="0">
            <x v="1"/>
          </reference>
          <reference field="2" count="0"/>
          <reference field="31" count="1" selected="0">
            <x v="2"/>
          </reference>
        </references>
      </pivotArea>
    </format>
    <format dxfId="189">
      <pivotArea dataOnly="0" labelOnly="1" fieldPosition="0">
        <references count="3">
          <reference field="1" count="1" selected="0">
            <x v="1"/>
          </reference>
          <reference field="2" count="0"/>
          <reference field="31" count="1" selected="0">
            <x v="3"/>
          </reference>
        </references>
      </pivotArea>
    </format>
    <format dxfId="188">
      <pivotArea dataOnly="0" labelOnly="1" fieldPosition="0">
        <references count="3">
          <reference field="1" count="1" selected="0">
            <x v="0"/>
          </reference>
          <reference field="2" count="0"/>
          <reference field="31" count="1" selected="0">
            <x v="4"/>
          </reference>
        </references>
      </pivotArea>
    </format>
    <format dxfId="187">
      <pivotArea dataOnly="0" labelOnly="1" fieldPosition="0">
        <references count="4">
          <reference field="1" count="1" selected="0">
            <x v="2"/>
          </reference>
          <reference field="2" count="0" selected="0"/>
          <reference field="3" count="1">
            <x v="2"/>
          </reference>
          <reference field="31" count="1" selected="0">
            <x v="0"/>
          </reference>
        </references>
      </pivotArea>
    </format>
    <format dxfId="186">
      <pivotArea dataOnly="0" labelOnly="1" fieldPosition="0">
        <references count="4">
          <reference field="1" count="1" selected="0">
            <x v="0"/>
          </reference>
          <reference field="2" count="0" selected="0"/>
          <reference field="3" count="1">
            <x v="0"/>
          </reference>
          <reference field="31" count="1" selected="0">
            <x v="1"/>
          </reference>
        </references>
      </pivotArea>
    </format>
    <format dxfId="185">
      <pivotArea dataOnly="0" labelOnly="1" fieldPosition="0">
        <references count="4">
          <reference field="1" count="1" selected="0">
            <x v="1"/>
          </reference>
          <reference field="2" count="0" selected="0"/>
          <reference field="3" count="1">
            <x v="1"/>
          </reference>
          <reference field="31" count="1" selected="0">
            <x v="2"/>
          </reference>
        </references>
      </pivotArea>
    </format>
    <format dxfId="184">
      <pivotArea dataOnly="0" labelOnly="1" fieldPosition="0">
        <references count="4">
          <reference field="1" count="1" selected="0">
            <x v="1"/>
          </reference>
          <reference field="2" count="0" selected="0"/>
          <reference field="3" count="1">
            <x v="1"/>
          </reference>
          <reference field="31" count="1" selected="0">
            <x v="3"/>
          </reference>
        </references>
      </pivotArea>
    </format>
    <format dxfId="183">
      <pivotArea dataOnly="0" labelOnly="1" fieldPosition="0">
        <references count="4">
          <reference field="1" count="1" selected="0">
            <x v="0"/>
          </reference>
          <reference field="2" count="0" selected="0"/>
          <reference field="3" count="1">
            <x v="0"/>
          </reference>
          <reference field="31" count="1" selected="0">
            <x v="4"/>
          </reference>
        </references>
      </pivotArea>
    </format>
    <format dxfId="182">
      <pivotArea dataOnly="0" labelOnly="1" fieldPosition="0">
        <references count="5">
          <reference field="1" count="1" selected="0">
            <x v="2"/>
          </reference>
          <reference field="2" count="0" selected="0"/>
          <reference field="3" count="1" selected="0">
            <x v="2"/>
          </reference>
          <reference field="4" count="1">
            <x v="0"/>
          </reference>
          <reference field="31" count="1" selected="0">
            <x v="0"/>
          </reference>
        </references>
      </pivotArea>
    </format>
    <format dxfId="181">
      <pivotArea dataOnly="0" labelOnly="1" fieldPosition="0">
        <references count="5">
          <reference field="1" count="1" selected="0">
            <x v="0"/>
          </reference>
          <reference field="2" count="0" selected="0"/>
          <reference field="3" count="1" selected="0">
            <x v="0"/>
          </reference>
          <reference field="4" count="4">
            <x v="4"/>
            <x v="5"/>
            <x v="6"/>
            <x v="7"/>
          </reference>
          <reference field="31" count="1" selected="0">
            <x v="1"/>
          </reference>
        </references>
      </pivotArea>
    </format>
    <format dxfId="180">
      <pivotArea dataOnly="0" labelOnly="1" fieldPosition="0">
        <references count="5">
          <reference field="1" count="1" selected="0">
            <x v="1"/>
          </reference>
          <reference field="2" count="0" selected="0"/>
          <reference field="3" count="1" selected="0">
            <x v="1"/>
          </reference>
          <reference field="4" count="1">
            <x v="1"/>
          </reference>
          <reference field="31" count="1" selected="0">
            <x v="2"/>
          </reference>
        </references>
      </pivotArea>
    </format>
    <format dxfId="179">
      <pivotArea dataOnly="0" labelOnly="1" fieldPosition="0">
        <references count="5">
          <reference field="1" count="1" selected="0">
            <x v="1"/>
          </reference>
          <reference field="2" count="0" selected="0"/>
          <reference field="3" count="1" selected="0">
            <x v="1"/>
          </reference>
          <reference field="4" count="2">
            <x v="1"/>
            <x v="2"/>
          </reference>
          <reference field="31" count="1" selected="0">
            <x v="3"/>
          </reference>
        </references>
      </pivotArea>
    </format>
    <format dxfId="178">
      <pivotArea dataOnly="0" labelOnly="1" fieldPosition="0">
        <references count="5">
          <reference field="1" count="1" selected="0">
            <x v="0"/>
          </reference>
          <reference field="2" count="0" selected="0"/>
          <reference field="3" count="1" selected="0">
            <x v="0"/>
          </reference>
          <reference field="4" count="1">
            <x v="3"/>
          </reference>
          <reference field="31" count="1" selected="0">
            <x v="4"/>
          </reference>
        </references>
      </pivotArea>
    </format>
    <format dxfId="177">
      <pivotArea dataOnly="0" labelOnly="1" fieldPosition="0">
        <references count="6">
          <reference field="1" count="1" selected="0">
            <x v="2"/>
          </reference>
          <reference field="2" count="0" selected="0"/>
          <reference field="3" count="1" selected="0">
            <x v="2"/>
          </reference>
          <reference field="4" count="1" selected="0">
            <x v="0"/>
          </reference>
          <reference field="5" count="1">
            <x v="2"/>
          </reference>
          <reference field="31" count="1" selected="0">
            <x v="0"/>
          </reference>
        </references>
      </pivotArea>
    </format>
    <format dxfId="176">
      <pivotArea dataOnly="0" labelOnly="1" fieldPosition="0">
        <references count="6">
          <reference field="1" count="1" selected="0">
            <x v="0"/>
          </reference>
          <reference field="2" count="0" selected="0"/>
          <reference field="3" count="1" selected="0">
            <x v="0"/>
          </reference>
          <reference field="4" count="1" selected="0">
            <x v="4"/>
          </reference>
          <reference field="5" count="1">
            <x v="2"/>
          </reference>
          <reference field="31" count="1" selected="0">
            <x v="1"/>
          </reference>
        </references>
      </pivotArea>
    </format>
    <format dxfId="175">
      <pivotArea dataOnly="0" labelOnly="1" fieldPosition="0">
        <references count="6">
          <reference field="1" count="1" selected="0">
            <x v="0"/>
          </reference>
          <reference field="2" count="0" selected="0"/>
          <reference field="3" count="1" selected="0">
            <x v="0"/>
          </reference>
          <reference field="4" count="1" selected="0">
            <x v="5"/>
          </reference>
          <reference field="5" count="1">
            <x v="2"/>
          </reference>
          <reference field="31" count="1" selected="0">
            <x v="1"/>
          </reference>
        </references>
      </pivotArea>
    </format>
    <format dxfId="174">
      <pivotArea dataOnly="0" labelOnly="1" fieldPosition="0">
        <references count="6">
          <reference field="1" count="1" selected="0">
            <x v="0"/>
          </reference>
          <reference field="2" count="0" selected="0"/>
          <reference field="3" count="1" selected="0">
            <x v="0"/>
          </reference>
          <reference field="4" count="1" selected="0">
            <x v="6"/>
          </reference>
          <reference field="5" count="1">
            <x v="2"/>
          </reference>
          <reference field="31" count="1" selected="0">
            <x v="1"/>
          </reference>
        </references>
      </pivotArea>
    </format>
    <format dxfId="173">
      <pivotArea dataOnly="0" labelOnly="1" fieldPosition="0">
        <references count="6">
          <reference field="1" count="1" selected="0">
            <x v="0"/>
          </reference>
          <reference field="2" count="0" selected="0"/>
          <reference field="3" count="1" selected="0">
            <x v="0"/>
          </reference>
          <reference field="4" count="1" selected="0">
            <x v="7"/>
          </reference>
          <reference field="5" count="1">
            <x v="2"/>
          </reference>
          <reference field="31" count="1" selected="0">
            <x v="1"/>
          </reference>
        </references>
      </pivotArea>
    </format>
    <format dxfId="172">
      <pivotArea dataOnly="0" labelOnly="1" fieldPosition="0">
        <references count="6">
          <reference field="1" count="1" selected="0">
            <x v="1"/>
          </reference>
          <reference field="2" count="0" selected="0"/>
          <reference field="3" count="1" selected="0">
            <x v="1"/>
          </reference>
          <reference field="4" count="1" selected="0">
            <x v="1"/>
          </reference>
          <reference field="5" count="1">
            <x v="1"/>
          </reference>
          <reference field="31" count="1" selected="0">
            <x v="2"/>
          </reference>
        </references>
      </pivotArea>
    </format>
    <format dxfId="171">
      <pivotArea dataOnly="0" labelOnly="1" fieldPosition="0">
        <references count="6">
          <reference field="1" count="1" selected="0">
            <x v="1"/>
          </reference>
          <reference field="2" count="0" selected="0"/>
          <reference field="3" count="1" selected="0">
            <x v="1"/>
          </reference>
          <reference field="4" count="1" selected="0">
            <x v="1"/>
          </reference>
          <reference field="5" count="1">
            <x v="0"/>
          </reference>
          <reference field="31" count="1" selected="0">
            <x v="3"/>
          </reference>
        </references>
      </pivotArea>
    </format>
    <format dxfId="170">
      <pivotArea dataOnly="0" labelOnly="1" fieldPosition="0">
        <references count="6">
          <reference field="1" count="1" selected="0">
            <x v="1"/>
          </reference>
          <reference field="2" count="0" selected="0"/>
          <reference field="3" count="1" selected="0">
            <x v="1"/>
          </reference>
          <reference field="4" count="1" selected="0">
            <x v="2"/>
          </reference>
          <reference field="5" count="1">
            <x v="2"/>
          </reference>
          <reference field="31" count="1" selected="0">
            <x v="3"/>
          </reference>
        </references>
      </pivotArea>
    </format>
    <format dxfId="169">
      <pivotArea dataOnly="0" labelOnly="1" fieldPosition="0">
        <references count="6">
          <reference field="1" count="1" selected="0">
            <x v="0"/>
          </reference>
          <reference field="2" count="0" selected="0"/>
          <reference field="3" count="1" selected="0">
            <x v="0"/>
          </reference>
          <reference field="4" count="1" selected="0">
            <x v="3"/>
          </reference>
          <reference field="5" count="1">
            <x v="2"/>
          </reference>
          <reference field="31" count="1" selected="0">
            <x v="4"/>
          </reference>
        </references>
      </pivotArea>
    </format>
    <format dxfId="168">
      <pivotArea dataOnly="0" labelOnly="1" fieldPosition="0">
        <references count="7">
          <reference field="1" count="1" selected="0">
            <x v="2"/>
          </reference>
          <reference field="2" count="0" selected="0"/>
          <reference field="3" count="1" selected="0">
            <x v="2"/>
          </reference>
          <reference field="4" count="1" selected="0">
            <x v="0"/>
          </reference>
          <reference field="5" count="1" selected="0">
            <x v="2"/>
          </reference>
          <reference field="6" count="0"/>
          <reference field="31" count="1" selected="0">
            <x v="0"/>
          </reference>
        </references>
      </pivotArea>
    </format>
    <format dxfId="167">
      <pivotArea dataOnly="0" labelOnly="1" fieldPosition="0">
        <references count="7">
          <reference field="1" count="1" selected="0">
            <x v="0"/>
          </reference>
          <reference field="2" count="0" selected="0"/>
          <reference field="3" count="1" selected="0">
            <x v="0"/>
          </reference>
          <reference field="4" count="1" selected="0">
            <x v="4"/>
          </reference>
          <reference field="5" count="1" selected="0">
            <x v="2"/>
          </reference>
          <reference field="6" count="0"/>
          <reference field="31" count="1" selected="0">
            <x v="1"/>
          </reference>
        </references>
      </pivotArea>
    </format>
    <format dxfId="166">
      <pivotArea dataOnly="0" labelOnly="1" fieldPosition="0">
        <references count="7">
          <reference field="1" count="1" selected="0">
            <x v="0"/>
          </reference>
          <reference field="2" count="0" selected="0"/>
          <reference field="3" count="1" selected="0">
            <x v="0"/>
          </reference>
          <reference field="4" count="1" selected="0">
            <x v="5"/>
          </reference>
          <reference field="5" count="1" selected="0">
            <x v="2"/>
          </reference>
          <reference field="6" count="0"/>
          <reference field="31" count="1" selected="0">
            <x v="1"/>
          </reference>
        </references>
      </pivotArea>
    </format>
    <format dxfId="165">
      <pivotArea dataOnly="0" labelOnly="1" fieldPosition="0">
        <references count="7">
          <reference field="1" count="1" selected="0">
            <x v="0"/>
          </reference>
          <reference field="2" count="0" selected="0"/>
          <reference field="3" count="1" selected="0">
            <x v="0"/>
          </reference>
          <reference field="4" count="1" selected="0">
            <x v="6"/>
          </reference>
          <reference field="5" count="1" selected="0">
            <x v="2"/>
          </reference>
          <reference field="6" count="0"/>
          <reference field="31" count="1" selected="0">
            <x v="1"/>
          </reference>
        </references>
      </pivotArea>
    </format>
    <format dxfId="164">
      <pivotArea dataOnly="0" labelOnly="1" fieldPosition="0">
        <references count="7">
          <reference field="1" count="1" selected="0">
            <x v="0"/>
          </reference>
          <reference field="2" count="0" selected="0"/>
          <reference field="3" count="1" selected="0">
            <x v="0"/>
          </reference>
          <reference field="4" count="1" selected="0">
            <x v="7"/>
          </reference>
          <reference field="5" count="1" selected="0">
            <x v="2"/>
          </reference>
          <reference field="6" count="0"/>
          <reference field="31" count="1" selected="0">
            <x v="1"/>
          </reference>
        </references>
      </pivotArea>
    </format>
    <format dxfId="163">
      <pivotArea dataOnly="0" labelOnly="1" fieldPosition="0">
        <references count="7">
          <reference field="1" count="1" selected="0">
            <x v="1"/>
          </reference>
          <reference field="2" count="0" selected="0"/>
          <reference field="3" count="1" selected="0">
            <x v="1"/>
          </reference>
          <reference field="4" count="1" selected="0">
            <x v="1"/>
          </reference>
          <reference field="5" count="1" selected="0">
            <x v="1"/>
          </reference>
          <reference field="6" count="0"/>
          <reference field="31" count="1" selected="0">
            <x v="2"/>
          </reference>
        </references>
      </pivotArea>
    </format>
    <format dxfId="162">
      <pivotArea dataOnly="0" labelOnly="1" fieldPosition="0">
        <references count="7">
          <reference field="1" count="1" selected="0">
            <x v="1"/>
          </reference>
          <reference field="2" count="0" selected="0"/>
          <reference field="3" count="1" selected="0">
            <x v="1"/>
          </reference>
          <reference field="4" count="1" selected="0">
            <x v="1"/>
          </reference>
          <reference field="5" count="1" selected="0">
            <x v="0"/>
          </reference>
          <reference field="6" count="0"/>
          <reference field="31" count="1" selected="0">
            <x v="3"/>
          </reference>
        </references>
      </pivotArea>
    </format>
    <format dxfId="161">
      <pivotArea dataOnly="0" labelOnly="1" fieldPosition="0">
        <references count="7">
          <reference field="1" count="1" selected="0">
            <x v="1"/>
          </reference>
          <reference field="2" count="0" selected="0"/>
          <reference field="3" count="1" selected="0">
            <x v="1"/>
          </reference>
          <reference field="4" count="1" selected="0">
            <x v="2"/>
          </reference>
          <reference field="5" count="1" selected="0">
            <x v="2"/>
          </reference>
          <reference field="6" count="0"/>
          <reference field="31" count="1" selected="0">
            <x v="3"/>
          </reference>
        </references>
      </pivotArea>
    </format>
    <format dxfId="160">
      <pivotArea dataOnly="0" labelOnly="1" fieldPosition="0">
        <references count="7">
          <reference field="1" count="1" selected="0">
            <x v="0"/>
          </reference>
          <reference field="2" count="0" selected="0"/>
          <reference field="3" count="1" selected="0">
            <x v="0"/>
          </reference>
          <reference field="4" count="1" selected="0">
            <x v="3"/>
          </reference>
          <reference field="5" count="1" selected="0">
            <x v="2"/>
          </reference>
          <reference field="6" count="0"/>
          <reference field="31" count="1" selected="0">
            <x v="4"/>
          </reference>
        </references>
      </pivotArea>
    </format>
    <format dxfId="159">
      <pivotArea dataOnly="0" labelOnly="1" fieldPosition="0">
        <references count="8">
          <reference field="1" count="1" selected="0">
            <x v="2"/>
          </reference>
          <reference field="2" count="0" selected="0"/>
          <reference field="3" count="1" selected="0">
            <x v="2"/>
          </reference>
          <reference field="4" count="1" selected="0">
            <x v="0"/>
          </reference>
          <reference field="5" count="1" selected="0">
            <x v="2"/>
          </reference>
          <reference field="6" count="0" selected="0"/>
          <reference field="7" count="0"/>
          <reference field="31" count="1" selected="0">
            <x v="0"/>
          </reference>
        </references>
      </pivotArea>
    </format>
    <format dxfId="158">
      <pivotArea dataOnly="0" labelOnly="1" fieldPosition="0">
        <references count="8">
          <reference field="1" count="1" selected="0">
            <x v="0"/>
          </reference>
          <reference field="2" count="0" selected="0"/>
          <reference field="3" count="1" selected="0">
            <x v="0"/>
          </reference>
          <reference field="4" count="1" selected="0">
            <x v="4"/>
          </reference>
          <reference field="5" count="1" selected="0">
            <x v="2"/>
          </reference>
          <reference field="6" count="0" selected="0"/>
          <reference field="7" count="0"/>
          <reference field="31" count="1" selected="0">
            <x v="1"/>
          </reference>
        </references>
      </pivotArea>
    </format>
    <format dxfId="157">
      <pivotArea dataOnly="0" labelOnly="1" fieldPosition="0">
        <references count="8">
          <reference field="1" count="1" selected="0">
            <x v="0"/>
          </reference>
          <reference field="2" count="0" selected="0"/>
          <reference field="3" count="1" selected="0">
            <x v="0"/>
          </reference>
          <reference field="4" count="1" selected="0">
            <x v="5"/>
          </reference>
          <reference field="5" count="1" selected="0">
            <x v="2"/>
          </reference>
          <reference field="6" count="0" selected="0"/>
          <reference field="7" count="0"/>
          <reference field="31" count="1" selected="0">
            <x v="1"/>
          </reference>
        </references>
      </pivotArea>
    </format>
    <format dxfId="156">
      <pivotArea dataOnly="0" labelOnly="1" fieldPosition="0">
        <references count="8">
          <reference field="1" count="1" selected="0">
            <x v="0"/>
          </reference>
          <reference field="2" count="0" selected="0"/>
          <reference field="3" count="1" selected="0">
            <x v="0"/>
          </reference>
          <reference field="4" count="1" selected="0">
            <x v="6"/>
          </reference>
          <reference field="5" count="1" selected="0">
            <x v="2"/>
          </reference>
          <reference field="6" count="0" selected="0"/>
          <reference field="7" count="0"/>
          <reference field="31" count="1" selected="0">
            <x v="1"/>
          </reference>
        </references>
      </pivotArea>
    </format>
    <format dxfId="155">
      <pivotArea dataOnly="0" labelOnly="1" fieldPosition="0">
        <references count="8">
          <reference field="1" count="1" selected="0">
            <x v="0"/>
          </reference>
          <reference field="2" count="0" selected="0"/>
          <reference field="3" count="1" selected="0">
            <x v="0"/>
          </reference>
          <reference field="4" count="1" selected="0">
            <x v="7"/>
          </reference>
          <reference field="5" count="1" selected="0">
            <x v="2"/>
          </reference>
          <reference field="6" count="0" selected="0"/>
          <reference field="7" count="0"/>
          <reference field="31" count="1" selected="0">
            <x v="1"/>
          </reference>
        </references>
      </pivotArea>
    </format>
    <format dxfId="154">
      <pivotArea dataOnly="0" labelOnly="1" fieldPosition="0">
        <references count="8">
          <reference field="1" count="1" selected="0">
            <x v="1"/>
          </reference>
          <reference field="2" count="0" selected="0"/>
          <reference field="3" count="1" selected="0">
            <x v="1"/>
          </reference>
          <reference field="4" count="1" selected="0">
            <x v="1"/>
          </reference>
          <reference field="5" count="1" selected="0">
            <x v="1"/>
          </reference>
          <reference field="6" count="0" selected="0"/>
          <reference field="7" count="0"/>
          <reference field="31" count="1" selected="0">
            <x v="2"/>
          </reference>
        </references>
      </pivotArea>
    </format>
    <format dxfId="153">
      <pivotArea dataOnly="0" labelOnly="1" fieldPosition="0">
        <references count="8">
          <reference field="1" count="1" selected="0">
            <x v="1"/>
          </reference>
          <reference field="2" count="0" selected="0"/>
          <reference field="3" count="1" selected="0">
            <x v="1"/>
          </reference>
          <reference field="4" count="1" selected="0">
            <x v="1"/>
          </reference>
          <reference field="5" count="1" selected="0">
            <x v="0"/>
          </reference>
          <reference field="6" count="0" selected="0"/>
          <reference field="7" count="0"/>
          <reference field="31" count="1" selected="0">
            <x v="3"/>
          </reference>
        </references>
      </pivotArea>
    </format>
    <format dxfId="152">
      <pivotArea dataOnly="0" labelOnly="1" fieldPosition="0">
        <references count="8">
          <reference field="1" count="1" selected="0">
            <x v="1"/>
          </reference>
          <reference field="2" count="0" selected="0"/>
          <reference field="3" count="1" selected="0">
            <x v="1"/>
          </reference>
          <reference field="4" count="1" selected="0">
            <x v="2"/>
          </reference>
          <reference field="5" count="1" selected="0">
            <x v="2"/>
          </reference>
          <reference field="6" count="0" selected="0"/>
          <reference field="7" count="0"/>
          <reference field="31" count="1" selected="0">
            <x v="3"/>
          </reference>
        </references>
      </pivotArea>
    </format>
    <format dxfId="151">
      <pivotArea dataOnly="0" labelOnly="1" fieldPosition="0">
        <references count="8">
          <reference field="1" count="1" selected="0">
            <x v="0"/>
          </reference>
          <reference field="2" count="0" selected="0"/>
          <reference field="3" count="1" selected="0">
            <x v="0"/>
          </reference>
          <reference field="4" count="1" selected="0">
            <x v="3"/>
          </reference>
          <reference field="5" count="1" selected="0">
            <x v="2"/>
          </reference>
          <reference field="6" count="0" selected="0"/>
          <reference field="7" count="0"/>
          <reference field="31" count="1" selected="0">
            <x v="4"/>
          </reference>
        </references>
      </pivotArea>
    </format>
    <format dxfId="150">
      <pivotArea dataOnly="0" labelOnly="1" fieldPosition="0">
        <references count="9">
          <reference field="1" count="1" selected="0">
            <x v="2"/>
          </reference>
          <reference field="2" count="0" selected="0"/>
          <reference field="3" count="1" selected="0">
            <x v="2"/>
          </reference>
          <reference field="4" count="1" selected="0">
            <x v="0"/>
          </reference>
          <reference field="5" count="1" selected="0">
            <x v="2"/>
          </reference>
          <reference field="6" count="0" selected="0"/>
          <reference field="7" count="0" selected="0"/>
          <reference field="8" count="0"/>
          <reference field="31" count="1" selected="0">
            <x v="0"/>
          </reference>
        </references>
      </pivotArea>
    </format>
    <format dxfId="149">
      <pivotArea dataOnly="0" labelOnly="1" fieldPosition="0">
        <references count="9">
          <reference field="1" count="1" selected="0">
            <x v="0"/>
          </reference>
          <reference field="2" count="0" selected="0"/>
          <reference field="3" count="1" selected="0">
            <x v="0"/>
          </reference>
          <reference field="4" count="1" selected="0">
            <x v="4"/>
          </reference>
          <reference field="5" count="1" selected="0">
            <x v="2"/>
          </reference>
          <reference field="6" count="0" selected="0"/>
          <reference field="7" count="0" selected="0"/>
          <reference field="8" count="0"/>
          <reference field="31" count="1" selected="0">
            <x v="1"/>
          </reference>
        </references>
      </pivotArea>
    </format>
    <format dxfId="148">
      <pivotArea dataOnly="0" labelOnly="1" fieldPosition="0">
        <references count="9">
          <reference field="1" count="1" selected="0">
            <x v="0"/>
          </reference>
          <reference field="2" count="0" selected="0"/>
          <reference field="3" count="1" selected="0">
            <x v="0"/>
          </reference>
          <reference field="4" count="1" selected="0">
            <x v="5"/>
          </reference>
          <reference field="5" count="1" selected="0">
            <x v="2"/>
          </reference>
          <reference field="6" count="0" selected="0"/>
          <reference field="7" count="0" selected="0"/>
          <reference field="8" count="0"/>
          <reference field="31" count="1" selected="0">
            <x v="1"/>
          </reference>
        </references>
      </pivotArea>
    </format>
    <format dxfId="147">
      <pivotArea dataOnly="0" labelOnly="1" fieldPosition="0">
        <references count="9">
          <reference field="1" count="1" selected="0">
            <x v="0"/>
          </reference>
          <reference field="2" count="0" selected="0"/>
          <reference field="3" count="1" selected="0">
            <x v="0"/>
          </reference>
          <reference field="4" count="1" selected="0">
            <x v="6"/>
          </reference>
          <reference field="5" count="1" selected="0">
            <x v="2"/>
          </reference>
          <reference field="6" count="0" selected="0"/>
          <reference field="7" count="0" selected="0"/>
          <reference field="8" count="0"/>
          <reference field="31" count="1" selected="0">
            <x v="1"/>
          </reference>
        </references>
      </pivotArea>
    </format>
    <format dxfId="146">
      <pivotArea dataOnly="0" labelOnly="1" fieldPosition="0">
        <references count="9">
          <reference field="1" count="1" selected="0">
            <x v="0"/>
          </reference>
          <reference field="2" count="0" selected="0"/>
          <reference field="3" count="1" selected="0">
            <x v="0"/>
          </reference>
          <reference field="4" count="1" selected="0">
            <x v="7"/>
          </reference>
          <reference field="5" count="1" selected="0">
            <x v="2"/>
          </reference>
          <reference field="6" count="0" selected="0"/>
          <reference field="7" count="0" selected="0"/>
          <reference field="8" count="0"/>
          <reference field="31" count="1" selected="0">
            <x v="1"/>
          </reference>
        </references>
      </pivotArea>
    </format>
    <format dxfId="145">
      <pivotArea dataOnly="0" labelOnly="1" fieldPosition="0">
        <references count="9">
          <reference field="1" count="1" selected="0">
            <x v="1"/>
          </reference>
          <reference field="2" count="0" selected="0"/>
          <reference field="3" count="1" selected="0">
            <x v="1"/>
          </reference>
          <reference field="4" count="1" selected="0">
            <x v="1"/>
          </reference>
          <reference field="5" count="1" selected="0">
            <x v="1"/>
          </reference>
          <reference field="6" count="0" selected="0"/>
          <reference field="7" count="0" selected="0"/>
          <reference field="8" count="10">
            <x v="0"/>
            <x v="2"/>
            <x v="3"/>
            <x v="4"/>
            <x v="5"/>
            <x v="6"/>
            <x v="7"/>
            <x v="8"/>
            <x v="9"/>
            <x v="10"/>
          </reference>
          <reference field="31" count="1" selected="0">
            <x v="2"/>
          </reference>
        </references>
      </pivotArea>
    </format>
    <format dxfId="144">
      <pivotArea dataOnly="0" labelOnly="1" fieldPosition="0">
        <references count="9">
          <reference field="1" count="1" selected="0">
            <x v="1"/>
          </reference>
          <reference field="2" count="0" selected="0"/>
          <reference field="3" count="1" selected="0">
            <x v="1"/>
          </reference>
          <reference field="4" count="1" selected="0">
            <x v="1"/>
          </reference>
          <reference field="5" count="1" selected="0">
            <x v="0"/>
          </reference>
          <reference field="6" count="0" selected="0"/>
          <reference field="7" count="0" selected="0"/>
          <reference field="8" count="8">
            <x v="0"/>
            <x v="1"/>
            <x v="2"/>
            <x v="3"/>
            <x v="4"/>
            <x v="6"/>
            <x v="9"/>
            <x v="11"/>
          </reference>
          <reference field="31" count="1" selected="0">
            <x v="3"/>
          </reference>
        </references>
      </pivotArea>
    </format>
    <format dxfId="143">
      <pivotArea dataOnly="0" labelOnly="1" fieldPosition="0">
        <references count="9">
          <reference field="1" count="1" selected="0">
            <x v="1"/>
          </reference>
          <reference field="2" count="0" selected="0"/>
          <reference field="3" count="1" selected="0">
            <x v="1"/>
          </reference>
          <reference field="4" count="1" selected="0">
            <x v="2"/>
          </reference>
          <reference field="5" count="1" selected="0">
            <x v="2"/>
          </reference>
          <reference field="6" count="0" selected="0"/>
          <reference field="7" count="0" selected="0"/>
          <reference field="8" count="0"/>
          <reference field="31" count="1" selected="0">
            <x v="3"/>
          </reference>
        </references>
      </pivotArea>
    </format>
    <format dxfId="142">
      <pivotArea dataOnly="0" labelOnly="1" fieldPosition="0">
        <references count="9">
          <reference field="1" count="1" selected="0">
            <x v="0"/>
          </reference>
          <reference field="2" count="0" selected="0"/>
          <reference field="3" count="1" selected="0">
            <x v="0"/>
          </reference>
          <reference field="4" count="1" selected="0">
            <x v="3"/>
          </reference>
          <reference field="5" count="1" selected="0">
            <x v="2"/>
          </reference>
          <reference field="6" count="0" selected="0"/>
          <reference field="7" count="0" selected="0"/>
          <reference field="8" count="1">
            <x v="0"/>
          </reference>
          <reference field="31" count="1" selected="0">
            <x v="4"/>
          </reference>
        </references>
      </pivotArea>
    </format>
    <format dxfId="141">
      <pivotArea dataOnly="0" labelOnly="1" outline="0" fieldPosition="0">
        <references count="1">
          <reference field="4294967294" count="6">
            <x v="0"/>
            <x v="1"/>
            <x v="2"/>
            <x v="3"/>
            <x v="4"/>
            <x v="5"/>
          </reference>
        </references>
      </pivotArea>
    </format>
  </formats>
  <pivotTableStyleInfo name="PivotStyleMedium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1982529C-D067-4856-BB68-E73A7972CA6E}" autoFormatId="0" applyNumberFormats="0" applyBorderFormats="0" applyFontFormats="1" applyPatternFormats="1" applyAlignmentFormats="0" applyWidthHeightFormats="0">
  <queryTableRefresh nextId="43">
    <queryTableFields count="42">
      <queryTableField id="1" name="SUBGRUPO" tableColumnId="43"/>
      <queryTableField id="2" name="MODALIDADE" tableColumnId="44"/>
      <queryTableField id="3" name="CLASSE" tableColumnId="45"/>
      <queryTableField id="4" name="SUBCLASSE" tableColumnId="46"/>
      <queryTableField id="5" name="DETALHE" tableColumnId="47"/>
      <queryTableField id="6" name="POSTO" tableColumnId="48"/>
      <queryTableField id="7" name="UNIDADE" tableColumnId="49"/>
      <queryTableField id="8" name="ACESSANTE" tableColumnId="50"/>
      <queryTableField id="9" name="Total TUSD" tableColumnId="51"/>
      <queryTableField id="10" name="Total TE" tableColumnId="52"/>
      <queryTableField id="11" name="TUSD_CDE_COVID" tableColumnId="53"/>
      <queryTableField id="12" name="TUSD_TFSEE" tableColumnId="54"/>
      <queryTableField id="13" name="TUSD_PeD" tableColumnId="55"/>
      <queryTableField id="14" name="TUSD_ONS" tableColumnId="56"/>
      <queryTableField id="15" name="TUSD_CCC" tableColumnId="57"/>
      <queryTableField id="16" name="TUSD_CDE" tableColumnId="58"/>
      <queryTableField id="17" name="TUSD_PROINFA" tableColumnId="59"/>
      <queryTableField id="18" name="Liminar1" tableColumnId="60"/>
      <queryTableField id="19" name="TUSD_RB" tableColumnId="61"/>
      <queryTableField id="20" name="TUSD_FR" tableColumnId="62"/>
      <queryTableField id="21" name="TUSD_CCT" tableColumnId="63"/>
      <queryTableField id="22" name="TUSD_CCD" tableColumnId="64"/>
      <queryTableField id="23" name="TUSD_CUSD" tableColumnId="65"/>
      <queryTableField id="24" name="TUSDG_T" tableColumnId="66"/>
      <queryTableField id="25" name="TUSDG_ONS" tableColumnId="67"/>
      <queryTableField id="26" name="TUSD_FioB" tableColumnId="68"/>
      <queryTableField id="27" name="TUSD Subsidio" tableColumnId="69"/>
      <queryTableField id="28" name="TUSD Outros" tableColumnId="70"/>
      <queryTableField id="29" name="TUSD_PT" tableColumnId="71"/>
      <queryTableField id="30" name="TUSD_Per_RB_D" tableColumnId="72"/>
      <queryTableField id="31" name="TUSD_PNT" tableColumnId="73"/>
      <queryTableField id="32" name="TUSD_RI" tableColumnId="74"/>
      <queryTableField id="33" name="TE_CDE_COVID" tableColumnId="75"/>
      <queryTableField id="34" name="TE_PeD" tableColumnId="76"/>
      <queryTableField id="35" name="TE_ESSERR" tableColumnId="77"/>
      <queryTableField id="36" name="TE_CFURH" tableColumnId="78"/>
      <queryTableField id="37" name="TE_ENERGIA" tableColumnId="79"/>
      <queryTableField id="38" name="TE_TRANSPORTE_ITAIPU" tableColumnId="80"/>
      <queryTableField id="39" name="TE_TUST_ITAIPU" tableColumnId="81"/>
      <queryTableField id="40" name="TE_TUST_CI" tableColumnId="82"/>
      <queryTableField id="41" name="TE Subsidio" tableColumnId="83"/>
      <queryTableField id="42" name="TE_Per_RB" tableColumnId="8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2" xr16:uid="{CFC8C074-65A9-4BB5-8825-B3D299BA5E82}" autoFormatId="0" applyNumberFormats="0" applyBorderFormats="0" applyFontFormats="1" applyPatternFormats="1" applyAlignmentFormats="0" applyWidthHeightFormats="0">
  <queryTableRefresh nextId="43">
    <queryTableFields count="42">
      <queryTableField id="1" name="SUBGRUPO" tableColumnId="43"/>
      <queryTableField id="2" name="MODALIDADE" tableColumnId="44"/>
      <queryTableField id="3" name="CLASSE" tableColumnId="45"/>
      <queryTableField id="4" name="SUBCLASSE" tableColumnId="46"/>
      <queryTableField id="5" name="DETALHE" tableColumnId="47"/>
      <queryTableField id="6" name="POSTO" tableColumnId="48"/>
      <queryTableField id="7" name="UNIDADE" tableColumnId="49"/>
      <queryTableField id="8" name="ACESSANTE" tableColumnId="50"/>
      <queryTableField id="9" name="Total TUSD" tableColumnId="51"/>
      <queryTableField id="10" name="Total TE" tableColumnId="52"/>
      <queryTableField id="11" name="TUSD_CDE_COVID" tableColumnId="53"/>
      <queryTableField id="12" name="TUSD_TFSEE" tableColumnId="54"/>
      <queryTableField id="13" name="TUSD_PeD" tableColumnId="55"/>
      <queryTableField id="14" name="TUSD_ONS" tableColumnId="56"/>
      <queryTableField id="15" name="TUSD_CCC" tableColumnId="57"/>
      <queryTableField id="16" name="TUSD_CDE" tableColumnId="58"/>
      <queryTableField id="17" name="TUSD_PROINFA" tableColumnId="59"/>
      <queryTableField id="18" name="Liminar1" tableColumnId="60"/>
      <queryTableField id="19" name="TUSD_RB" tableColumnId="61"/>
      <queryTableField id="20" name="TUSD_FR" tableColumnId="62"/>
      <queryTableField id="21" name="TUSD_CCT" tableColumnId="63"/>
      <queryTableField id="22" name="TUSD_CCD" tableColumnId="64"/>
      <queryTableField id="23" name="TUSD_CUSD" tableColumnId="65"/>
      <queryTableField id="24" name="TUSDG_T" tableColumnId="66"/>
      <queryTableField id="25" name="TUSDG_ONS" tableColumnId="67"/>
      <queryTableField id="26" name="TUSD_FioB" tableColumnId="68"/>
      <queryTableField id="27" name="TUSD Subsidio" tableColumnId="69"/>
      <queryTableField id="28" name="TUSD Outros" tableColumnId="70"/>
      <queryTableField id="29" name="TUSD_PT" tableColumnId="71"/>
      <queryTableField id="30" name="TUSD_Per_RB_D" tableColumnId="72"/>
      <queryTableField id="31" name="TUSD_PNT" tableColumnId="73"/>
      <queryTableField id="32" name="TUSD_RI" tableColumnId="74"/>
      <queryTableField id="33" name="TE_CDE_COVID" tableColumnId="75"/>
      <queryTableField id="34" name="TE_PeD" tableColumnId="76"/>
      <queryTableField id="35" name="TE_ESSERR" tableColumnId="77"/>
      <queryTableField id="36" name="TE_CFURH" tableColumnId="78"/>
      <queryTableField id="37" name="TE_ENERGIA" tableColumnId="79"/>
      <queryTableField id="38" name="TE_TRANSPORTE_ITAIPU" tableColumnId="80"/>
      <queryTableField id="39" name="TE_TUST_ITAIPU" tableColumnId="81"/>
      <queryTableField id="40" name="TE_TUST_CI" tableColumnId="82"/>
      <queryTableField id="41" name="TE Subsidio" tableColumnId="83"/>
      <queryTableField id="42" name="TE_Per_RB" tableColumnId="8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3" xr16:uid="{A246FA6B-7A59-4A80-9230-D0A2146FD70B}" autoFormatId="0" applyNumberFormats="0" applyBorderFormats="0" applyFontFormats="1" applyPatternFormats="1" applyAlignmentFormats="0" applyWidthHeightFormats="0">
  <queryTableRefresh nextId="43">
    <queryTableFields count="42">
      <queryTableField id="1" name="SUBGRUPO" tableColumnId="43"/>
      <queryTableField id="2" name="MODALIDADE" tableColumnId="44"/>
      <queryTableField id="3" name="CLASSE" tableColumnId="45"/>
      <queryTableField id="4" name="SUBCLASSE" tableColumnId="46"/>
      <queryTableField id="5" name="DETALHE" tableColumnId="47"/>
      <queryTableField id="6" name="POSTO" tableColumnId="48"/>
      <queryTableField id="7" name="UNIDADE" tableColumnId="49"/>
      <queryTableField id="8" name="ACESSANTE" tableColumnId="50"/>
      <queryTableField id="9" name="Total TUSD" tableColumnId="51"/>
      <queryTableField id="10" name="Total TE" tableColumnId="52"/>
      <queryTableField id="11" name="TUSD_CDE_COVID" tableColumnId="53"/>
      <queryTableField id="12" name="TUSD_TFSEE" tableColumnId="54"/>
      <queryTableField id="13" name="TUSD_PeD" tableColumnId="55"/>
      <queryTableField id="14" name="TUSD_ONS" tableColumnId="56"/>
      <queryTableField id="15" name="TUSD_CCC" tableColumnId="57"/>
      <queryTableField id="16" name="TUSD_CDE" tableColumnId="58"/>
      <queryTableField id="17" name="TUSD_PROINFA" tableColumnId="59"/>
      <queryTableField id="18" name="Liminar1" tableColumnId="60"/>
      <queryTableField id="19" name="TUSD_RB" tableColumnId="61"/>
      <queryTableField id="20" name="TUSD_FR" tableColumnId="62"/>
      <queryTableField id="21" name="TUSD_CCT" tableColumnId="63"/>
      <queryTableField id="22" name="TUSD_CCD" tableColumnId="64"/>
      <queryTableField id="23" name="TUSD_CUSD" tableColumnId="65"/>
      <queryTableField id="24" name="TUSDG_T" tableColumnId="66"/>
      <queryTableField id="25" name="TUSDG_ONS" tableColumnId="67"/>
      <queryTableField id="26" name="TUSD_FioB" tableColumnId="68"/>
      <queryTableField id="27" name="TUSD Subsidio" tableColumnId="69"/>
      <queryTableField id="28" name="TUSD Outros" tableColumnId="70"/>
      <queryTableField id="29" name="TUSD_PT" tableColumnId="71"/>
      <queryTableField id="30" name="TUSD_Per_RB_D" tableColumnId="72"/>
      <queryTableField id="31" name="TUSD_PNT" tableColumnId="73"/>
      <queryTableField id="32" name="TUSD_RI" tableColumnId="74"/>
      <queryTableField id="33" name="TE_CDE_COVID" tableColumnId="75"/>
      <queryTableField id="34" name="TE_PeD" tableColumnId="76"/>
      <queryTableField id="35" name="TE_ESSERR" tableColumnId="77"/>
      <queryTableField id="36" name="TE_CFURH" tableColumnId="78"/>
      <queryTableField id="37" name="TE_ENERGIA" tableColumnId="79"/>
      <queryTableField id="38" name="TE_TRANSPORTE_ITAIPU" tableColumnId="80"/>
      <queryTableField id="39" name="TE_TUST_ITAIPU" tableColumnId="81"/>
      <queryTableField id="40" name="TE_TUST_CI" tableColumnId="82"/>
      <queryTableField id="41" name="TE Subsidio" tableColumnId="83"/>
      <queryTableField id="42" name="TE_Per_RB" tableColumnId="84"/>
    </queryTable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6F9216D-B0A7-49DE-BEB5-64C3AE22F2E5}" name="Efeito" displayName="Efeito" ref="A1:AG469" totalsRowShown="0" headerRowDxfId="581" dataDxfId="580">
  <autoFilter ref="A1:AG469" xr:uid="{36F9216D-B0A7-49DE-BEB5-64C3AE22F2E5}"/>
  <tableColumns count="33">
    <tableColumn id="1" xr3:uid="{576B301D-B296-47A6-B966-18344D2F105B}" name="TipoMercado" dataDxfId="579"/>
    <tableColumn id="2" xr3:uid="{05039990-E86D-49AF-BAE3-CDD247DA5171}" name="Subgrupo" dataDxfId="578"/>
    <tableColumn id="3" xr3:uid="{AB33916D-4F66-4342-A098-14766F0B76CD}" name="Modalidade" dataDxfId="577"/>
    <tableColumn id="4" xr3:uid="{8412FEFA-6D8B-4525-819F-AE2113A2756F}" name="Classe" dataDxfId="576"/>
    <tableColumn id="5" xr3:uid="{AC5AEF89-2D4B-4452-8F7B-34B6FF4C606E}" name="Subclasse" dataDxfId="575"/>
    <tableColumn id="6" xr3:uid="{1254DA86-6164-4E37-BE4D-E3DA2D716EA7}" name="Detalhe" dataDxfId="574"/>
    <tableColumn id="7" xr3:uid="{7E0D9E9F-BA85-4763-97DD-C698EEA294ED}" name="Agente" dataDxfId="573"/>
    <tableColumn id="8" xr3:uid="{856197AD-B883-45CA-A915-BC1C778F0760}" name="Posto" dataDxfId="572"/>
    <tableColumn id="9" xr3:uid="{A94C9F6D-455F-4774-99C8-DB7082925612}" name="AnoMes" dataDxfId="571"/>
    <tableColumn id="10" xr3:uid="{AD21640D-1166-4E4D-974B-6EE3638436FC}" name="D" dataDxfId="570"/>
    <tableColumn id="11" xr3:uid="{DAF4083A-3A13-49CF-B50F-C71798E04CCD}" name="Daj" dataDxfId="569"/>
    <tableColumn id="12" xr3:uid="{D34A6D2A-50A8-4585-83C7-EA64A9090E01}" name="TUSD_E" dataDxfId="568"/>
    <tableColumn id="13" xr3:uid="{F92A94D4-D825-45D3-9750-652697E84BF5}" name="TUSD_Eaj" dataDxfId="567"/>
    <tableColumn id="14" xr3:uid="{8416A160-D195-49B0-9563-13A503C28826}" name="TE_E" dataDxfId="566"/>
    <tableColumn id="15" xr3:uid="{1420F195-9114-4F3B-BA92-076037B11FBF}" name="TE_Eaj" dataDxfId="565"/>
    <tableColumn id="16" xr3:uid="{0B81266A-11C7-4F51-AC06-4C0AC4A6A11A}" name="UC" dataDxfId="564"/>
    <tableColumn id="17" xr3:uid="{8E36A416-0203-4616-9618-52CCCE6063E0}" name="OPÇÃO" dataDxfId="563"/>
    <tableColumn id="18" xr3:uid="{B1022D11-0126-4B88-AB3B-354B3904F7B0}" name="CóD. AUX." dataDxfId="562"/>
    <tableColumn id="19" xr3:uid="{CDE62365-4775-49B6-B462-0298266E199E}" name="CóD. AUX. TUSD R$/kW" dataDxfId="561"/>
    <tableColumn id="20" xr3:uid="{0E85431F-970B-4A99-BD5F-3127EC0D6294}" name="CóD. AUX. TUSD R$/MWh" dataDxfId="560"/>
    <tableColumn id="21" xr3:uid="{A83536FF-D565-44B7-A9A4-B181D206A985}" name="CóD. AUX. TE R$/MWh" dataDxfId="559"/>
    <tableColumn id="22" xr3:uid="{A9D18ECA-1F21-4FF1-B086-F1610612909C}" name="TUSD (R$/kW)" dataDxfId="558"/>
    <tableColumn id="23" xr3:uid="{08BEF2EC-A3C7-4F71-827D-FBBCE121D1D8}" name="TUSD (R$/MWh)" dataDxfId="557"/>
    <tableColumn id="24" xr3:uid="{A7F65F04-5624-430E-A115-412DD21388AD}" name="TE (R$/MWh)" dataDxfId="556"/>
    <tableColumn id="25" xr3:uid="{532B115E-10BA-4FE6-A8A0-1B095C65DEF5}" name="TUSD (R$/kW) NOVA" dataDxfId="555"/>
    <tableColumn id="26" xr3:uid="{6E141F69-9108-4D2C-941F-D68B48787DBC}" name="TUSD (R$/MWh) NOVA" dataDxfId="554">
      <calculatedColumnFormula>('TUSD BE'!$AM$50+'TUSD BF'!$AM$50+'TUSD CVA'!$AM$50)*1</calculatedColumnFormula>
    </tableColumn>
    <tableColumn id="27" xr3:uid="{C1CB81A2-C945-46DC-A69B-34F80473FE4E}" name="TE (R$/MWh) NOVA" dataDxfId="553">
      <calculatedColumnFormula>('TE BE'!$AA$41+'TE BF'!$AA$41+'TE CVA'!$AA$41)*1</calculatedColumnFormula>
    </tableColumn>
    <tableColumn id="28" xr3:uid="{48E64296-E661-449E-A1CB-A39D72CED375}" name="RA0 ou RV - TUSD (kW)" dataDxfId="552"/>
    <tableColumn id="29" xr3:uid="{FE68859A-B451-4CA6-B186-34FF4681FBD5}" name="RA0 ou RV - TUSD (MWh)" dataDxfId="551"/>
    <tableColumn id="30" xr3:uid="{6F60930A-4F1F-49AA-B21C-F6018FFA7AE2}" name="RA0 ou RV - TE (MWh)" dataDxfId="550"/>
    <tableColumn id="31" xr3:uid="{B8CAA651-7955-499E-9063-51870AE1E44A}" name="RA1 ou RRD - TUSD (kW)" dataDxfId="549"/>
    <tableColumn id="32" xr3:uid="{B9A0A7ED-BD10-486D-B9DD-5EF952F57C7F}" name="RA1 ou RRD - TUSD (MWh)" dataDxfId="548"/>
    <tableColumn id="33" xr3:uid="{C2030459-A77F-4F70-BEAD-CA6C53D10F53}" name="RA1 ou RRD - TE (MWh)" dataDxfId="54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037927B-1114-4B71-B414-5FD35BFA8FC9}" name="Subsidio" displayName="Subsidio" ref="A1:AF137" totalsRowShown="0" headerRowDxfId="546" dataDxfId="545">
  <autoFilter ref="A1:AF137" xr:uid="{A037927B-1114-4B71-B414-5FD35BFA8FC9}"/>
  <tableColumns count="32">
    <tableColumn id="1" xr3:uid="{180857A1-75CF-4AD0-99F9-F0E28FC1945A}" name="TipoMercado" dataDxfId="544"/>
    <tableColumn id="2" xr3:uid="{BA52C208-1554-4252-BCFF-F8C8773AE561}" name="Subgrupo" dataDxfId="543"/>
    <tableColumn id="3" xr3:uid="{93F761BF-F14C-4A47-BF2C-AEAD26486263}" name="Modalidade" dataDxfId="542"/>
    <tableColumn id="4" xr3:uid="{9DA0D3FF-A185-4973-A159-1DBA8107EBD2}" name="Classe" dataDxfId="541"/>
    <tableColumn id="5" xr3:uid="{FC999F11-F3EE-45C2-80B8-7A9A5D5AD917}" name="Subclasse" dataDxfId="540"/>
    <tableColumn id="6" xr3:uid="{CDE738A8-1355-4EEF-8823-ABE2411DA873}" name="Detalhe" dataDxfId="539"/>
    <tableColumn id="7" xr3:uid="{552D193D-F53A-4C7D-AF17-F201ABF63E0F}" name="Agente" dataDxfId="538"/>
    <tableColumn id="8" xr3:uid="{2667C31C-7DF6-4B3B-BA46-A43FAB416091}" name="Posto" dataDxfId="537"/>
    <tableColumn id="9" xr3:uid="{DEDB0EC7-E703-4A5C-950E-751FFE366DD6}" name="AnoMes" dataDxfId="536"/>
    <tableColumn id="10" xr3:uid="{8365ACC3-02BE-42A3-B9B8-AD9F52EF717A}" name="D" dataDxfId="535"/>
    <tableColumn id="11" xr3:uid="{D6C16E10-0E57-4ABC-8805-4AB8ED380433}" name="Daj" dataDxfId="534"/>
    <tableColumn id="12" xr3:uid="{BE104180-CF73-480A-BC32-CE35A0B7AD58}" name="TUSD_E" dataDxfId="533"/>
    <tableColumn id="13" xr3:uid="{CAD39C8A-906C-4652-BF12-1A1C821EA01C}" name="TUSD_Eaj" dataDxfId="532"/>
    <tableColumn id="14" xr3:uid="{3C50451F-D51F-4DCC-B3B3-C0015BAC3DA3}" name="TE_E" dataDxfId="531"/>
    <tableColumn id="15" xr3:uid="{11C10CDC-E2B4-46EA-B355-492ED1B16640}" name="TE_Eaj" dataDxfId="530"/>
    <tableColumn id="16" xr3:uid="{9882C556-1C45-4BB7-A4F4-2BBA5E34518C}" name="UC" dataDxfId="529"/>
    <tableColumn id="17" xr3:uid="{1D6B160E-ECD4-4922-80EA-22829A1BA3B2}" name="OPÇÃO" dataDxfId="528"/>
    <tableColumn id="18" xr3:uid="{5ED5E010-7B52-4AAC-8764-510D30AA4DA5}" name="CóD. AUX." dataDxfId="527"/>
    <tableColumn id="19" xr3:uid="{4C89DEF1-6D05-47A3-AEE7-F40CF78305F4}" name="CóD. AUX. TUSD R$/kW" dataDxfId="526"/>
    <tableColumn id="20" xr3:uid="{0021067E-3673-4021-8CC5-5794A067DE06}" name="CóD. AUX. TUSD R$/MWh" dataDxfId="525"/>
    <tableColumn id="21" xr3:uid="{04A63D2D-30A6-40A4-BE63-B624E6B78786}" name="CóD. AUX. TE R$/MWh" dataDxfId="524"/>
    <tableColumn id="22" xr3:uid="{95AC77E2-9FC8-412E-8BDE-88237C008291}" name="TUSD (R$/kW)" dataDxfId="523"/>
    <tableColumn id="23" xr3:uid="{D54F030B-E81A-48F1-A817-6C68730A6AEB}" name="TUSD (R$/MWh)" dataDxfId="522"/>
    <tableColumn id="24" xr3:uid="{852755C1-2DF5-464F-87EB-155A4F077EF5}" name="TE (R$/MWh)" dataDxfId="521"/>
    <tableColumn id="25" xr3:uid="{189BFF34-2A82-41F2-834F-EEE644C47215}" name="TUSD (R$/kW) NOVA" dataDxfId="520"/>
    <tableColumn id="26" xr3:uid="{EA668B52-B256-4250-82C3-83974EF3ACDD}" name="TUSD (R$/MWh) NOVA" dataDxfId="519">
      <calculatedColumnFormula>('TUSD BE'!$AM$48+'TUSD BF'!$AM$48+'TUSD CVA'!$AM$48)*1</calculatedColumnFormula>
    </tableColumn>
    <tableColumn id="27" xr3:uid="{129EE356-3492-4337-92F2-C34B3B70E39D}" name="TE (R$/MWh) NOVA" dataDxfId="518">
      <calculatedColumnFormula>('TE BE'!$AA$39+'TE BF'!$AA$39+'TE CVA'!$AA$39)*1</calculatedColumnFormula>
    </tableColumn>
    <tableColumn id="28" xr3:uid="{167A3239-99A0-4443-A942-E51C7F9F24FB}" name="SUBSIDIO kW - TV" dataDxfId="517">
      <calculatedColumnFormula>(J2-K2)*V2</calculatedColumnFormula>
    </tableColumn>
    <tableColumn id="29" xr3:uid="{150DF746-189D-4FD6-8630-7719DD9E785C}" name="SUBSIDIO MWh - TV" dataDxfId="516">
      <calculatedColumnFormula>(L2-M2)*W2+(N2-O2)*X2</calculatedColumnFormula>
    </tableColumn>
    <tableColumn id="30" xr3:uid="{B94010A2-C337-4E4E-B6BA-E2BD9C6A14C1}" name="SUBSIDIO kW - TN" dataDxfId="515">
      <calculatedColumnFormula>(J2-K2)*Y2</calculatedColumnFormula>
    </tableColumn>
    <tableColumn id="31" xr3:uid="{4D2DA547-EF7B-4547-BC8B-C7A09F00B145}" name="SUBSIDIO MWh - TN" dataDxfId="514">
      <calculatedColumnFormula>(L2-M2)*Z2+(N2-O2)*AA2</calculatedColumnFormula>
    </tableColumn>
    <tableColumn id="32" xr3:uid="{379790AE-4739-4982-B38E-EEF9E96AFA34}" name="TIPO" dataDxfId="51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BAF20DA-4D7A-4FD1-8AC1-FC548E82F22C}" name="TabelaFin" displayName="TabelaFin" ref="B3:AQ50" tableType="queryTable" totalsRowShown="0" headerRowDxfId="140" dataDxfId="138" headerRowBorderDxfId="139" tableBorderDxfId="137" totalsRowBorderDxfId="136">
  <autoFilter ref="B3:AQ50" xr:uid="{CBAF20DA-4D7A-4FD1-8AC1-FC548E82F22C}"/>
  <sortState xmlns:xlrd2="http://schemas.microsoft.com/office/spreadsheetml/2017/richdata2" ref="B4:AQ50">
    <sortCondition ref="B4:B50"/>
    <sortCondition ref="C4:C50"/>
    <sortCondition ref="D4:D50"/>
    <sortCondition ref="E4:E50"/>
    <sortCondition ref="F4:F50"/>
    <sortCondition descending="1" ref="G4:G50"/>
    <sortCondition descending="1" ref="H4:H50"/>
    <sortCondition ref="I4:I50"/>
  </sortState>
  <tableColumns count="42">
    <tableColumn id="43" xr3:uid="{54C10758-7888-4D1C-9198-E0F066BC01DF}" uniqueName="43" name="SUBGRUPO" queryTableFieldId="1" dataDxfId="135"/>
    <tableColumn id="44" xr3:uid="{DE8AEE9E-AE3E-41F6-814A-9313F7C7A713}" uniqueName="44" name="MODALIDADE" queryTableFieldId="2" dataDxfId="134"/>
    <tableColumn id="45" xr3:uid="{B75D5526-E31A-4DF2-99CF-F5B1573F1DE2}" uniqueName="45" name="CLASSE" queryTableFieldId="3" dataDxfId="133"/>
    <tableColumn id="46" xr3:uid="{6DFA9FD7-52C4-46FE-8000-624A4874F47F}" uniqueName="46" name="SUBCLASSE" queryTableFieldId="4" dataDxfId="132"/>
    <tableColumn id="47" xr3:uid="{9B372F8D-1655-4F38-8D2F-92405B2B3ED4}" uniqueName="47" name="DETALHE" queryTableFieldId="5" dataDxfId="131"/>
    <tableColumn id="48" xr3:uid="{07958098-A2E8-4CC2-9B65-AC7B4BE4B558}" uniqueName="48" name="POSTO" queryTableFieldId="6" dataDxfId="130"/>
    <tableColumn id="49" xr3:uid="{B4C13CC7-804C-47F8-93A2-EA0200113388}" uniqueName="49" name="UNIDADE" queryTableFieldId="7" dataDxfId="129"/>
    <tableColumn id="50" xr3:uid="{A681BCE0-9E72-4B8D-8AC7-F635C748CA65}" uniqueName="50" name="ACESSANTE" queryTableFieldId="8" dataDxfId="128"/>
    <tableColumn id="51" xr3:uid="{B9B5D6C6-87B2-497D-8256-3DA4126728BE}" uniqueName="51" name="Total TUSD" queryTableFieldId="9" dataDxfId="127"/>
    <tableColumn id="52" xr3:uid="{CEF62AA9-3270-4AA7-BFD7-B154A1EE0369}" uniqueName="52" name="Total TE" queryTableFieldId="10" dataDxfId="126"/>
    <tableColumn id="53" xr3:uid="{8C4AC418-24BE-4156-8E22-95A96150CA96}" uniqueName="53" name="TUSD_CDE_COVID" queryTableFieldId="11" dataDxfId="125"/>
    <tableColumn id="54" xr3:uid="{21D12EC8-A259-426A-A4CF-A2C601811351}" uniqueName="54" name="TUSD_TFSEE" queryTableFieldId="12" dataDxfId="124"/>
    <tableColumn id="55" xr3:uid="{E8720281-C5AD-4838-BF93-DF832BD99E5B}" uniqueName="55" name="TUSD_PeD" queryTableFieldId="13" dataDxfId="123"/>
    <tableColumn id="56" xr3:uid="{3E3985D2-5F16-41F1-AD7C-EA92F97411FE}" uniqueName="56" name="TUSD_ONS" queryTableFieldId="14" dataDxfId="122"/>
    <tableColumn id="57" xr3:uid="{8840EFF4-C451-4B0C-9C7F-9FEF99FFF52D}" uniqueName="57" name="TUSD_CCC" queryTableFieldId="15" dataDxfId="121"/>
    <tableColumn id="58" xr3:uid="{48A39B1E-3780-4BC7-9A56-BDC9A98525FF}" uniqueName="58" name="TUSD_CDE" queryTableFieldId="16" dataDxfId="120"/>
    <tableColumn id="59" xr3:uid="{577FBEED-37BD-4D33-8683-A2EE23D5FEDB}" uniqueName="59" name="TUSD_PROINFA" queryTableFieldId="17" dataDxfId="119"/>
    <tableColumn id="60" xr3:uid="{D5431672-FD57-414A-980A-0A7014CA8559}" uniqueName="60" name="Liminar1" queryTableFieldId="18" dataDxfId="118"/>
    <tableColumn id="61" xr3:uid="{7D5B1FCC-6321-4E4E-9DF8-A4EE39300530}" uniqueName="61" name="TUSD_RB" queryTableFieldId="19" dataDxfId="117"/>
    <tableColumn id="62" xr3:uid="{5290C30E-6832-4E31-BE13-898B8D06AE15}" uniqueName="62" name="TUSD_FR" queryTableFieldId="20" dataDxfId="116"/>
    <tableColumn id="63" xr3:uid="{076E661D-7B43-40F7-AECC-B7C44ED065A9}" uniqueName="63" name="TUSD_CCT" queryTableFieldId="21" dataDxfId="115"/>
    <tableColumn id="64" xr3:uid="{A2C7DBF6-7F30-472C-9C64-5EC3AAB4167F}" uniqueName="64" name="TUSD_CCD" queryTableFieldId="22" dataDxfId="114"/>
    <tableColumn id="65" xr3:uid="{9289C44A-517F-4160-8DF2-4079D2687FDD}" uniqueName="65" name="TUSD_CUSD" queryTableFieldId="23" dataDxfId="113"/>
    <tableColumn id="66" xr3:uid="{9728E60E-8119-4847-A7C3-D9B3FEAA1FC8}" uniqueName="66" name="TUSDG_T" queryTableFieldId="24" dataDxfId="112"/>
    <tableColumn id="67" xr3:uid="{4A7922F5-7E54-4F5F-A83C-6D80FC073C76}" uniqueName="67" name="TUSDG_ONS" queryTableFieldId="25" dataDxfId="111"/>
    <tableColumn id="68" xr3:uid="{7EF7C82E-503E-4EBB-9870-884A12A382CA}" uniqueName="68" name="TUSD_FioB" queryTableFieldId="26" dataDxfId="110"/>
    <tableColumn id="69" xr3:uid="{0C90D629-766B-4670-B3ED-9D87CAD1492E}" uniqueName="69" name="TUSD Subsidio" queryTableFieldId="27" dataDxfId="109"/>
    <tableColumn id="70" xr3:uid="{C7BAD5A0-11F8-4F4B-AF03-B23C67EEF545}" uniqueName="70" name="TUSD Outros" queryTableFieldId="28" dataDxfId="108"/>
    <tableColumn id="71" xr3:uid="{CDC8F7C9-4484-42A8-BFB3-CE8542020C6C}" uniqueName="71" name="TUSD_PT" queryTableFieldId="29" dataDxfId="107"/>
    <tableColumn id="72" xr3:uid="{EC4269F3-43D0-4B4B-99B3-D66A3831CCFE}" uniqueName="72" name="TUSD_Per_RB_D" queryTableFieldId="30" dataDxfId="106"/>
    <tableColumn id="73" xr3:uid="{6EE4746D-9AFC-4A86-B1E8-EBBE1A7C2292}" uniqueName="73" name="TUSD_PNT" queryTableFieldId="31" dataDxfId="105"/>
    <tableColumn id="74" xr3:uid="{454305BC-FE18-416D-AA03-8F6CB79525B4}" uniqueName="74" name="TUSD_RI" queryTableFieldId="32" dataDxfId="104"/>
    <tableColumn id="75" xr3:uid="{CC84A850-84E0-40F0-B369-003ECE5B3FF3}" uniqueName="75" name="TE_CDE_COVID" queryTableFieldId="33" dataDxfId="103"/>
    <tableColumn id="76" xr3:uid="{EAC2959B-BDC7-4308-8028-A261A532CF84}" uniqueName="76" name="TE_PeD" queryTableFieldId="34" dataDxfId="102"/>
    <tableColumn id="77" xr3:uid="{652F879B-C44D-4DB9-9AF3-40F36BA3D3F5}" uniqueName="77" name="TE_ESSERR" queryTableFieldId="35" dataDxfId="101"/>
    <tableColumn id="78" xr3:uid="{49937388-4422-4A47-AE2D-08D95FF3FBB3}" uniqueName="78" name="TE_CFURH" queryTableFieldId="36" dataDxfId="100"/>
    <tableColumn id="79" xr3:uid="{2B72D0F5-4468-467C-A8FE-29DB0DC1C360}" uniqueName="79" name="TE_ENERGIA" queryTableFieldId="37" dataDxfId="99"/>
    <tableColumn id="80" xr3:uid="{E05F6D1A-9951-431A-8477-56E75EB46DB3}" uniqueName="80" name="TE_TRANSPORTE_ITAIPU" queryTableFieldId="38" dataDxfId="98"/>
    <tableColumn id="81" xr3:uid="{12D44C6F-4929-43E4-A99B-1AB57E545AC6}" uniqueName="81" name="TE_TUST_ITAIPU" queryTableFieldId="39" dataDxfId="97"/>
    <tableColumn id="82" xr3:uid="{FEBA773A-BE91-4931-9B85-55875E0C11EF}" uniqueName="82" name="TE_TUST_CI" queryTableFieldId="40" dataDxfId="96"/>
    <tableColumn id="83" xr3:uid="{23DF11F3-5D47-4A6A-A228-3F7D1A99246F}" uniqueName="83" name="TE Subsidio" queryTableFieldId="41" dataDxfId="95"/>
    <tableColumn id="84" xr3:uid="{28B07DB5-B6E5-4185-AF22-F56670E1CECE}" uniqueName="84" name="TE_Per_RB" queryTableFieldId="42" dataDxfId="9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A5B97D1-59B8-48D6-9447-726BF9C461EE}" name="TabelaEc" displayName="TabelaEc" ref="B3:AQ50" tableType="queryTable" totalsRowShown="0" headerRowDxfId="93" dataDxfId="91" headerRowBorderDxfId="92" tableBorderDxfId="90" totalsRowBorderDxfId="89">
  <autoFilter ref="B3:AQ50" xr:uid="{1A5B97D1-59B8-48D6-9447-726BF9C461EE}"/>
  <sortState xmlns:xlrd2="http://schemas.microsoft.com/office/spreadsheetml/2017/richdata2" ref="B4:AQ50">
    <sortCondition ref="B4:B50"/>
    <sortCondition ref="C4:C50"/>
    <sortCondition ref="D4:D50"/>
    <sortCondition ref="E4:E50"/>
    <sortCondition ref="F4:F50"/>
    <sortCondition descending="1" ref="G4:G50"/>
    <sortCondition descending="1" ref="H4:H50"/>
    <sortCondition ref="I4:I50"/>
  </sortState>
  <tableColumns count="42">
    <tableColumn id="43" xr3:uid="{1DAFAEEB-2D87-4035-9FDA-18B8B084E4A0}" uniqueName="43" name="SUBGRUPO" queryTableFieldId="1" dataDxfId="88"/>
    <tableColumn id="44" xr3:uid="{78AA06E4-56F3-4F96-9C76-83610BFF43F3}" uniqueName="44" name="MODALIDADE" queryTableFieldId="2" dataDxfId="87"/>
    <tableColumn id="45" xr3:uid="{77AB9CC5-8B2C-4F41-9776-B8E47161EAD7}" uniqueName="45" name="CLASSE" queryTableFieldId="3" dataDxfId="86"/>
    <tableColumn id="46" xr3:uid="{A015FF25-C534-42A7-B678-A52A84E67A4A}" uniqueName="46" name="SUBCLASSE" queryTableFieldId="4" dataDxfId="85"/>
    <tableColumn id="47" xr3:uid="{A4E1C940-2D56-4391-A1C7-52C4040F6151}" uniqueName="47" name="DETALHE" queryTableFieldId="5" dataDxfId="84"/>
    <tableColumn id="48" xr3:uid="{8486D7DA-B009-4EF8-928A-6163A189CBC6}" uniqueName="48" name="POSTO" queryTableFieldId="6" dataDxfId="83"/>
    <tableColumn id="49" xr3:uid="{EB9A57C7-540E-47AB-B6E2-157F3EE82EAB}" uniqueName="49" name="UNIDADE" queryTableFieldId="7" dataDxfId="82"/>
    <tableColumn id="50" xr3:uid="{D3D0F343-167C-4FBD-B69B-BC287CADB3B9}" uniqueName="50" name="ACESSANTE" queryTableFieldId="8" dataDxfId="81"/>
    <tableColumn id="51" xr3:uid="{3E0A93DC-F479-4BCB-BF36-1C66172D7D41}" uniqueName="51" name="Total TUSD" queryTableFieldId="9" dataDxfId="80"/>
    <tableColumn id="52" xr3:uid="{0EA109A5-E2FA-4FCE-BC88-4FA18D4FE5F1}" uniqueName="52" name="Total TE" queryTableFieldId="10" dataDxfId="79"/>
    <tableColumn id="53" xr3:uid="{63E4BCC4-76CD-459A-9B9A-7629F66AFC23}" uniqueName="53" name="TUSD_CDE_COVID" queryTableFieldId="11" dataDxfId="78"/>
    <tableColumn id="54" xr3:uid="{3D513A27-15C5-45C4-AA74-EE307D764B6F}" uniqueName="54" name="TUSD_TFSEE" queryTableFieldId="12" dataDxfId="77"/>
    <tableColumn id="55" xr3:uid="{E2C57B11-7BA0-4E8C-B48D-DAF2F819BC70}" uniqueName="55" name="TUSD_PeD" queryTableFieldId="13" dataDxfId="76"/>
    <tableColumn id="56" xr3:uid="{407C6C98-73D0-468C-9D46-93B2476499B3}" uniqueName="56" name="TUSD_ONS" queryTableFieldId="14" dataDxfId="75"/>
    <tableColumn id="57" xr3:uid="{22BEA301-FDD2-4A9C-94F5-20E923C3197A}" uniqueName="57" name="TUSD_CCC" queryTableFieldId="15" dataDxfId="74"/>
    <tableColumn id="58" xr3:uid="{639D383E-B1CB-401D-9781-415A758511FB}" uniqueName="58" name="TUSD_CDE" queryTableFieldId="16" dataDxfId="73"/>
    <tableColumn id="59" xr3:uid="{EB726C1D-2C4A-4D9D-A745-03849DCED2AE}" uniqueName="59" name="TUSD_PROINFA" queryTableFieldId="17" dataDxfId="72"/>
    <tableColumn id="60" xr3:uid="{7CDC100A-D362-4F8E-996D-6378CE120B6E}" uniqueName="60" name="Liminar1" queryTableFieldId="18" dataDxfId="71"/>
    <tableColumn id="61" xr3:uid="{095FAB65-4B18-4062-8DA0-73ECF4C8AA69}" uniqueName="61" name="TUSD_RB" queryTableFieldId="19" dataDxfId="70"/>
    <tableColumn id="62" xr3:uid="{27BDE431-FA7F-481A-801D-4F40A7F3FAA2}" uniqueName="62" name="TUSD_FR" queryTableFieldId="20" dataDxfId="69"/>
    <tableColumn id="63" xr3:uid="{A1A5A7F3-E690-4BA8-9AAD-BDD7EFE0D3EF}" uniqueName="63" name="TUSD_CCT" queryTableFieldId="21" dataDxfId="68"/>
    <tableColumn id="64" xr3:uid="{8DBC3BB9-A7DD-4C66-B40D-4D594EB14A65}" uniqueName="64" name="TUSD_CCD" queryTableFieldId="22" dataDxfId="67"/>
    <tableColumn id="65" xr3:uid="{58ACC7C9-BD7A-4A95-8D6A-154E96CE13F5}" uniqueName="65" name="TUSD_CUSD" queryTableFieldId="23" dataDxfId="66"/>
    <tableColumn id="66" xr3:uid="{7E949714-C31D-42E6-BDD0-2532ADB2DA02}" uniqueName="66" name="TUSDG_T" queryTableFieldId="24" dataDxfId="65"/>
    <tableColumn id="67" xr3:uid="{7CF9AD84-A67B-40DE-A2F8-ACC46B7A4DDB}" uniqueName="67" name="TUSDG_ONS" queryTableFieldId="25" dataDxfId="64"/>
    <tableColumn id="68" xr3:uid="{10898CD8-C5C2-4E41-A897-52160BD1D3FC}" uniqueName="68" name="TUSD_FioB" queryTableFieldId="26" dataDxfId="63"/>
    <tableColumn id="69" xr3:uid="{E2B86768-F8EB-4C0B-BB92-EDBCFE615A8E}" uniqueName="69" name="TUSD Subsidio" queryTableFieldId="27" dataDxfId="62"/>
    <tableColumn id="70" xr3:uid="{CE393771-5272-42BD-91C9-F70C44BEF1A0}" uniqueName="70" name="TUSD Outros" queryTableFieldId="28" dataDxfId="61"/>
    <tableColumn id="71" xr3:uid="{60F9FC6E-D1C0-4B72-8CA5-F7F782CC0EF1}" uniqueName="71" name="TUSD_PT" queryTableFieldId="29" dataDxfId="60"/>
    <tableColumn id="72" xr3:uid="{6C3615AF-AF6E-4B5A-9942-5D7ADF88CC49}" uniqueName="72" name="TUSD_Per_RB_D" queryTableFieldId="30" dataDxfId="59"/>
    <tableColumn id="73" xr3:uid="{B01AD6E1-6E61-4D45-BD37-5E64357EFD2B}" uniqueName="73" name="TUSD_PNT" queryTableFieldId="31" dataDxfId="58"/>
    <tableColumn id="74" xr3:uid="{CED4407F-572B-45A6-B950-392F7796D8E0}" uniqueName="74" name="TUSD_RI" queryTableFieldId="32" dataDxfId="57"/>
    <tableColumn id="75" xr3:uid="{D22C02BE-1E6A-4D39-9A43-4F919F7C8CA3}" uniqueName="75" name="TE_CDE_COVID" queryTableFieldId="33" dataDxfId="56"/>
    <tableColumn id="76" xr3:uid="{5929C82A-2BFA-4B61-BE5B-4B152F04AD71}" uniqueName="76" name="TE_PeD" queryTableFieldId="34" dataDxfId="55"/>
    <tableColumn id="77" xr3:uid="{DCDA66C6-EBDF-47FA-844E-2FEE0CCCA80F}" uniqueName="77" name="TE_ESSERR" queryTableFieldId="35" dataDxfId="54"/>
    <tableColumn id="78" xr3:uid="{A44025D1-D589-4D15-9B92-82E0CA6B5CC3}" uniqueName="78" name="TE_CFURH" queryTableFieldId="36" dataDxfId="53"/>
    <tableColumn id="79" xr3:uid="{A2338405-746A-4772-ABE6-8180D8712DE4}" uniqueName="79" name="TE_ENERGIA" queryTableFieldId="37" dataDxfId="52"/>
    <tableColumn id="80" xr3:uid="{ACF3A66F-545E-4AD4-A0B0-6DF162FAC694}" uniqueName="80" name="TE_TRANSPORTE_ITAIPU" queryTableFieldId="38" dataDxfId="51"/>
    <tableColumn id="81" xr3:uid="{A6FAE700-AF1F-47C6-AB90-5C3928A30C55}" uniqueName="81" name="TE_TUST_ITAIPU" queryTableFieldId="39" dataDxfId="50"/>
    <tableColumn id="82" xr3:uid="{6B923384-EC33-443A-87D0-04649C127ABD}" uniqueName="82" name="TE_TUST_CI" queryTableFieldId="40" dataDxfId="49"/>
    <tableColumn id="83" xr3:uid="{C17219A0-67EA-4512-A32D-0413B65CEBC0}" uniqueName="83" name="TE Subsidio" queryTableFieldId="41" dataDxfId="48"/>
    <tableColumn id="84" xr3:uid="{E95E9779-981D-4D10-98D3-337984ECE1B7}" uniqueName="84" name="TE_Per_RB" queryTableFieldId="42" dataDxfId="47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DD6F805-A6B2-4C5D-931D-4F9D5EE72534}" name="TabelaCVA" displayName="TabelaCVA" ref="B3:AQ50" tableType="queryTable" totalsRowShown="0" headerRowDxfId="46" dataDxfId="44" headerRowBorderDxfId="45" tableBorderDxfId="43" totalsRowBorderDxfId="42">
  <autoFilter ref="B3:AQ50" xr:uid="{7DD6F805-A6B2-4C5D-931D-4F9D5EE72534}"/>
  <sortState xmlns:xlrd2="http://schemas.microsoft.com/office/spreadsheetml/2017/richdata2" ref="B4:AQ50">
    <sortCondition ref="B4:B50"/>
    <sortCondition ref="C4:C50"/>
    <sortCondition ref="D4:D50"/>
    <sortCondition ref="E4:E50"/>
    <sortCondition ref="F4:F50"/>
    <sortCondition descending="1" ref="G4:G50"/>
    <sortCondition descending="1" ref="H4:H50"/>
    <sortCondition ref="I4:I50"/>
  </sortState>
  <tableColumns count="42">
    <tableColumn id="43" xr3:uid="{793A2885-F57E-4014-874F-CB6320243B32}" uniqueName="43" name="SUBGRUPO" queryTableFieldId="1" dataDxfId="41"/>
    <tableColumn id="44" xr3:uid="{A42F777E-3202-4461-86E7-096664EEE635}" uniqueName="44" name="MODALIDADE" queryTableFieldId="2" dataDxfId="40"/>
    <tableColumn id="45" xr3:uid="{584C3C73-8611-482D-A7A3-052AF01927B5}" uniqueName="45" name="CLASSE" queryTableFieldId="3" dataDxfId="39"/>
    <tableColumn id="46" xr3:uid="{DCB629AC-E559-40CA-9448-1D199975DC2C}" uniqueName="46" name="SUBCLASSE" queryTableFieldId="4" dataDxfId="38"/>
    <tableColumn id="47" xr3:uid="{179746B6-D65C-440B-BC6A-56FF404A1B16}" uniqueName="47" name="DETALHE" queryTableFieldId="5" dataDxfId="37"/>
    <tableColumn id="48" xr3:uid="{16ADB20F-E62A-411E-8C8C-2E71AE0573F8}" uniqueName="48" name="POSTO" queryTableFieldId="6" dataDxfId="36"/>
    <tableColumn id="49" xr3:uid="{DE34F241-E9FE-4936-9327-E25BD62DFB54}" uniqueName="49" name="UNIDADE" queryTableFieldId="7" dataDxfId="35"/>
    <tableColumn id="50" xr3:uid="{CAB6EA99-BB36-4777-BB33-44998C1DF0F3}" uniqueName="50" name="ACESSANTE" queryTableFieldId="8" dataDxfId="34"/>
    <tableColumn id="51" xr3:uid="{75F85ECC-1F69-4BD1-A735-4B7608913448}" uniqueName="51" name="Total TUSD" queryTableFieldId="9" dataDxfId="33"/>
    <tableColumn id="52" xr3:uid="{7CBE7DC0-8B47-4722-870F-DDA28EB5C4C7}" uniqueName="52" name="Total TE" queryTableFieldId="10" dataDxfId="32"/>
    <tableColumn id="53" xr3:uid="{5E490F82-6DAC-4F9C-8A03-62D86814BDC0}" uniqueName="53" name="TUSD_CDE_COVID" queryTableFieldId="11" dataDxfId="31"/>
    <tableColumn id="54" xr3:uid="{1C5A0283-114E-421C-A1C5-7175FBCB9D0E}" uniqueName="54" name="TUSD_TFSEE" queryTableFieldId="12" dataDxfId="30"/>
    <tableColumn id="55" xr3:uid="{87BE8D50-63D4-45FD-864B-B31DE7C27635}" uniqueName="55" name="TUSD_PeD" queryTableFieldId="13" dataDxfId="29"/>
    <tableColumn id="56" xr3:uid="{1E0C9E62-218D-4A7B-971C-29E189EE743A}" uniqueName="56" name="TUSD_ONS" queryTableFieldId="14" dataDxfId="28"/>
    <tableColumn id="57" xr3:uid="{6CD463D6-451D-4982-8EF9-4FBED23B9D49}" uniqueName="57" name="TUSD_CCC" queryTableFieldId="15" dataDxfId="27"/>
    <tableColumn id="58" xr3:uid="{E26723C1-AF63-420B-919A-04994110F194}" uniqueName="58" name="TUSD_CDE" queryTableFieldId="16" dataDxfId="26"/>
    <tableColumn id="59" xr3:uid="{754990AE-402B-4841-98C7-1BD3E180B878}" uniqueName="59" name="TUSD_PROINFA" queryTableFieldId="17" dataDxfId="25"/>
    <tableColumn id="60" xr3:uid="{19CA861C-2E39-457A-B8A3-D8B48B3AC570}" uniqueName="60" name="Liminar1" queryTableFieldId="18" dataDxfId="24"/>
    <tableColumn id="61" xr3:uid="{A7213F80-BB25-4C7D-B657-B337B1F15B6B}" uniqueName="61" name="TUSD_RB" queryTableFieldId="19" dataDxfId="23"/>
    <tableColumn id="62" xr3:uid="{3446B58B-15A3-43C1-82E8-A018B0BCB33A}" uniqueName="62" name="TUSD_FR" queryTableFieldId="20" dataDxfId="22"/>
    <tableColumn id="63" xr3:uid="{777D762B-0D33-474B-BA84-2DC131BBE7C5}" uniqueName="63" name="TUSD_CCT" queryTableFieldId="21" dataDxfId="21"/>
    <tableColumn id="64" xr3:uid="{0F5B18CD-5DAD-4478-805D-EBB7941E577A}" uniqueName="64" name="TUSD_CCD" queryTableFieldId="22" dataDxfId="20"/>
    <tableColumn id="65" xr3:uid="{27132176-140D-4FC9-B58E-FC6F552546E2}" uniqueName="65" name="TUSD_CUSD" queryTableFieldId="23" dataDxfId="19"/>
    <tableColumn id="66" xr3:uid="{D1E14A34-4430-47AE-84C0-3902BEFED85B}" uniqueName="66" name="TUSDG_T" queryTableFieldId="24" dataDxfId="18"/>
    <tableColumn id="67" xr3:uid="{F371CC86-24E6-4181-8010-8DA994AC6C07}" uniqueName="67" name="TUSDG_ONS" queryTableFieldId="25" dataDxfId="17"/>
    <tableColumn id="68" xr3:uid="{6CC8D999-CB58-45A3-A313-B29D1D782C5E}" uniqueName="68" name="TUSD_FioB" queryTableFieldId="26" dataDxfId="16"/>
    <tableColumn id="69" xr3:uid="{99FDE354-EFF0-4FE5-8708-E0825EB4AFF1}" uniqueName="69" name="TUSD Subsidio" queryTableFieldId="27" dataDxfId="15"/>
    <tableColumn id="70" xr3:uid="{F1B93BE0-8A7E-49AA-B82F-1DC9E52E54BC}" uniqueName="70" name="TUSD Outros" queryTableFieldId="28" dataDxfId="14"/>
    <tableColumn id="71" xr3:uid="{EE396512-8FFC-40A8-9A19-1F8524A26D1F}" uniqueName="71" name="TUSD_PT" queryTableFieldId="29" dataDxfId="13"/>
    <tableColumn id="72" xr3:uid="{B4DD20AF-EF79-4BD9-BBC6-6237C0071FDF}" uniqueName="72" name="TUSD_Per_RB_D" queryTableFieldId="30" dataDxfId="12"/>
    <tableColumn id="73" xr3:uid="{C92D8098-30CB-46A6-9B4B-0B42A75E86F6}" uniqueName="73" name="TUSD_PNT" queryTableFieldId="31" dataDxfId="11"/>
    <tableColumn id="74" xr3:uid="{D508930A-B580-4072-B787-9D5196FDAE2B}" uniqueName="74" name="TUSD_RI" queryTableFieldId="32" dataDxfId="10"/>
    <tableColumn id="75" xr3:uid="{58C8379A-16D3-4957-8B72-0397B0FC9845}" uniqueName="75" name="TE_CDE_COVID" queryTableFieldId="33" dataDxfId="9"/>
    <tableColumn id="76" xr3:uid="{C16DE2E7-04A1-45D2-AC9A-1832628C5B47}" uniqueName="76" name="TE_PeD" queryTableFieldId="34" dataDxfId="8"/>
    <tableColumn id="77" xr3:uid="{F25CF723-5A43-470E-9F9E-352DB8FA0BB6}" uniqueName="77" name="TE_ESSERR" queryTableFieldId="35" dataDxfId="7"/>
    <tableColumn id="78" xr3:uid="{37DFAF7D-1D83-4E2E-BCF5-96413E9D59BF}" uniqueName="78" name="TE_CFURH" queryTableFieldId="36" dataDxfId="6"/>
    <tableColumn id="79" xr3:uid="{BE784902-0E28-4F75-B238-16066EE23F19}" uniqueName="79" name="TE_ENERGIA" queryTableFieldId="37" dataDxfId="5"/>
    <tableColumn id="80" xr3:uid="{F04D8474-8B45-4ABB-9378-074756DCAE79}" uniqueName="80" name="TE_TRANSPORTE_ITAIPU" queryTableFieldId="38" dataDxfId="4"/>
    <tableColumn id="81" xr3:uid="{D184D47B-1313-4FF6-B795-9512EABBAC7A}" uniqueName="81" name="TE_TUST_ITAIPU" queryTableFieldId="39" dataDxfId="3"/>
    <tableColumn id="82" xr3:uid="{791121BA-F506-4419-ACF5-854B7827E0FF}" uniqueName="82" name="TE_TUST_CI" queryTableFieldId="40" dataDxfId="2"/>
    <tableColumn id="83" xr3:uid="{6370FC66-3336-48C7-856E-75CC1E258A23}" uniqueName="83" name="TE Subsidio" queryTableFieldId="41" dataDxfId="1"/>
    <tableColumn id="84" xr3:uid="{848DA904-28B1-44F4-8241-DDBB35DCBBCF}" uniqueName="84" name="TE_Per_RB" queryTableFieldId="42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23097-4E6B-4D2E-B654-B9E6E53B2354}">
  <dimension ref="A1:W469"/>
  <sheetViews>
    <sheetView showGridLines="0" topLeftCell="L433" workbookViewId="0">
      <selection activeCell="T470" sqref="T470"/>
    </sheetView>
  </sheetViews>
  <sheetFormatPr defaultRowHeight="11.25" customHeight="1" x14ac:dyDescent="0.25"/>
  <cols>
    <col min="1" max="1" width="19.140625" style="3" bestFit="1" customWidth="1"/>
    <col min="2" max="2" width="8.7109375" style="3" bestFit="1" customWidth="1"/>
    <col min="3" max="3" width="10.28515625" style="3" bestFit="1" customWidth="1"/>
    <col min="4" max="4" width="13.5703125" style="3" bestFit="1" customWidth="1"/>
    <col min="5" max="5" width="25.140625" style="3" bestFit="1" customWidth="1"/>
    <col min="6" max="6" width="12.85546875" style="3" bestFit="1" customWidth="1"/>
    <col min="7" max="8" width="10.28515625" style="3" bestFit="1" customWidth="1"/>
    <col min="9" max="9" width="8.7109375" style="6" bestFit="1" customWidth="1"/>
    <col min="10" max="12" width="7" style="4" bestFit="1" customWidth="1"/>
    <col min="13" max="13" width="8" style="4" bestFit="1" customWidth="1"/>
    <col min="14" max="15" width="7" style="4" bestFit="1" customWidth="1"/>
    <col min="16" max="16" width="7.85546875" style="4" bestFit="1" customWidth="1"/>
    <col min="17" max="17" width="6.5703125" style="3" bestFit="1" customWidth="1"/>
    <col min="18" max="18" width="8.5703125" style="3" bestFit="1" customWidth="1"/>
    <col min="19" max="19" width="78.140625" style="3" bestFit="1" customWidth="1"/>
    <col min="20" max="20" width="83.85546875" style="3" bestFit="1" customWidth="1"/>
    <col min="21" max="21" width="18.42578125" style="3" bestFit="1" customWidth="1"/>
    <col min="22" max="22" width="19.85546875" style="3" bestFit="1" customWidth="1"/>
    <col min="23" max="23" width="17.7109375" style="3" bestFit="1" customWidth="1"/>
    <col min="24" max="16384" width="9.140625" style="3"/>
  </cols>
  <sheetData>
    <row r="1" spans="1:23" s="1" customFormat="1" ht="11.2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5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" t="s">
        <v>16</v>
      </c>
      <c r="R1" s="1" t="s">
        <v>17</v>
      </c>
      <c r="S1" s="1" t="s">
        <v>90</v>
      </c>
      <c r="T1" s="1" t="s">
        <v>283</v>
      </c>
      <c r="U1" s="1" t="s">
        <v>18</v>
      </c>
      <c r="V1" s="1" t="s">
        <v>19</v>
      </c>
      <c r="W1" s="1" t="s">
        <v>20</v>
      </c>
    </row>
    <row r="2" spans="1:23" ht="11.25" customHeight="1" x14ac:dyDescent="0.25">
      <c r="A2" s="3" t="s">
        <v>21</v>
      </c>
      <c r="B2" s="3" t="s">
        <v>33</v>
      </c>
      <c r="C2" s="3" t="s">
        <v>41</v>
      </c>
      <c r="D2" s="3" t="s">
        <v>40</v>
      </c>
      <c r="E2" s="3" t="s">
        <v>25</v>
      </c>
      <c r="F2" s="3" t="s">
        <v>25</v>
      </c>
      <c r="G2" s="3" t="s">
        <v>25</v>
      </c>
      <c r="H2" s="3" t="s">
        <v>36</v>
      </c>
      <c r="I2" s="6">
        <v>44287</v>
      </c>
      <c r="J2" s="4">
        <v>92</v>
      </c>
      <c r="K2" s="4">
        <v>92</v>
      </c>
      <c r="L2" s="4">
        <v>54.991999999999997</v>
      </c>
      <c r="M2" s="4">
        <v>54.991999999999997</v>
      </c>
      <c r="N2" s="4">
        <v>54.991999999999997</v>
      </c>
      <c r="O2" s="4">
        <v>54.991999999999997</v>
      </c>
      <c r="P2" s="4">
        <v>0</v>
      </c>
      <c r="Q2" s="3" t="s">
        <v>26</v>
      </c>
      <c r="R2" s="3">
        <v>0</v>
      </c>
      <c r="S2" s="3" t="s">
        <v>91</v>
      </c>
      <c r="T2" s="3" t="s">
        <v>284</v>
      </c>
      <c r="U2" s="3">
        <v>2</v>
      </c>
      <c r="V2" s="3">
        <v>3</v>
      </c>
      <c r="W2" s="3">
        <v>83</v>
      </c>
    </row>
    <row r="3" spans="1:23" ht="11.25" customHeight="1" x14ac:dyDescent="0.25">
      <c r="A3" s="3" t="s">
        <v>21</v>
      </c>
      <c r="B3" s="3" t="s">
        <v>33</v>
      </c>
      <c r="C3" s="3" t="s">
        <v>41</v>
      </c>
      <c r="D3" s="3" t="s">
        <v>40</v>
      </c>
      <c r="E3" s="3" t="s">
        <v>25</v>
      </c>
      <c r="F3" s="3" t="s">
        <v>25</v>
      </c>
      <c r="G3" s="3" t="s">
        <v>25</v>
      </c>
      <c r="H3" s="3" t="s">
        <v>36</v>
      </c>
      <c r="I3" s="6">
        <v>44317</v>
      </c>
      <c r="J3" s="4">
        <v>92</v>
      </c>
      <c r="K3" s="4">
        <v>92</v>
      </c>
      <c r="L3" s="4">
        <v>57.692999999999998</v>
      </c>
      <c r="M3" s="4">
        <v>57.692999999999998</v>
      </c>
      <c r="N3" s="4">
        <v>57.692999999999998</v>
      </c>
      <c r="O3" s="4">
        <v>57.692999999999998</v>
      </c>
      <c r="P3" s="4">
        <v>0</v>
      </c>
      <c r="Q3" s="3" t="s">
        <v>26</v>
      </c>
      <c r="R3" s="3">
        <v>0</v>
      </c>
      <c r="S3" s="3" t="s">
        <v>92</v>
      </c>
      <c r="T3" s="3" t="s">
        <v>285</v>
      </c>
      <c r="U3" s="3">
        <v>2</v>
      </c>
      <c r="V3" s="3">
        <v>3</v>
      </c>
      <c r="W3" s="3">
        <v>83</v>
      </c>
    </row>
    <row r="4" spans="1:23" ht="11.25" customHeight="1" x14ac:dyDescent="0.25">
      <c r="A4" s="3" t="s">
        <v>21</v>
      </c>
      <c r="B4" s="3" t="s">
        <v>33</v>
      </c>
      <c r="C4" s="3" t="s">
        <v>41</v>
      </c>
      <c r="D4" s="3" t="s">
        <v>40</v>
      </c>
      <c r="E4" s="3" t="s">
        <v>25</v>
      </c>
      <c r="F4" s="3" t="s">
        <v>25</v>
      </c>
      <c r="G4" s="3" t="s">
        <v>25</v>
      </c>
      <c r="H4" s="3" t="s">
        <v>36</v>
      </c>
      <c r="I4" s="6">
        <v>44348</v>
      </c>
      <c r="J4" s="4">
        <v>91</v>
      </c>
      <c r="K4" s="4">
        <v>91</v>
      </c>
      <c r="L4" s="4">
        <v>54.518000000000001</v>
      </c>
      <c r="M4" s="4">
        <v>54.518000000000001</v>
      </c>
      <c r="N4" s="4">
        <v>54.518000000000001</v>
      </c>
      <c r="O4" s="4">
        <v>54.518000000000001</v>
      </c>
      <c r="P4" s="4">
        <v>0</v>
      </c>
      <c r="Q4" s="3" t="s">
        <v>26</v>
      </c>
      <c r="R4" s="3">
        <v>0</v>
      </c>
      <c r="S4" s="3" t="s">
        <v>93</v>
      </c>
      <c r="T4" s="3" t="s">
        <v>286</v>
      </c>
      <c r="U4" s="3">
        <v>2</v>
      </c>
      <c r="V4" s="3">
        <v>3</v>
      </c>
      <c r="W4" s="3">
        <v>83</v>
      </c>
    </row>
    <row r="5" spans="1:23" ht="11.25" customHeight="1" x14ac:dyDescent="0.25">
      <c r="A5" s="3" t="s">
        <v>21</v>
      </c>
      <c r="B5" s="3" t="s">
        <v>33</v>
      </c>
      <c r="C5" s="3" t="s">
        <v>41</v>
      </c>
      <c r="D5" s="3" t="s">
        <v>40</v>
      </c>
      <c r="E5" s="3" t="s">
        <v>25</v>
      </c>
      <c r="F5" s="3" t="s">
        <v>25</v>
      </c>
      <c r="G5" s="3" t="s">
        <v>25</v>
      </c>
      <c r="H5" s="3" t="s">
        <v>36</v>
      </c>
      <c r="I5" s="6">
        <v>44378</v>
      </c>
      <c r="J5" s="4">
        <v>91</v>
      </c>
      <c r="K5" s="4">
        <v>91</v>
      </c>
      <c r="L5" s="4">
        <v>56.551000000000002</v>
      </c>
      <c r="M5" s="4">
        <v>56.551000000000002</v>
      </c>
      <c r="N5" s="4">
        <v>56.551000000000002</v>
      </c>
      <c r="O5" s="4">
        <v>56.551000000000002</v>
      </c>
      <c r="P5" s="4">
        <v>0</v>
      </c>
      <c r="Q5" s="3" t="s">
        <v>26</v>
      </c>
      <c r="R5" s="3">
        <v>0</v>
      </c>
      <c r="S5" s="3" t="s">
        <v>94</v>
      </c>
      <c r="T5" s="3" t="s">
        <v>287</v>
      </c>
      <c r="U5" s="3">
        <v>2</v>
      </c>
      <c r="V5" s="3">
        <v>3</v>
      </c>
      <c r="W5" s="3">
        <v>83</v>
      </c>
    </row>
    <row r="6" spans="1:23" ht="11.25" customHeight="1" x14ac:dyDescent="0.25">
      <c r="A6" s="3" t="s">
        <v>21</v>
      </c>
      <c r="B6" s="3" t="s">
        <v>33</v>
      </c>
      <c r="C6" s="3" t="s">
        <v>41</v>
      </c>
      <c r="D6" s="3" t="s">
        <v>40</v>
      </c>
      <c r="E6" s="3" t="s">
        <v>25</v>
      </c>
      <c r="F6" s="3" t="s">
        <v>25</v>
      </c>
      <c r="G6" s="3" t="s">
        <v>25</v>
      </c>
      <c r="H6" s="3" t="s">
        <v>36</v>
      </c>
      <c r="I6" s="6">
        <v>44409</v>
      </c>
      <c r="J6" s="4">
        <v>91</v>
      </c>
      <c r="K6" s="4">
        <v>91</v>
      </c>
      <c r="L6" s="4">
        <v>56.05</v>
      </c>
      <c r="M6" s="4">
        <v>56.05</v>
      </c>
      <c r="N6" s="4">
        <v>56.05</v>
      </c>
      <c r="O6" s="4">
        <v>56.05</v>
      </c>
      <c r="P6" s="4">
        <v>0</v>
      </c>
      <c r="Q6" s="3" t="s">
        <v>26</v>
      </c>
      <c r="R6" s="3">
        <v>0</v>
      </c>
      <c r="S6" s="3" t="s">
        <v>95</v>
      </c>
      <c r="T6" s="3" t="s">
        <v>288</v>
      </c>
      <c r="U6" s="3">
        <v>2</v>
      </c>
      <c r="V6" s="3">
        <v>3</v>
      </c>
      <c r="W6" s="3">
        <v>83</v>
      </c>
    </row>
    <row r="7" spans="1:23" ht="11.25" customHeight="1" x14ac:dyDescent="0.25">
      <c r="A7" s="3" t="s">
        <v>21</v>
      </c>
      <c r="B7" s="3" t="s">
        <v>33</v>
      </c>
      <c r="C7" s="3" t="s">
        <v>41</v>
      </c>
      <c r="D7" s="3" t="s">
        <v>40</v>
      </c>
      <c r="E7" s="3" t="s">
        <v>25</v>
      </c>
      <c r="F7" s="3" t="s">
        <v>25</v>
      </c>
      <c r="G7" s="3" t="s">
        <v>25</v>
      </c>
      <c r="H7" s="3" t="s">
        <v>36</v>
      </c>
      <c r="I7" s="6">
        <v>44440</v>
      </c>
      <c r="J7" s="4">
        <v>92</v>
      </c>
      <c r="K7" s="4">
        <v>92</v>
      </c>
      <c r="L7" s="4">
        <v>53.908999999999999</v>
      </c>
      <c r="M7" s="4">
        <v>53.908999999999999</v>
      </c>
      <c r="N7" s="4">
        <v>53.908999999999999</v>
      </c>
      <c r="O7" s="4">
        <v>53.908999999999999</v>
      </c>
      <c r="P7" s="4">
        <v>0</v>
      </c>
      <c r="Q7" s="3" t="s">
        <v>26</v>
      </c>
      <c r="R7" s="3">
        <v>0</v>
      </c>
      <c r="S7" s="3" t="s">
        <v>96</v>
      </c>
      <c r="T7" s="3" t="s">
        <v>289</v>
      </c>
      <c r="U7" s="3">
        <v>2</v>
      </c>
      <c r="V7" s="3">
        <v>3</v>
      </c>
      <c r="W7" s="3">
        <v>83</v>
      </c>
    </row>
    <row r="8" spans="1:23" ht="11.25" customHeight="1" x14ac:dyDescent="0.25">
      <c r="A8" s="3" t="s">
        <v>21</v>
      </c>
      <c r="B8" s="3" t="s">
        <v>33</v>
      </c>
      <c r="C8" s="3" t="s">
        <v>41</v>
      </c>
      <c r="D8" s="3" t="s">
        <v>40</v>
      </c>
      <c r="E8" s="3" t="s">
        <v>25</v>
      </c>
      <c r="F8" s="3" t="s">
        <v>25</v>
      </c>
      <c r="G8" s="3" t="s">
        <v>25</v>
      </c>
      <c r="H8" s="3" t="s">
        <v>36</v>
      </c>
      <c r="I8" s="6">
        <v>44470</v>
      </c>
      <c r="J8" s="4">
        <v>93</v>
      </c>
      <c r="K8" s="4">
        <v>93</v>
      </c>
      <c r="L8" s="4">
        <v>55.83</v>
      </c>
      <c r="M8" s="4">
        <v>55.83</v>
      </c>
      <c r="N8" s="4">
        <v>55.83</v>
      </c>
      <c r="O8" s="4">
        <v>55.83</v>
      </c>
      <c r="P8" s="4">
        <v>0</v>
      </c>
      <c r="Q8" s="3" t="s">
        <v>26</v>
      </c>
      <c r="R8" s="3">
        <v>0</v>
      </c>
      <c r="S8" s="3" t="s">
        <v>97</v>
      </c>
      <c r="T8" s="3" t="s">
        <v>290</v>
      </c>
      <c r="U8" s="3">
        <v>2</v>
      </c>
      <c r="V8" s="3">
        <v>3</v>
      </c>
      <c r="W8" s="3">
        <v>83</v>
      </c>
    </row>
    <row r="9" spans="1:23" ht="11.25" customHeight="1" x14ac:dyDescent="0.25">
      <c r="A9" s="3" t="s">
        <v>21</v>
      </c>
      <c r="B9" s="3" t="s">
        <v>33</v>
      </c>
      <c r="C9" s="3" t="s">
        <v>41</v>
      </c>
      <c r="D9" s="3" t="s">
        <v>40</v>
      </c>
      <c r="E9" s="3" t="s">
        <v>25</v>
      </c>
      <c r="F9" s="3" t="s">
        <v>25</v>
      </c>
      <c r="G9" s="3" t="s">
        <v>25</v>
      </c>
      <c r="H9" s="3" t="s">
        <v>36</v>
      </c>
      <c r="I9" s="6">
        <v>44501</v>
      </c>
      <c r="J9" s="4">
        <v>91</v>
      </c>
      <c r="K9" s="4">
        <v>91</v>
      </c>
      <c r="L9" s="4">
        <v>54.168999999999997</v>
      </c>
      <c r="M9" s="4">
        <v>54.168999999999997</v>
      </c>
      <c r="N9" s="4">
        <v>54.168999999999997</v>
      </c>
      <c r="O9" s="4">
        <v>54.168999999999997</v>
      </c>
      <c r="P9" s="4">
        <v>0</v>
      </c>
      <c r="Q9" s="3" t="s">
        <v>26</v>
      </c>
      <c r="R9" s="3">
        <v>0</v>
      </c>
      <c r="S9" s="3" t="s">
        <v>98</v>
      </c>
      <c r="T9" s="3" t="s">
        <v>291</v>
      </c>
      <c r="U9" s="3">
        <v>2</v>
      </c>
      <c r="V9" s="3">
        <v>3</v>
      </c>
      <c r="W9" s="3">
        <v>83</v>
      </c>
    </row>
    <row r="10" spans="1:23" ht="11.25" customHeight="1" x14ac:dyDescent="0.25">
      <c r="A10" s="3" t="s">
        <v>21</v>
      </c>
      <c r="B10" s="3" t="s">
        <v>33</v>
      </c>
      <c r="C10" s="3" t="s">
        <v>41</v>
      </c>
      <c r="D10" s="3" t="s">
        <v>40</v>
      </c>
      <c r="E10" s="3" t="s">
        <v>25</v>
      </c>
      <c r="F10" s="3" t="s">
        <v>25</v>
      </c>
      <c r="G10" s="3" t="s">
        <v>25</v>
      </c>
      <c r="H10" s="3" t="s">
        <v>36</v>
      </c>
      <c r="I10" s="6">
        <v>44531</v>
      </c>
      <c r="J10" s="4">
        <v>90</v>
      </c>
      <c r="K10" s="4">
        <v>90</v>
      </c>
      <c r="L10" s="4">
        <v>54.517000000000003</v>
      </c>
      <c r="M10" s="4">
        <v>54.517000000000003</v>
      </c>
      <c r="N10" s="4">
        <v>54.517000000000003</v>
      </c>
      <c r="O10" s="4">
        <v>54.517000000000003</v>
      </c>
      <c r="P10" s="4">
        <v>0</v>
      </c>
      <c r="Q10" s="3" t="s">
        <v>26</v>
      </c>
      <c r="R10" s="3">
        <v>0</v>
      </c>
      <c r="S10" s="3" t="s">
        <v>99</v>
      </c>
      <c r="T10" s="3" t="s">
        <v>292</v>
      </c>
      <c r="U10" s="3">
        <v>2</v>
      </c>
      <c r="V10" s="3">
        <v>3</v>
      </c>
      <c r="W10" s="3">
        <v>83</v>
      </c>
    </row>
    <row r="11" spans="1:23" ht="11.25" customHeight="1" x14ac:dyDescent="0.25">
      <c r="A11" s="3" t="s">
        <v>21</v>
      </c>
      <c r="B11" s="3" t="s">
        <v>33</v>
      </c>
      <c r="C11" s="3" t="s">
        <v>41</v>
      </c>
      <c r="D11" s="3" t="s">
        <v>40</v>
      </c>
      <c r="E11" s="3" t="s">
        <v>25</v>
      </c>
      <c r="F11" s="3" t="s">
        <v>25</v>
      </c>
      <c r="G11" s="3" t="s">
        <v>25</v>
      </c>
      <c r="H11" s="3" t="s">
        <v>36</v>
      </c>
      <c r="I11" s="6">
        <v>44562</v>
      </c>
      <c r="J11" s="4">
        <v>90</v>
      </c>
      <c r="K11" s="4">
        <v>90</v>
      </c>
      <c r="L11" s="4">
        <v>53.551000000000002</v>
      </c>
      <c r="M11" s="4">
        <v>53.551000000000002</v>
      </c>
      <c r="N11" s="4">
        <v>53.551000000000002</v>
      </c>
      <c r="O11" s="4">
        <v>53.551000000000002</v>
      </c>
      <c r="P11" s="4">
        <v>0</v>
      </c>
      <c r="Q11" s="3" t="s">
        <v>26</v>
      </c>
      <c r="R11" s="3">
        <v>0</v>
      </c>
      <c r="S11" s="3" t="s">
        <v>100</v>
      </c>
      <c r="T11" s="3" t="s">
        <v>293</v>
      </c>
      <c r="U11" s="3">
        <v>2</v>
      </c>
      <c r="V11" s="3">
        <v>3</v>
      </c>
      <c r="W11" s="3">
        <v>83</v>
      </c>
    </row>
    <row r="12" spans="1:23" ht="11.25" customHeight="1" x14ac:dyDescent="0.25">
      <c r="A12" s="3" t="s">
        <v>21</v>
      </c>
      <c r="B12" s="3" t="s">
        <v>33</v>
      </c>
      <c r="C12" s="3" t="s">
        <v>41</v>
      </c>
      <c r="D12" s="3" t="s">
        <v>40</v>
      </c>
      <c r="E12" s="3" t="s">
        <v>25</v>
      </c>
      <c r="F12" s="3" t="s">
        <v>25</v>
      </c>
      <c r="G12" s="3" t="s">
        <v>25</v>
      </c>
      <c r="H12" s="3" t="s">
        <v>36</v>
      </c>
      <c r="I12" s="6">
        <v>44593</v>
      </c>
      <c r="J12" s="4">
        <v>90</v>
      </c>
      <c r="K12" s="4">
        <v>90</v>
      </c>
      <c r="L12" s="4">
        <v>49.460999999999999</v>
      </c>
      <c r="M12" s="4">
        <v>49.460999999999999</v>
      </c>
      <c r="N12" s="4">
        <v>49.460999999999999</v>
      </c>
      <c r="O12" s="4">
        <v>49.460999999999999</v>
      </c>
      <c r="P12" s="4">
        <v>0</v>
      </c>
      <c r="Q12" s="3" t="s">
        <v>26</v>
      </c>
      <c r="R12" s="3">
        <v>0</v>
      </c>
      <c r="S12" s="3" t="s">
        <v>101</v>
      </c>
      <c r="T12" s="3" t="s">
        <v>294</v>
      </c>
      <c r="U12" s="3">
        <v>2</v>
      </c>
      <c r="V12" s="3">
        <v>3</v>
      </c>
      <c r="W12" s="3">
        <v>83</v>
      </c>
    </row>
    <row r="13" spans="1:23" ht="11.25" customHeight="1" x14ac:dyDescent="0.25">
      <c r="A13" s="3" t="s">
        <v>21</v>
      </c>
      <c r="B13" s="3" t="s">
        <v>33</v>
      </c>
      <c r="C13" s="3" t="s">
        <v>41</v>
      </c>
      <c r="D13" s="3" t="s">
        <v>40</v>
      </c>
      <c r="E13" s="3" t="s">
        <v>25</v>
      </c>
      <c r="F13" s="3" t="s">
        <v>25</v>
      </c>
      <c r="G13" s="3" t="s">
        <v>25</v>
      </c>
      <c r="H13" s="3" t="s">
        <v>36</v>
      </c>
      <c r="I13" s="6">
        <v>44621</v>
      </c>
      <c r="J13" s="4">
        <v>92</v>
      </c>
      <c r="K13" s="4">
        <v>92</v>
      </c>
      <c r="L13" s="4">
        <v>56.453000000000003</v>
      </c>
      <c r="M13" s="4">
        <v>56.453000000000003</v>
      </c>
      <c r="N13" s="4">
        <v>56.453000000000003</v>
      </c>
      <c r="O13" s="4">
        <v>56.453000000000003</v>
      </c>
      <c r="P13" s="4">
        <v>0</v>
      </c>
      <c r="Q13" s="3" t="s">
        <v>26</v>
      </c>
      <c r="R13" s="3">
        <v>0</v>
      </c>
      <c r="S13" s="3" t="s">
        <v>102</v>
      </c>
      <c r="T13" s="3" t="s">
        <v>295</v>
      </c>
      <c r="U13" s="3">
        <v>2</v>
      </c>
      <c r="V13" s="3">
        <v>3</v>
      </c>
      <c r="W13" s="3">
        <v>83</v>
      </c>
    </row>
    <row r="14" spans="1:23" ht="11.25" customHeight="1" x14ac:dyDescent="0.25">
      <c r="A14" s="3" t="s">
        <v>21</v>
      </c>
      <c r="B14" s="3" t="s">
        <v>33</v>
      </c>
      <c r="C14" s="3" t="s">
        <v>41</v>
      </c>
      <c r="D14" s="3" t="s">
        <v>40</v>
      </c>
      <c r="E14" s="3" t="s">
        <v>25</v>
      </c>
      <c r="F14" s="3" t="s">
        <v>25</v>
      </c>
      <c r="G14" s="3" t="s">
        <v>25</v>
      </c>
      <c r="H14" s="3" t="s">
        <v>35</v>
      </c>
      <c r="I14" s="6">
        <v>44287</v>
      </c>
      <c r="J14" s="4">
        <v>32</v>
      </c>
      <c r="K14" s="4">
        <v>32</v>
      </c>
      <c r="L14" s="4">
        <v>1.7969999999999999</v>
      </c>
      <c r="M14" s="4">
        <v>1.7969999999999999</v>
      </c>
      <c r="N14" s="4">
        <v>1.7969999999999999</v>
      </c>
      <c r="O14" s="4">
        <v>1.7969999999999999</v>
      </c>
      <c r="P14" s="4">
        <v>0</v>
      </c>
      <c r="Q14" s="3" t="s">
        <v>26</v>
      </c>
      <c r="R14" s="3">
        <v>0</v>
      </c>
      <c r="S14" s="3" t="s">
        <v>103</v>
      </c>
      <c r="T14" s="3" t="s">
        <v>296</v>
      </c>
      <c r="U14" s="3">
        <v>1</v>
      </c>
      <c r="V14" s="3">
        <v>3</v>
      </c>
      <c r="W14" s="3">
        <v>82</v>
      </c>
    </row>
    <row r="15" spans="1:23" ht="11.25" customHeight="1" x14ac:dyDescent="0.25">
      <c r="A15" s="3" t="s">
        <v>21</v>
      </c>
      <c r="B15" s="3" t="s">
        <v>33</v>
      </c>
      <c r="C15" s="3" t="s">
        <v>41</v>
      </c>
      <c r="D15" s="3" t="s">
        <v>40</v>
      </c>
      <c r="E15" s="3" t="s">
        <v>25</v>
      </c>
      <c r="F15" s="3" t="s">
        <v>25</v>
      </c>
      <c r="G15" s="3" t="s">
        <v>25</v>
      </c>
      <c r="H15" s="3" t="s">
        <v>35</v>
      </c>
      <c r="I15" s="6">
        <v>44317</v>
      </c>
      <c r="J15" s="4">
        <v>32</v>
      </c>
      <c r="K15" s="4">
        <v>32</v>
      </c>
      <c r="L15" s="4">
        <v>1.8919999999999999</v>
      </c>
      <c r="M15" s="4">
        <v>1.8919999999999999</v>
      </c>
      <c r="N15" s="4">
        <v>1.8919999999999999</v>
      </c>
      <c r="O15" s="4">
        <v>1.8919999999999999</v>
      </c>
      <c r="P15" s="4">
        <v>0</v>
      </c>
      <c r="Q15" s="3" t="s">
        <v>26</v>
      </c>
      <c r="R15" s="3">
        <v>0</v>
      </c>
      <c r="S15" s="3" t="s">
        <v>104</v>
      </c>
      <c r="T15" s="3" t="s">
        <v>297</v>
      </c>
      <c r="U15" s="3">
        <v>1</v>
      </c>
      <c r="V15" s="3">
        <v>3</v>
      </c>
      <c r="W15" s="3">
        <v>82</v>
      </c>
    </row>
    <row r="16" spans="1:23" ht="11.25" customHeight="1" x14ac:dyDescent="0.25">
      <c r="A16" s="3" t="s">
        <v>21</v>
      </c>
      <c r="B16" s="3" t="s">
        <v>33</v>
      </c>
      <c r="C16" s="3" t="s">
        <v>41</v>
      </c>
      <c r="D16" s="3" t="s">
        <v>40</v>
      </c>
      <c r="E16" s="3" t="s">
        <v>25</v>
      </c>
      <c r="F16" s="3" t="s">
        <v>25</v>
      </c>
      <c r="G16" s="3" t="s">
        <v>25</v>
      </c>
      <c r="H16" s="3" t="s">
        <v>35</v>
      </c>
      <c r="I16" s="6">
        <v>44348</v>
      </c>
      <c r="J16" s="4">
        <v>32</v>
      </c>
      <c r="K16" s="4">
        <v>32</v>
      </c>
      <c r="L16" s="4">
        <v>1.89</v>
      </c>
      <c r="M16" s="4">
        <v>1.89</v>
      </c>
      <c r="N16" s="4">
        <v>1.89</v>
      </c>
      <c r="O16" s="4">
        <v>1.89</v>
      </c>
      <c r="P16" s="4">
        <v>0</v>
      </c>
      <c r="Q16" s="3" t="s">
        <v>26</v>
      </c>
      <c r="R16" s="3">
        <v>0</v>
      </c>
      <c r="S16" s="3" t="s">
        <v>105</v>
      </c>
      <c r="T16" s="3" t="s">
        <v>298</v>
      </c>
      <c r="U16" s="3">
        <v>1</v>
      </c>
      <c r="V16" s="3">
        <v>3</v>
      </c>
      <c r="W16" s="3">
        <v>82</v>
      </c>
    </row>
    <row r="17" spans="1:23" ht="11.25" customHeight="1" x14ac:dyDescent="0.25">
      <c r="A17" s="3" t="s">
        <v>21</v>
      </c>
      <c r="B17" s="3" t="s">
        <v>33</v>
      </c>
      <c r="C17" s="3" t="s">
        <v>41</v>
      </c>
      <c r="D17" s="3" t="s">
        <v>40</v>
      </c>
      <c r="E17" s="3" t="s">
        <v>25</v>
      </c>
      <c r="F17" s="3" t="s">
        <v>25</v>
      </c>
      <c r="G17" s="3" t="s">
        <v>25</v>
      </c>
      <c r="H17" s="3" t="s">
        <v>35</v>
      </c>
      <c r="I17" s="6">
        <v>44378</v>
      </c>
      <c r="J17" s="4">
        <v>32</v>
      </c>
      <c r="K17" s="4">
        <v>32</v>
      </c>
      <c r="L17" s="4">
        <v>1.9450000000000001</v>
      </c>
      <c r="M17" s="4">
        <v>1.9450000000000001</v>
      </c>
      <c r="N17" s="4">
        <v>1.9450000000000001</v>
      </c>
      <c r="O17" s="4">
        <v>1.9450000000000001</v>
      </c>
      <c r="P17" s="4">
        <v>0</v>
      </c>
      <c r="Q17" s="3" t="s">
        <v>26</v>
      </c>
      <c r="R17" s="3">
        <v>0</v>
      </c>
      <c r="S17" s="3" t="s">
        <v>106</v>
      </c>
      <c r="T17" s="3" t="s">
        <v>299</v>
      </c>
      <c r="U17" s="3">
        <v>1</v>
      </c>
      <c r="V17" s="3">
        <v>3</v>
      </c>
      <c r="W17" s="3">
        <v>82</v>
      </c>
    </row>
    <row r="18" spans="1:23" ht="11.25" customHeight="1" x14ac:dyDescent="0.25">
      <c r="A18" s="3" t="s">
        <v>21</v>
      </c>
      <c r="B18" s="3" t="s">
        <v>33</v>
      </c>
      <c r="C18" s="3" t="s">
        <v>41</v>
      </c>
      <c r="D18" s="3" t="s">
        <v>40</v>
      </c>
      <c r="E18" s="3" t="s">
        <v>25</v>
      </c>
      <c r="F18" s="3" t="s">
        <v>25</v>
      </c>
      <c r="G18" s="3" t="s">
        <v>25</v>
      </c>
      <c r="H18" s="3" t="s">
        <v>35</v>
      </c>
      <c r="I18" s="6">
        <v>44409</v>
      </c>
      <c r="J18" s="4">
        <v>31</v>
      </c>
      <c r="K18" s="4">
        <v>31</v>
      </c>
      <c r="L18" s="4">
        <v>1.9350000000000001</v>
      </c>
      <c r="M18" s="4">
        <v>1.9350000000000001</v>
      </c>
      <c r="N18" s="4">
        <v>1.9350000000000001</v>
      </c>
      <c r="O18" s="4">
        <v>1.9350000000000001</v>
      </c>
      <c r="P18" s="4">
        <v>0</v>
      </c>
      <c r="Q18" s="3" t="s">
        <v>26</v>
      </c>
      <c r="R18" s="3">
        <v>0</v>
      </c>
      <c r="S18" s="3" t="s">
        <v>107</v>
      </c>
      <c r="T18" s="3" t="s">
        <v>300</v>
      </c>
      <c r="U18" s="3">
        <v>1</v>
      </c>
      <c r="V18" s="3">
        <v>3</v>
      </c>
      <c r="W18" s="3">
        <v>82</v>
      </c>
    </row>
    <row r="19" spans="1:23" ht="11.25" customHeight="1" x14ac:dyDescent="0.25">
      <c r="A19" s="3" t="s">
        <v>21</v>
      </c>
      <c r="B19" s="3" t="s">
        <v>33</v>
      </c>
      <c r="C19" s="3" t="s">
        <v>41</v>
      </c>
      <c r="D19" s="3" t="s">
        <v>40</v>
      </c>
      <c r="E19" s="3" t="s">
        <v>25</v>
      </c>
      <c r="F19" s="3" t="s">
        <v>25</v>
      </c>
      <c r="G19" s="3" t="s">
        <v>25</v>
      </c>
      <c r="H19" s="3" t="s">
        <v>35</v>
      </c>
      <c r="I19" s="6">
        <v>44440</v>
      </c>
      <c r="J19" s="4">
        <v>35</v>
      </c>
      <c r="K19" s="4">
        <v>35</v>
      </c>
      <c r="L19" s="4">
        <v>1.853</v>
      </c>
      <c r="M19" s="4">
        <v>1.853</v>
      </c>
      <c r="N19" s="4">
        <v>1.853</v>
      </c>
      <c r="O19" s="4">
        <v>1.853</v>
      </c>
      <c r="P19" s="4">
        <v>0</v>
      </c>
      <c r="Q19" s="3" t="s">
        <v>26</v>
      </c>
      <c r="R19" s="3">
        <v>0</v>
      </c>
      <c r="S19" s="3" t="s">
        <v>108</v>
      </c>
      <c r="T19" s="3" t="s">
        <v>301</v>
      </c>
      <c r="U19" s="3">
        <v>1</v>
      </c>
      <c r="V19" s="3">
        <v>3</v>
      </c>
      <c r="W19" s="3">
        <v>82</v>
      </c>
    </row>
    <row r="20" spans="1:23" ht="11.25" customHeight="1" x14ac:dyDescent="0.25">
      <c r="A20" s="3" t="s">
        <v>21</v>
      </c>
      <c r="B20" s="3" t="s">
        <v>33</v>
      </c>
      <c r="C20" s="3" t="s">
        <v>41</v>
      </c>
      <c r="D20" s="3" t="s">
        <v>40</v>
      </c>
      <c r="E20" s="3" t="s">
        <v>25</v>
      </c>
      <c r="F20" s="3" t="s">
        <v>25</v>
      </c>
      <c r="G20" s="3" t="s">
        <v>25</v>
      </c>
      <c r="H20" s="3" t="s">
        <v>35</v>
      </c>
      <c r="I20" s="6">
        <v>44470</v>
      </c>
      <c r="J20" s="4">
        <v>31</v>
      </c>
      <c r="K20" s="4">
        <v>31</v>
      </c>
      <c r="L20" s="4">
        <v>1.764</v>
      </c>
      <c r="M20" s="4">
        <v>1.764</v>
      </c>
      <c r="N20" s="4">
        <v>1.764</v>
      </c>
      <c r="O20" s="4">
        <v>1.764</v>
      </c>
      <c r="P20" s="4">
        <v>0</v>
      </c>
      <c r="Q20" s="3" t="s">
        <v>26</v>
      </c>
      <c r="R20" s="3">
        <v>0</v>
      </c>
      <c r="S20" s="3" t="s">
        <v>109</v>
      </c>
      <c r="T20" s="3" t="s">
        <v>302</v>
      </c>
      <c r="U20" s="3">
        <v>1</v>
      </c>
      <c r="V20" s="3">
        <v>3</v>
      </c>
      <c r="W20" s="3">
        <v>82</v>
      </c>
    </row>
    <row r="21" spans="1:23" ht="11.25" customHeight="1" x14ac:dyDescent="0.25">
      <c r="A21" s="3" t="s">
        <v>21</v>
      </c>
      <c r="B21" s="3" t="s">
        <v>33</v>
      </c>
      <c r="C21" s="3" t="s">
        <v>41</v>
      </c>
      <c r="D21" s="3" t="s">
        <v>40</v>
      </c>
      <c r="E21" s="3" t="s">
        <v>25</v>
      </c>
      <c r="F21" s="3" t="s">
        <v>25</v>
      </c>
      <c r="G21" s="3" t="s">
        <v>25</v>
      </c>
      <c r="H21" s="3" t="s">
        <v>35</v>
      </c>
      <c r="I21" s="6">
        <v>44501</v>
      </c>
      <c r="J21" s="4">
        <v>31</v>
      </c>
      <c r="K21" s="4">
        <v>31</v>
      </c>
      <c r="L21" s="4">
        <v>1.77</v>
      </c>
      <c r="M21" s="4">
        <v>1.77</v>
      </c>
      <c r="N21" s="4">
        <v>1.77</v>
      </c>
      <c r="O21" s="4">
        <v>1.77</v>
      </c>
      <c r="P21" s="4">
        <v>0</v>
      </c>
      <c r="Q21" s="3" t="s">
        <v>26</v>
      </c>
      <c r="R21" s="3">
        <v>0</v>
      </c>
      <c r="S21" s="3" t="s">
        <v>110</v>
      </c>
      <c r="T21" s="3" t="s">
        <v>303</v>
      </c>
      <c r="U21" s="3">
        <v>1</v>
      </c>
      <c r="V21" s="3">
        <v>3</v>
      </c>
      <c r="W21" s="3">
        <v>82</v>
      </c>
    </row>
    <row r="22" spans="1:23" ht="11.25" customHeight="1" x14ac:dyDescent="0.25">
      <c r="A22" s="3" t="s">
        <v>21</v>
      </c>
      <c r="B22" s="3" t="s">
        <v>33</v>
      </c>
      <c r="C22" s="3" t="s">
        <v>41</v>
      </c>
      <c r="D22" s="3" t="s">
        <v>40</v>
      </c>
      <c r="E22" s="3" t="s">
        <v>25</v>
      </c>
      <c r="F22" s="3" t="s">
        <v>25</v>
      </c>
      <c r="G22" s="3" t="s">
        <v>25</v>
      </c>
      <c r="H22" s="3" t="s">
        <v>35</v>
      </c>
      <c r="I22" s="6">
        <v>44531</v>
      </c>
      <c r="J22" s="4">
        <v>32</v>
      </c>
      <c r="K22" s="4">
        <v>32</v>
      </c>
      <c r="L22" s="4">
        <v>1.986</v>
      </c>
      <c r="M22" s="4">
        <v>1.986</v>
      </c>
      <c r="N22" s="4">
        <v>1.986</v>
      </c>
      <c r="O22" s="4">
        <v>1.986</v>
      </c>
      <c r="P22" s="4">
        <v>0</v>
      </c>
      <c r="Q22" s="3" t="s">
        <v>26</v>
      </c>
      <c r="R22" s="3">
        <v>0</v>
      </c>
      <c r="S22" s="3" t="s">
        <v>111</v>
      </c>
      <c r="T22" s="3" t="s">
        <v>304</v>
      </c>
      <c r="U22" s="3">
        <v>1</v>
      </c>
      <c r="V22" s="3">
        <v>3</v>
      </c>
      <c r="W22" s="3">
        <v>82</v>
      </c>
    </row>
    <row r="23" spans="1:23" ht="11.25" customHeight="1" x14ac:dyDescent="0.25">
      <c r="A23" s="3" t="s">
        <v>21</v>
      </c>
      <c r="B23" s="3" t="s">
        <v>33</v>
      </c>
      <c r="C23" s="3" t="s">
        <v>41</v>
      </c>
      <c r="D23" s="3" t="s">
        <v>40</v>
      </c>
      <c r="E23" s="3" t="s">
        <v>25</v>
      </c>
      <c r="F23" s="3" t="s">
        <v>25</v>
      </c>
      <c r="G23" s="3" t="s">
        <v>25</v>
      </c>
      <c r="H23" s="3" t="s">
        <v>35</v>
      </c>
      <c r="I23" s="6">
        <v>44562</v>
      </c>
      <c r="J23" s="4">
        <v>32</v>
      </c>
      <c r="K23" s="4">
        <v>32</v>
      </c>
      <c r="L23" s="4">
        <v>1.7709999999999999</v>
      </c>
      <c r="M23" s="4">
        <v>1.7709999999999999</v>
      </c>
      <c r="N23" s="4">
        <v>1.7709999999999999</v>
      </c>
      <c r="O23" s="4">
        <v>1.7709999999999999</v>
      </c>
      <c r="P23" s="4">
        <v>0</v>
      </c>
      <c r="Q23" s="3" t="s">
        <v>26</v>
      </c>
      <c r="R23" s="3">
        <v>0</v>
      </c>
      <c r="S23" s="3" t="s">
        <v>112</v>
      </c>
      <c r="T23" s="3" t="s">
        <v>305</v>
      </c>
      <c r="U23" s="3">
        <v>1</v>
      </c>
      <c r="V23" s="3">
        <v>3</v>
      </c>
      <c r="W23" s="3">
        <v>82</v>
      </c>
    </row>
    <row r="24" spans="1:23" ht="11.25" customHeight="1" x14ac:dyDescent="0.25">
      <c r="A24" s="3" t="s">
        <v>21</v>
      </c>
      <c r="B24" s="3" t="s">
        <v>33</v>
      </c>
      <c r="C24" s="3" t="s">
        <v>41</v>
      </c>
      <c r="D24" s="3" t="s">
        <v>40</v>
      </c>
      <c r="E24" s="3" t="s">
        <v>25</v>
      </c>
      <c r="F24" s="3" t="s">
        <v>25</v>
      </c>
      <c r="G24" s="3" t="s">
        <v>25</v>
      </c>
      <c r="H24" s="3" t="s">
        <v>35</v>
      </c>
      <c r="I24" s="6">
        <v>44593</v>
      </c>
      <c r="J24" s="4">
        <v>32</v>
      </c>
      <c r="K24" s="4">
        <v>32</v>
      </c>
      <c r="L24" s="4">
        <v>1.766</v>
      </c>
      <c r="M24" s="4">
        <v>1.766</v>
      </c>
      <c r="N24" s="4">
        <v>1.766</v>
      </c>
      <c r="O24" s="4">
        <v>1.766</v>
      </c>
      <c r="P24" s="4">
        <v>0</v>
      </c>
      <c r="Q24" s="3" t="s">
        <v>26</v>
      </c>
      <c r="R24" s="3">
        <v>0</v>
      </c>
      <c r="S24" s="3" t="s">
        <v>113</v>
      </c>
      <c r="T24" s="3" t="s">
        <v>306</v>
      </c>
      <c r="U24" s="3">
        <v>1</v>
      </c>
      <c r="V24" s="3">
        <v>3</v>
      </c>
      <c r="W24" s="3">
        <v>82</v>
      </c>
    </row>
    <row r="25" spans="1:23" ht="11.25" customHeight="1" x14ac:dyDescent="0.25">
      <c r="A25" s="3" t="s">
        <v>21</v>
      </c>
      <c r="B25" s="3" t="s">
        <v>33</v>
      </c>
      <c r="C25" s="3" t="s">
        <v>41</v>
      </c>
      <c r="D25" s="3" t="s">
        <v>40</v>
      </c>
      <c r="E25" s="3" t="s">
        <v>25</v>
      </c>
      <c r="F25" s="3" t="s">
        <v>25</v>
      </c>
      <c r="G25" s="3" t="s">
        <v>25</v>
      </c>
      <c r="H25" s="3" t="s">
        <v>35</v>
      </c>
      <c r="I25" s="6">
        <v>44621</v>
      </c>
      <c r="J25" s="4">
        <v>32</v>
      </c>
      <c r="K25" s="4">
        <v>32</v>
      </c>
      <c r="L25" s="4">
        <v>1.9650000000000001</v>
      </c>
      <c r="M25" s="4">
        <v>1.9650000000000001</v>
      </c>
      <c r="N25" s="4">
        <v>1.9650000000000001</v>
      </c>
      <c r="O25" s="4">
        <v>1.9650000000000001</v>
      </c>
      <c r="P25" s="4">
        <v>0</v>
      </c>
      <c r="Q25" s="3" t="s">
        <v>26</v>
      </c>
      <c r="R25" s="3">
        <v>0</v>
      </c>
      <c r="S25" s="3" t="s">
        <v>114</v>
      </c>
      <c r="T25" s="3" t="s">
        <v>307</v>
      </c>
      <c r="U25" s="3">
        <v>1</v>
      </c>
      <c r="V25" s="3">
        <v>3</v>
      </c>
      <c r="W25" s="3">
        <v>82</v>
      </c>
    </row>
    <row r="26" spans="1:23" ht="11.25" customHeight="1" x14ac:dyDescent="0.25">
      <c r="A26" s="3" t="s">
        <v>21</v>
      </c>
      <c r="B26" s="3" t="s">
        <v>33</v>
      </c>
      <c r="C26" s="3" t="s">
        <v>34</v>
      </c>
      <c r="D26" s="3" t="s">
        <v>42</v>
      </c>
      <c r="E26" s="3" t="s">
        <v>25</v>
      </c>
      <c r="F26" s="3" t="s">
        <v>25</v>
      </c>
      <c r="G26" s="3" t="s">
        <v>25</v>
      </c>
      <c r="H26" s="3" t="s">
        <v>36</v>
      </c>
      <c r="I26" s="6">
        <v>44287</v>
      </c>
      <c r="J26" s="4">
        <v>0</v>
      </c>
      <c r="K26" s="4">
        <v>0</v>
      </c>
      <c r="L26" s="4">
        <v>40.823999999999998</v>
      </c>
      <c r="M26" s="4">
        <v>40.823999999999998</v>
      </c>
      <c r="N26" s="4">
        <v>40.823999999999998</v>
      </c>
      <c r="O26" s="4">
        <v>40.823999999999998</v>
      </c>
      <c r="P26" s="4">
        <v>0</v>
      </c>
      <c r="Q26" s="3" t="s">
        <v>26</v>
      </c>
      <c r="R26" s="3">
        <v>0</v>
      </c>
      <c r="S26" s="3" t="s">
        <v>115</v>
      </c>
      <c r="T26" s="3" t="s">
        <v>284</v>
      </c>
      <c r="U26" s="3">
        <v>0</v>
      </c>
      <c r="V26" s="3">
        <v>24</v>
      </c>
      <c r="W26" s="3">
        <v>83</v>
      </c>
    </row>
    <row r="27" spans="1:23" ht="11.25" customHeight="1" x14ac:dyDescent="0.25">
      <c r="A27" s="3" t="s">
        <v>21</v>
      </c>
      <c r="B27" s="3" t="s">
        <v>33</v>
      </c>
      <c r="C27" s="3" t="s">
        <v>34</v>
      </c>
      <c r="D27" s="3" t="s">
        <v>42</v>
      </c>
      <c r="E27" s="3" t="s">
        <v>25</v>
      </c>
      <c r="F27" s="3" t="s">
        <v>25</v>
      </c>
      <c r="G27" s="3" t="s">
        <v>25</v>
      </c>
      <c r="H27" s="3" t="s">
        <v>36</v>
      </c>
      <c r="I27" s="6">
        <v>44317</v>
      </c>
      <c r="J27" s="4">
        <v>0</v>
      </c>
      <c r="K27" s="4">
        <v>0</v>
      </c>
      <c r="L27" s="4">
        <v>41.585999999999999</v>
      </c>
      <c r="M27" s="4">
        <v>41.585999999999999</v>
      </c>
      <c r="N27" s="4">
        <v>41.585999999999999</v>
      </c>
      <c r="O27" s="4">
        <v>41.585999999999999</v>
      </c>
      <c r="P27" s="4">
        <v>0</v>
      </c>
      <c r="Q27" s="3" t="s">
        <v>26</v>
      </c>
      <c r="R27" s="3">
        <v>0</v>
      </c>
      <c r="S27" s="3" t="s">
        <v>116</v>
      </c>
      <c r="T27" s="3" t="s">
        <v>285</v>
      </c>
      <c r="U27" s="3">
        <v>0</v>
      </c>
      <c r="V27" s="3">
        <v>24</v>
      </c>
      <c r="W27" s="3">
        <v>83</v>
      </c>
    </row>
    <row r="28" spans="1:23" ht="11.25" customHeight="1" x14ac:dyDescent="0.25">
      <c r="A28" s="3" t="s">
        <v>21</v>
      </c>
      <c r="B28" s="3" t="s">
        <v>33</v>
      </c>
      <c r="C28" s="3" t="s">
        <v>34</v>
      </c>
      <c r="D28" s="3" t="s">
        <v>42</v>
      </c>
      <c r="E28" s="3" t="s">
        <v>25</v>
      </c>
      <c r="F28" s="3" t="s">
        <v>25</v>
      </c>
      <c r="G28" s="3" t="s">
        <v>25</v>
      </c>
      <c r="H28" s="3" t="s">
        <v>36</v>
      </c>
      <c r="I28" s="6">
        <v>44348</v>
      </c>
      <c r="J28" s="4">
        <v>0</v>
      </c>
      <c r="K28" s="4">
        <v>0</v>
      </c>
      <c r="L28" s="4">
        <v>38.689</v>
      </c>
      <c r="M28" s="4">
        <v>38.689</v>
      </c>
      <c r="N28" s="4">
        <v>38.689</v>
      </c>
      <c r="O28" s="4">
        <v>38.689</v>
      </c>
      <c r="P28" s="4">
        <v>0</v>
      </c>
      <c r="Q28" s="3" t="s">
        <v>26</v>
      </c>
      <c r="R28" s="3">
        <v>0</v>
      </c>
      <c r="S28" s="3" t="s">
        <v>117</v>
      </c>
      <c r="T28" s="3" t="s">
        <v>286</v>
      </c>
      <c r="U28" s="3">
        <v>0</v>
      </c>
      <c r="V28" s="3">
        <v>24</v>
      </c>
      <c r="W28" s="3">
        <v>83</v>
      </c>
    </row>
    <row r="29" spans="1:23" ht="11.25" customHeight="1" x14ac:dyDescent="0.25">
      <c r="A29" s="3" t="s">
        <v>21</v>
      </c>
      <c r="B29" s="3" t="s">
        <v>33</v>
      </c>
      <c r="C29" s="3" t="s">
        <v>34</v>
      </c>
      <c r="D29" s="3" t="s">
        <v>42</v>
      </c>
      <c r="E29" s="3" t="s">
        <v>25</v>
      </c>
      <c r="F29" s="3" t="s">
        <v>25</v>
      </c>
      <c r="G29" s="3" t="s">
        <v>25</v>
      </c>
      <c r="H29" s="3" t="s">
        <v>36</v>
      </c>
      <c r="I29" s="6">
        <v>44378</v>
      </c>
      <c r="J29" s="4">
        <v>0</v>
      </c>
      <c r="K29" s="4">
        <v>0</v>
      </c>
      <c r="L29" s="4">
        <v>37.610999999999997</v>
      </c>
      <c r="M29" s="4">
        <v>37.610999999999997</v>
      </c>
      <c r="N29" s="4">
        <v>37.610999999999997</v>
      </c>
      <c r="O29" s="4">
        <v>37.610999999999997</v>
      </c>
      <c r="P29" s="4">
        <v>0</v>
      </c>
      <c r="Q29" s="3" t="s">
        <v>26</v>
      </c>
      <c r="R29" s="3">
        <v>0</v>
      </c>
      <c r="S29" s="3" t="s">
        <v>118</v>
      </c>
      <c r="T29" s="3" t="s">
        <v>287</v>
      </c>
      <c r="U29" s="3">
        <v>0</v>
      </c>
      <c r="V29" s="3">
        <v>24</v>
      </c>
      <c r="W29" s="3">
        <v>83</v>
      </c>
    </row>
    <row r="30" spans="1:23" ht="11.25" customHeight="1" x14ac:dyDescent="0.25">
      <c r="A30" s="3" t="s">
        <v>21</v>
      </c>
      <c r="B30" s="3" t="s">
        <v>33</v>
      </c>
      <c r="C30" s="3" t="s">
        <v>34</v>
      </c>
      <c r="D30" s="3" t="s">
        <v>42</v>
      </c>
      <c r="E30" s="3" t="s">
        <v>25</v>
      </c>
      <c r="F30" s="3" t="s">
        <v>25</v>
      </c>
      <c r="G30" s="3" t="s">
        <v>25</v>
      </c>
      <c r="H30" s="3" t="s">
        <v>36</v>
      </c>
      <c r="I30" s="6">
        <v>44409</v>
      </c>
      <c r="J30" s="4">
        <v>0</v>
      </c>
      <c r="K30" s="4">
        <v>0</v>
      </c>
      <c r="L30" s="4">
        <v>37.991999999999997</v>
      </c>
      <c r="M30" s="4">
        <v>37.991999999999997</v>
      </c>
      <c r="N30" s="4">
        <v>37.991999999999997</v>
      </c>
      <c r="O30" s="4">
        <v>37.991999999999997</v>
      </c>
      <c r="P30" s="4">
        <v>0</v>
      </c>
      <c r="Q30" s="3" t="s">
        <v>26</v>
      </c>
      <c r="R30" s="3">
        <v>0</v>
      </c>
      <c r="S30" s="3" t="s">
        <v>119</v>
      </c>
      <c r="T30" s="3" t="s">
        <v>288</v>
      </c>
      <c r="U30" s="3">
        <v>0</v>
      </c>
      <c r="V30" s="3">
        <v>24</v>
      </c>
      <c r="W30" s="3">
        <v>83</v>
      </c>
    </row>
    <row r="31" spans="1:23" ht="11.25" customHeight="1" x14ac:dyDescent="0.25">
      <c r="A31" s="3" t="s">
        <v>21</v>
      </c>
      <c r="B31" s="3" t="s">
        <v>33</v>
      </c>
      <c r="C31" s="3" t="s">
        <v>34</v>
      </c>
      <c r="D31" s="3" t="s">
        <v>42</v>
      </c>
      <c r="E31" s="3" t="s">
        <v>25</v>
      </c>
      <c r="F31" s="3" t="s">
        <v>25</v>
      </c>
      <c r="G31" s="3" t="s">
        <v>25</v>
      </c>
      <c r="H31" s="3" t="s">
        <v>36</v>
      </c>
      <c r="I31" s="6">
        <v>44440</v>
      </c>
      <c r="J31" s="4">
        <v>0</v>
      </c>
      <c r="K31" s="4">
        <v>0</v>
      </c>
      <c r="L31" s="4">
        <v>40.921999999999997</v>
      </c>
      <c r="M31" s="4">
        <v>40.921999999999997</v>
      </c>
      <c r="N31" s="4">
        <v>40.921999999999997</v>
      </c>
      <c r="O31" s="4">
        <v>40.921999999999997</v>
      </c>
      <c r="P31" s="4">
        <v>0</v>
      </c>
      <c r="Q31" s="3" t="s">
        <v>26</v>
      </c>
      <c r="R31" s="3">
        <v>0</v>
      </c>
      <c r="S31" s="3" t="s">
        <v>120</v>
      </c>
      <c r="T31" s="3" t="s">
        <v>289</v>
      </c>
      <c r="U31" s="3">
        <v>0</v>
      </c>
      <c r="V31" s="3">
        <v>24</v>
      </c>
      <c r="W31" s="3">
        <v>83</v>
      </c>
    </row>
    <row r="32" spans="1:23" ht="11.25" customHeight="1" x14ac:dyDescent="0.25">
      <c r="A32" s="3" t="s">
        <v>21</v>
      </c>
      <c r="B32" s="3" t="s">
        <v>33</v>
      </c>
      <c r="C32" s="3" t="s">
        <v>34</v>
      </c>
      <c r="D32" s="3" t="s">
        <v>42</v>
      </c>
      <c r="E32" s="3" t="s">
        <v>25</v>
      </c>
      <c r="F32" s="3" t="s">
        <v>25</v>
      </c>
      <c r="G32" s="3" t="s">
        <v>25</v>
      </c>
      <c r="H32" s="3" t="s">
        <v>36</v>
      </c>
      <c r="I32" s="6">
        <v>44470</v>
      </c>
      <c r="J32" s="4">
        <v>0</v>
      </c>
      <c r="K32" s="4">
        <v>0</v>
      </c>
      <c r="L32" s="4">
        <v>41.417999999999999</v>
      </c>
      <c r="M32" s="4">
        <v>41.417999999999999</v>
      </c>
      <c r="N32" s="4">
        <v>41.417999999999999</v>
      </c>
      <c r="O32" s="4">
        <v>41.417999999999999</v>
      </c>
      <c r="P32" s="4">
        <v>0</v>
      </c>
      <c r="Q32" s="3" t="s">
        <v>26</v>
      </c>
      <c r="R32" s="3">
        <v>0</v>
      </c>
      <c r="S32" s="3" t="s">
        <v>121</v>
      </c>
      <c r="T32" s="3" t="s">
        <v>290</v>
      </c>
      <c r="U32" s="3">
        <v>0</v>
      </c>
      <c r="V32" s="3">
        <v>24</v>
      </c>
      <c r="W32" s="3">
        <v>83</v>
      </c>
    </row>
    <row r="33" spans="1:23" ht="11.25" customHeight="1" x14ac:dyDescent="0.25">
      <c r="A33" s="3" t="s">
        <v>21</v>
      </c>
      <c r="B33" s="3" t="s">
        <v>33</v>
      </c>
      <c r="C33" s="3" t="s">
        <v>34</v>
      </c>
      <c r="D33" s="3" t="s">
        <v>42</v>
      </c>
      <c r="E33" s="3" t="s">
        <v>25</v>
      </c>
      <c r="F33" s="3" t="s">
        <v>25</v>
      </c>
      <c r="G33" s="3" t="s">
        <v>25</v>
      </c>
      <c r="H33" s="3" t="s">
        <v>36</v>
      </c>
      <c r="I33" s="6">
        <v>44501</v>
      </c>
      <c r="J33" s="4">
        <v>0</v>
      </c>
      <c r="K33" s="4">
        <v>0</v>
      </c>
      <c r="L33" s="4">
        <v>40.816000000000003</v>
      </c>
      <c r="M33" s="4">
        <v>40.816000000000003</v>
      </c>
      <c r="N33" s="4">
        <v>40.816000000000003</v>
      </c>
      <c r="O33" s="4">
        <v>40.816000000000003</v>
      </c>
      <c r="P33" s="4">
        <v>0</v>
      </c>
      <c r="Q33" s="3" t="s">
        <v>26</v>
      </c>
      <c r="R33" s="3">
        <v>0</v>
      </c>
      <c r="S33" s="3" t="s">
        <v>122</v>
      </c>
      <c r="T33" s="3" t="s">
        <v>291</v>
      </c>
      <c r="U33" s="3">
        <v>0</v>
      </c>
      <c r="V33" s="3">
        <v>24</v>
      </c>
      <c r="W33" s="3">
        <v>83</v>
      </c>
    </row>
    <row r="34" spans="1:23" ht="11.25" customHeight="1" x14ac:dyDescent="0.25">
      <c r="A34" s="3" t="s">
        <v>21</v>
      </c>
      <c r="B34" s="3" t="s">
        <v>33</v>
      </c>
      <c r="C34" s="3" t="s">
        <v>34</v>
      </c>
      <c r="D34" s="3" t="s">
        <v>42</v>
      </c>
      <c r="E34" s="3" t="s">
        <v>25</v>
      </c>
      <c r="F34" s="3" t="s">
        <v>25</v>
      </c>
      <c r="G34" s="3" t="s">
        <v>25</v>
      </c>
      <c r="H34" s="3" t="s">
        <v>36</v>
      </c>
      <c r="I34" s="6">
        <v>44531</v>
      </c>
      <c r="J34" s="4">
        <v>0</v>
      </c>
      <c r="K34" s="4">
        <v>0</v>
      </c>
      <c r="L34" s="4">
        <v>49.393000000000001</v>
      </c>
      <c r="M34" s="4">
        <v>49.393000000000001</v>
      </c>
      <c r="N34" s="4">
        <v>49.393000000000001</v>
      </c>
      <c r="O34" s="4">
        <v>49.393000000000001</v>
      </c>
      <c r="P34" s="4">
        <v>0</v>
      </c>
      <c r="Q34" s="3" t="s">
        <v>26</v>
      </c>
      <c r="R34" s="3">
        <v>0</v>
      </c>
      <c r="S34" s="3" t="s">
        <v>123</v>
      </c>
      <c r="T34" s="3" t="s">
        <v>292</v>
      </c>
      <c r="U34" s="3">
        <v>0</v>
      </c>
      <c r="V34" s="3">
        <v>24</v>
      </c>
      <c r="W34" s="3">
        <v>83</v>
      </c>
    </row>
    <row r="35" spans="1:23" ht="11.25" customHeight="1" x14ac:dyDescent="0.25">
      <c r="A35" s="3" t="s">
        <v>21</v>
      </c>
      <c r="B35" s="3" t="s">
        <v>33</v>
      </c>
      <c r="C35" s="3" t="s">
        <v>34</v>
      </c>
      <c r="D35" s="3" t="s">
        <v>42</v>
      </c>
      <c r="E35" s="3" t="s">
        <v>25</v>
      </c>
      <c r="F35" s="3" t="s">
        <v>25</v>
      </c>
      <c r="G35" s="3" t="s">
        <v>25</v>
      </c>
      <c r="H35" s="3" t="s">
        <v>36</v>
      </c>
      <c r="I35" s="6">
        <v>44562</v>
      </c>
      <c r="J35" s="4">
        <v>0</v>
      </c>
      <c r="K35" s="4">
        <v>0</v>
      </c>
      <c r="L35" s="4">
        <v>50.911999999999999</v>
      </c>
      <c r="M35" s="4">
        <v>50.911999999999999</v>
      </c>
      <c r="N35" s="4">
        <v>50.911999999999999</v>
      </c>
      <c r="O35" s="4">
        <v>50.911999999999999</v>
      </c>
      <c r="P35" s="4">
        <v>0</v>
      </c>
      <c r="Q35" s="3" t="s">
        <v>26</v>
      </c>
      <c r="R35" s="3">
        <v>0</v>
      </c>
      <c r="S35" s="3" t="s">
        <v>124</v>
      </c>
      <c r="T35" s="3" t="s">
        <v>293</v>
      </c>
      <c r="U35" s="3">
        <v>0</v>
      </c>
      <c r="V35" s="3">
        <v>24</v>
      </c>
      <c r="W35" s="3">
        <v>83</v>
      </c>
    </row>
    <row r="36" spans="1:23" ht="11.25" customHeight="1" x14ac:dyDescent="0.25">
      <c r="A36" s="3" t="s">
        <v>21</v>
      </c>
      <c r="B36" s="3" t="s">
        <v>33</v>
      </c>
      <c r="C36" s="3" t="s">
        <v>34</v>
      </c>
      <c r="D36" s="3" t="s">
        <v>42</v>
      </c>
      <c r="E36" s="3" t="s">
        <v>25</v>
      </c>
      <c r="F36" s="3" t="s">
        <v>25</v>
      </c>
      <c r="G36" s="3" t="s">
        <v>25</v>
      </c>
      <c r="H36" s="3" t="s">
        <v>36</v>
      </c>
      <c r="I36" s="6">
        <v>44593</v>
      </c>
      <c r="J36" s="4">
        <v>0</v>
      </c>
      <c r="K36" s="4">
        <v>0</v>
      </c>
      <c r="L36" s="4">
        <v>43.718000000000004</v>
      </c>
      <c r="M36" s="4">
        <v>43.718000000000004</v>
      </c>
      <c r="N36" s="4">
        <v>43.718000000000004</v>
      </c>
      <c r="O36" s="4">
        <v>43.718000000000004</v>
      </c>
      <c r="P36" s="4">
        <v>0</v>
      </c>
      <c r="Q36" s="3" t="s">
        <v>26</v>
      </c>
      <c r="R36" s="3">
        <v>0</v>
      </c>
      <c r="S36" s="3" t="s">
        <v>125</v>
      </c>
      <c r="T36" s="3" t="s">
        <v>294</v>
      </c>
      <c r="U36" s="3">
        <v>0</v>
      </c>
      <c r="V36" s="3">
        <v>24</v>
      </c>
      <c r="W36" s="3">
        <v>83</v>
      </c>
    </row>
    <row r="37" spans="1:23" ht="11.25" customHeight="1" x14ac:dyDescent="0.25">
      <c r="A37" s="3" t="s">
        <v>21</v>
      </c>
      <c r="B37" s="3" t="s">
        <v>33</v>
      </c>
      <c r="C37" s="3" t="s">
        <v>34</v>
      </c>
      <c r="D37" s="3" t="s">
        <v>42</v>
      </c>
      <c r="E37" s="3" t="s">
        <v>25</v>
      </c>
      <c r="F37" s="3" t="s">
        <v>25</v>
      </c>
      <c r="G37" s="3" t="s">
        <v>25</v>
      </c>
      <c r="H37" s="3" t="s">
        <v>36</v>
      </c>
      <c r="I37" s="6">
        <v>44621</v>
      </c>
      <c r="J37" s="4">
        <v>0</v>
      </c>
      <c r="K37" s="4">
        <v>0</v>
      </c>
      <c r="L37" s="4">
        <v>49.512999999999998</v>
      </c>
      <c r="M37" s="4">
        <v>49.512999999999998</v>
      </c>
      <c r="N37" s="4">
        <v>49.512999999999998</v>
      </c>
      <c r="O37" s="4">
        <v>49.512999999999998</v>
      </c>
      <c r="P37" s="4">
        <v>0</v>
      </c>
      <c r="Q37" s="3" t="s">
        <v>26</v>
      </c>
      <c r="R37" s="3">
        <v>0</v>
      </c>
      <c r="S37" s="3" t="s">
        <v>126</v>
      </c>
      <c r="T37" s="3" t="s">
        <v>295</v>
      </c>
      <c r="U37" s="3">
        <v>0</v>
      </c>
      <c r="V37" s="3">
        <v>24</v>
      </c>
      <c r="W37" s="3">
        <v>83</v>
      </c>
    </row>
    <row r="38" spans="1:23" ht="11.25" customHeight="1" x14ac:dyDescent="0.25">
      <c r="A38" s="3" t="s">
        <v>21</v>
      </c>
      <c r="B38" s="3" t="s">
        <v>33</v>
      </c>
      <c r="C38" s="3" t="s">
        <v>34</v>
      </c>
      <c r="D38" s="3" t="s">
        <v>42</v>
      </c>
      <c r="E38" s="3" t="s">
        <v>25</v>
      </c>
      <c r="F38" s="3" t="s">
        <v>25</v>
      </c>
      <c r="G38" s="3" t="s">
        <v>25</v>
      </c>
      <c r="H38" s="3" t="s">
        <v>25</v>
      </c>
      <c r="I38" s="6">
        <v>44287</v>
      </c>
      <c r="J38" s="4">
        <v>158</v>
      </c>
      <c r="K38" s="4">
        <v>158</v>
      </c>
      <c r="L38" s="4">
        <v>0</v>
      </c>
      <c r="M38" s="4">
        <v>0</v>
      </c>
      <c r="N38" s="4">
        <v>0</v>
      </c>
      <c r="O38" s="4">
        <v>0</v>
      </c>
      <c r="P38" s="4">
        <v>3</v>
      </c>
      <c r="Q38" s="3" t="s">
        <v>26</v>
      </c>
      <c r="R38" s="3">
        <v>0</v>
      </c>
      <c r="S38" s="3" t="s">
        <v>127</v>
      </c>
      <c r="U38" s="3">
        <v>22</v>
      </c>
      <c r="V38" s="3">
        <v>0</v>
      </c>
      <c r="W38" s="3">
        <v>0</v>
      </c>
    </row>
    <row r="39" spans="1:23" ht="11.25" customHeight="1" x14ac:dyDescent="0.25">
      <c r="A39" s="3" t="s">
        <v>21</v>
      </c>
      <c r="B39" s="3" t="s">
        <v>33</v>
      </c>
      <c r="C39" s="3" t="s">
        <v>34</v>
      </c>
      <c r="D39" s="3" t="s">
        <v>42</v>
      </c>
      <c r="E39" s="3" t="s">
        <v>25</v>
      </c>
      <c r="F39" s="3" t="s">
        <v>25</v>
      </c>
      <c r="G39" s="3" t="s">
        <v>25</v>
      </c>
      <c r="H39" s="3" t="s">
        <v>25</v>
      </c>
      <c r="I39" s="6">
        <v>44317</v>
      </c>
      <c r="J39" s="4">
        <v>158</v>
      </c>
      <c r="K39" s="4">
        <v>158</v>
      </c>
      <c r="L39" s="4">
        <v>0</v>
      </c>
      <c r="M39" s="4">
        <v>0</v>
      </c>
      <c r="N39" s="4">
        <v>0</v>
      </c>
      <c r="O39" s="4">
        <v>0</v>
      </c>
      <c r="P39" s="4">
        <v>3</v>
      </c>
      <c r="Q39" s="3" t="s">
        <v>26</v>
      </c>
      <c r="R39" s="3">
        <v>0</v>
      </c>
      <c r="S39" s="3" t="s">
        <v>128</v>
      </c>
      <c r="U39" s="3">
        <v>22</v>
      </c>
      <c r="V39" s="3">
        <v>0</v>
      </c>
      <c r="W39" s="3">
        <v>0</v>
      </c>
    </row>
    <row r="40" spans="1:23" ht="11.25" customHeight="1" x14ac:dyDescent="0.25">
      <c r="A40" s="3" t="s">
        <v>21</v>
      </c>
      <c r="B40" s="3" t="s">
        <v>33</v>
      </c>
      <c r="C40" s="3" t="s">
        <v>34</v>
      </c>
      <c r="D40" s="3" t="s">
        <v>42</v>
      </c>
      <c r="E40" s="3" t="s">
        <v>25</v>
      </c>
      <c r="F40" s="3" t="s">
        <v>25</v>
      </c>
      <c r="G40" s="3" t="s">
        <v>25</v>
      </c>
      <c r="H40" s="3" t="s">
        <v>25</v>
      </c>
      <c r="I40" s="6">
        <v>44348</v>
      </c>
      <c r="J40" s="4">
        <v>158</v>
      </c>
      <c r="K40" s="4">
        <v>158</v>
      </c>
      <c r="L40" s="4">
        <v>0</v>
      </c>
      <c r="M40" s="4">
        <v>0</v>
      </c>
      <c r="N40" s="4">
        <v>0</v>
      </c>
      <c r="O40" s="4">
        <v>0</v>
      </c>
      <c r="P40" s="4">
        <v>3</v>
      </c>
      <c r="Q40" s="3" t="s">
        <v>26</v>
      </c>
      <c r="R40" s="3">
        <v>0</v>
      </c>
      <c r="S40" s="3" t="s">
        <v>129</v>
      </c>
      <c r="U40" s="3">
        <v>22</v>
      </c>
      <c r="V40" s="3">
        <v>0</v>
      </c>
      <c r="W40" s="3">
        <v>0</v>
      </c>
    </row>
    <row r="41" spans="1:23" ht="11.25" customHeight="1" x14ac:dyDescent="0.25">
      <c r="A41" s="3" t="s">
        <v>21</v>
      </c>
      <c r="B41" s="3" t="s">
        <v>33</v>
      </c>
      <c r="C41" s="3" t="s">
        <v>34</v>
      </c>
      <c r="D41" s="3" t="s">
        <v>42</v>
      </c>
      <c r="E41" s="3" t="s">
        <v>25</v>
      </c>
      <c r="F41" s="3" t="s">
        <v>25</v>
      </c>
      <c r="G41" s="3" t="s">
        <v>25</v>
      </c>
      <c r="H41" s="3" t="s">
        <v>25</v>
      </c>
      <c r="I41" s="6">
        <v>44378</v>
      </c>
      <c r="J41" s="4">
        <v>166</v>
      </c>
      <c r="K41" s="4">
        <v>166</v>
      </c>
      <c r="L41" s="4">
        <v>0</v>
      </c>
      <c r="M41" s="4">
        <v>0</v>
      </c>
      <c r="N41" s="4">
        <v>0</v>
      </c>
      <c r="O41" s="4">
        <v>0</v>
      </c>
      <c r="P41" s="4">
        <v>3</v>
      </c>
      <c r="Q41" s="3" t="s">
        <v>26</v>
      </c>
      <c r="R41" s="3">
        <v>0</v>
      </c>
      <c r="S41" s="3" t="s">
        <v>130</v>
      </c>
      <c r="U41" s="3">
        <v>22</v>
      </c>
      <c r="V41" s="3">
        <v>0</v>
      </c>
      <c r="W41" s="3">
        <v>0</v>
      </c>
    </row>
    <row r="42" spans="1:23" ht="11.25" customHeight="1" x14ac:dyDescent="0.25">
      <c r="A42" s="3" t="s">
        <v>21</v>
      </c>
      <c r="B42" s="3" t="s">
        <v>33</v>
      </c>
      <c r="C42" s="3" t="s">
        <v>34</v>
      </c>
      <c r="D42" s="3" t="s">
        <v>42</v>
      </c>
      <c r="E42" s="3" t="s">
        <v>25</v>
      </c>
      <c r="F42" s="3" t="s">
        <v>25</v>
      </c>
      <c r="G42" s="3" t="s">
        <v>25</v>
      </c>
      <c r="H42" s="3" t="s">
        <v>25</v>
      </c>
      <c r="I42" s="6">
        <v>44409</v>
      </c>
      <c r="J42" s="4">
        <v>158</v>
      </c>
      <c r="K42" s="4">
        <v>158</v>
      </c>
      <c r="L42" s="4">
        <v>0</v>
      </c>
      <c r="M42" s="4">
        <v>0</v>
      </c>
      <c r="N42" s="4">
        <v>0</v>
      </c>
      <c r="O42" s="4">
        <v>0</v>
      </c>
      <c r="P42" s="4">
        <v>3</v>
      </c>
      <c r="Q42" s="3" t="s">
        <v>26</v>
      </c>
      <c r="R42" s="3">
        <v>0</v>
      </c>
      <c r="S42" s="3" t="s">
        <v>131</v>
      </c>
      <c r="U42" s="3">
        <v>22</v>
      </c>
      <c r="V42" s="3">
        <v>0</v>
      </c>
      <c r="W42" s="3">
        <v>0</v>
      </c>
    </row>
    <row r="43" spans="1:23" ht="11.25" customHeight="1" x14ac:dyDescent="0.25">
      <c r="A43" s="3" t="s">
        <v>21</v>
      </c>
      <c r="B43" s="3" t="s">
        <v>33</v>
      </c>
      <c r="C43" s="3" t="s">
        <v>34</v>
      </c>
      <c r="D43" s="3" t="s">
        <v>42</v>
      </c>
      <c r="E43" s="3" t="s">
        <v>25</v>
      </c>
      <c r="F43" s="3" t="s">
        <v>25</v>
      </c>
      <c r="G43" s="3" t="s">
        <v>25</v>
      </c>
      <c r="H43" s="3" t="s">
        <v>25</v>
      </c>
      <c r="I43" s="6">
        <v>44440</v>
      </c>
      <c r="J43" s="4">
        <v>158</v>
      </c>
      <c r="K43" s="4">
        <v>158</v>
      </c>
      <c r="L43" s="4">
        <v>0</v>
      </c>
      <c r="M43" s="4">
        <v>0</v>
      </c>
      <c r="N43" s="4">
        <v>0</v>
      </c>
      <c r="O43" s="4">
        <v>0</v>
      </c>
      <c r="P43" s="4">
        <v>3</v>
      </c>
      <c r="Q43" s="3" t="s">
        <v>26</v>
      </c>
      <c r="R43" s="3">
        <v>0</v>
      </c>
      <c r="S43" s="3" t="s">
        <v>132</v>
      </c>
      <c r="U43" s="3">
        <v>22</v>
      </c>
      <c r="V43" s="3">
        <v>0</v>
      </c>
      <c r="W43" s="3">
        <v>0</v>
      </c>
    </row>
    <row r="44" spans="1:23" ht="11.25" customHeight="1" x14ac:dyDescent="0.25">
      <c r="A44" s="3" t="s">
        <v>21</v>
      </c>
      <c r="B44" s="3" t="s">
        <v>33</v>
      </c>
      <c r="C44" s="3" t="s">
        <v>34</v>
      </c>
      <c r="D44" s="3" t="s">
        <v>42</v>
      </c>
      <c r="E44" s="3" t="s">
        <v>25</v>
      </c>
      <c r="F44" s="3" t="s">
        <v>25</v>
      </c>
      <c r="G44" s="3" t="s">
        <v>25</v>
      </c>
      <c r="H44" s="3" t="s">
        <v>25</v>
      </c>
      <c r="I44" s="6">
        <v>44470</v>
      </c>
      <c r="J44" s="4">
        <v>163</v>
      </c>
      <c r="K44" s="4">
        <v>163</v>
      </c>
      <c r="L44" s="4">
        <v>0</v>
      </c>
      <c r="M44" s="4">
        <v>0</v>
      </c>
      <c r="N44" s="4">
        <v>0</v>
      </c>
      <c r="O44" s="4">
        <v>0</v>
      </c>
      <c r="P44" s="4">
        <v>3</v>
      </c>
      <c r="Q44" s="3" t="s">
        <v>26</v>
      </c>
      <c r="R44" s="3">
        <v>0</v>
      </c>
      <c r="S44" s="3" t="s">
        <v>133</v>
      </c>
      <c r="U44" s="3">
        <v>22</v>
      </c>
      <c r="V44" s="3">
        <v>0</v>
      </c>
      <c r="W44" s="3">
        <v>0</v>
      </c>
    </row>
    <row r="45" spans="1:23" ht="11.25" customHeight="1" x14ac:dyDescent="0.25">
      <c r="A45" s="3" t="s">
        <v>21</v>
      </c>
      <c r="B45" s="3" t="s">
        <v>33</v>
      </c>
      <c r="C45" s="3" t="s">
        <v>34</v>
      </c>
      <c r="D45" s="3" t="s">
        <v>42</v>
      </c>
      <c r="E45" s="3" t="s">
        <v>25</v>
      </c>
      <c r="F45" s="3" t="s">
        <v>25</v>
      </c>
      <c r="G45" s="3" t="s">
        <v>25</v>
      </c>
      <c r="H45" s="3" t="s">
        <v>25</v>
      </c>
      <c r="I45" s="6">
        <v>44501</v>
      </c>
      <c r="J45" s="4">
        <v>158</v>
      </c>
      <c r="K45" s="4">
        <v>158</v>
      </c>
      <c r="L45" s="4">
        <v>0</v>
      </c>
      <c r="M45" s="4">
        <v>0</v>
      </c>
      <c r="N45" s="4">
        <v>0</v>
      </c>
      <c r="O45" s="4">
        <v>0</v>
      </c>
      <c r="P45" s="4">
        <v>3</v>
      </c>
      <c r="Q45" s="3" t="s">
        <v>26</v>
      </c>
      <c r="R45" s="3">
        <v>0</v>
      </c>
      <c r="S45" s="3" t="s">
        <v>134</v>
      </c>
      <c r="U45" s="3">
        <v>22</v>
      </c>
      <c r="V45" s="3">
        <v>0</v>
      </c>
      <c r="W45" s="3">
        <v>0</v>
      </c>
    </row>
    <row r="46" spans="1:23" ht="11.25" customHeight="1" x14ac:dyDescent="0.25">
      <c r="A46" s="3" t="s">
        <v>21</v>
      </c>
      <c r="B46" s="3" t="s">
        <v>33</v>
      </c>
      <c r="C46" s="3" t="s">
        <v>34</v>
      </c>
      <c r="D46" s="3" t="s">
        <v>42</v>
      </c>
      <c r="E46" s="3" t="s">
        <v>25</v>
      </c>
      <c r="F46" s="3" t="s">
        <v>25</v>
      </c>
      <c r="G46" s="3" t="s">
        <v>25</v>
      </c>
      <c r="H46" s="3" t="s">
        <v>25</v>
      </c>
      <c r="I46" s="6">
        <v>44531</v>
      </c>
      <c r="J46" s="4">
        <v>167</v>
      </c>
      <c r="K46" s="4">
        <v>167</v>
      </c>
      <c r="L46" s="4">
        <v>0</v>
      </c>
      <c r="M46" s="4">
        <v>0</v>
      </c>
      <c r="N46" s="4">
        <v>0</v>
      </c>
      <c r="O46" s="4">
        <v>0</v>
      </c>
      <c r="P46" s="4">
        <v>3</v>
      </c>
      <c r="Q46" s="3" t="s">
        <v>26</v>
      </c>
      <c r="R46" s="3">
        <v>0</v>
      </c>
      <c r="S46" s="3" t="s">
        <v>135</v>
      </c>
      <c r="U46" s="3">
        <v>22</v>
      </c>
      <c r="V46" s="3">
        <v>0</v>
      </c>
      <c r="W46" s="3">
        <v>0</v>
      </c>
    </row>
    <row r="47" spans="1:23" ht="11.25" customHeight="1" x14ac:dyDescent="0.25">
      <c r="A47" s="3" t="s">
        <v>21</v>
      </c>
      <c r="B47" s="3" t="s">
        <v>33</v>
      </c>
      <c r="C47" s="3" t="s">
        <v>34</v>
      </c>
      <c r="D47" s="3" t="s">
        <v>42</v>
      </c>
      <c r="E47" s="3" t="s">
        <v>25</v>
      </c>
      <c r="F47" s="3" t="s">
        <v>25</v>
      </c>
      <c r="G47" s="3" t="s">
        <v>25</v>
      </c>
      <c r="H47" s="3" t="s">
        <v>25</v>
      </c>
      <c r="I47" s="6">
        <v>44562</v>
      </c>
      <c r="J47" s="4">
        <v>176</v>
      </c>
      <c r="K47" s="4">
        <v>176</v>
      </c>
      <c r="L47" s="4">
        <v>0</v>
      </c>
      <c r="M47" s="4">
        <v>0</v>
      </c>
      <c r="N47" s="4">
        <v>0</v>
      </c>
      <c r="O47" s="4">
        <v>0</v>
      </c>
      <c r="P47" s="4">
        <v>3</v>
      </c>
      <c r="Q47" s="3" t="s">
        <v>26</v>
      </c>
      <c r="R47" s="3">
        <v>0</v>
      </c>
      <c r="S47" s="3" t="s">
        <v>136</v>
      </c>
      <c r="U47" s="3">
        <v>22</v>
      </c>
      <c r="V47" s="3">
        <v>0</v>
      </c>
      <c r="W47" s="3">
        <v>0</v>
      </c>
    </row>
    <row r="48" spans="1:23" ht="11.25" customHeight="1" x14ac:dyDescent="0.25">
      <c r="A48" s="3" t="s">
        <v>21</v>
      </c>
      <c r="B48" s="3" t="s">
        <v>33</v>
      </c>
      <c r="C48" s="3" t="s">
        <v>34</v>
      </c>
      <c r="D48" s="3" t="s">
        <v>42</v>
      </c>
      <c r="E48" s="3" t="s">
        <v>25</v>
      </c>
      <c r="F48" s="3" t="s">
        <v>25</v>
      </c>
      <c r="G48" s="3" t="s">
        <v>25</v>
      </c>
      <c r="H48" s="3" t="s">
        <v>25</v>
      </c>
      <c r="I48" s="6">
        <v>44593</v>
      </c>
      <c r="J48" s="4">
        <v>168</v>
      </c>
      <c r="K48" s="4">
        <v>168</v>
      </c>
      <c r="L48" s="4">
        <v>0</v>
      </c>
      <c r="M48" s="4">
        <v>0</v>
      </c>
      <c r="N48" s="4">
        <v>0</v>
      </c>
      <c r="O48" s="4">
        <v>0</v>
      </c>
      <c r="P48" s="4">
        <v>3</v>
      </c>
      <c r="Q48" s="3" t="s">
        <v>26</v>
      </c>
      <c r="R48" s="3">
        <v>0</v>
      </c>
      <c r="S48" s="3" t="s">
        <v>137</v>
      </c>
      <c r="U48" s="3">
        <v>22</v>
      </c>
      <c r="V48" s="3">
        <v>0</v>
      </c>
      <c r="W48" s="3">
        <v>0</v>
      </c>
    </row>
    <row r="49" spans="1:23" ht="11.25" customHeight="1" x14ac:dyDescent="0.25">
      <c r="A49" s="3" t="s">
        <v>21</v>
      </c>
      <c r="B49" s="3" t="s">
        <v>33</v>
      </c>
      <c r="C49" s="3" t="s">
        <v>34</v>
      </c>
      <c r="D49" s="3" t="s">
        <v>42</v>
      </c>
      <c r="E49" s="3" t="s">
        <v>25</v>
      </c>
      <c r="F49" s="3" t="s">
        <v>25</v>
      </c>
      <c r="G49" s="3" t="s">
        <v>25</v>
      </c>
      <c r="H49" s="3" t="s">
        <v>25</v>
      </c>
      <c r="I49" s="6">
        <v>44621</v>
      </c>
      <c r="J49" s="4">
        <v>169</v>
      </c>
      <c r="K49" s="4">
        <v>169</v>
      </c>
      <c r="L49" s="4">
        <v>0</v>
      </c>
      <c r="M49" s="4">
        <v>0</v>
      </c>
      <c r="N49" s="4">
        <v>0</v>
      </c>
      <c r="O49" s="4">
        <v>0</v>
      </c>
      <c r="P49" s="4">
        <v>3</v>
      </c>
      <c r="Q49" s="3" t="s">
        <v>26</v>
      </c>
      <c r="R49" s="3">
        <v>0</v>
      </c>
      <c r="S49" s="3" t="s">
        <v>138</v>
      </c>
      <c r="U49" s="3">
        <v>22</v>
      </c>
      <c r="V49" s="3">
        <v>0</v>
      </c>
      <c r="W49" s="3">
        <v>0</v>
      </c>
    </row>
    <row r="50" spans="1:23" ht="11.25" customHeight="1" x14ac:dyDescent="0.25">
      <c r="A50" s="3" t="s">
        <v>21</v>
      </c>
      <c r="B50" s="3" t="s">
        <v>33</v>
      </c>
      <c r="C50" s="3" t="s">
        <v>34</v>
      </c>
      <c r="D50" s="3" t="s">
        <v>42</v>
      </c>
      <c r="E50" s="3" t="s">
        <v>25</v>
      </c>
      <c r="F50" s="3" t="s">
        <v>25</v>
      </c>
      <c r="G50" s="3" t="s">
        <v>25</v>
      </c>
      <c r="H50" s="3" t="s">
        <v>35</v>
      </c>
      <c r="I50" s="6">
        <v>44287</v>
      </c>
      <c r="J50" s="4">
        <v>0</v>
      </c>
      <c r="K50" s="4">
        <v>0</v>
      </c>
      <c r="L50" s="4">
        <v>2.8479999999999999</v>
      </c>
      <c r="M50" s="4">
        <v>2.8479999999999999</v>
      </c>
      <c r="N50" s="4">
        <v>2.8479999999999999</v>
      </c>
      <c r="O50" s="4">
        <v>2.8479999999999999</v>
      </c>
      <c r="P50" s="4">
        <v>0</v>
      </c>
      <c r="Q50" s="3" t="s">
        <v>26</v>
      </c>
      <c r="R50" s="3">
        <v>0</v>
      </c>
      <c r="S50" s="3" t="s">
        <v>139</v>
      </c>
      <c r="T50" s="3" t="s">
        <v>296</v>
      </c>
      <c r="U50" s="3">
        <v>0</v>
      </c>
      <c r="V50" s="3">
        <v>23</v>
      </c>
      <c r="W50" s="3">
        <v>82</v>
      </c>
    </row>
    <row r="51" spans="1:23" ht="11.25" customHeight="1" x14ac:dyDescent="0.25">
      <c r="A51" s="3" t="s">
        <v>21</v>
      </c>
      <c r="B51" s="3" t="s">
        <v>33</v>
      </c>
      <c r="C51" s="3" t="s">
        <v>34</v>
      </c>
      <c r="D51" s="3" t="s">
        <v>42</v>
      </c>
      <c r="E51" s="3" t="s">
        <v>25</v>
      </c>
      <c r="F51" s="3" t="s">
        <v>25</v>
      </c>
      <c r="G51" s="3" t="s">
        <v>25</v>
      </c>
      <c r="H51" s="3" t="s">
        <v>35</v>
      </c>
      <c r="I51" s="6">
        <v>44317</v>
      </c>
      <c r="J51" s="4">
        <v>0</v>
      </c>
      <c r="K51" s="4">
        <v>0</v>
      </c>
      <c r="L51" s="4">
        <v>2.8140000000000001</v>
      </c>
      <c r="M51" s="4">
        <v>2.8140000000000001</v>
      </c>
      <c r="N51" s="4">
        <v>2.8140000000000001</v>
      </c>
      <c r="O51" s="4">
        <v>2.8140000000000001</v>
      </c>
      <c r="P51" s="4">
        <v>0</v>
      </c>
      <c r="Q51" s="3" t="s">
        <v>26</v>
      </c>
      <c r="R51" s="3">
        <v>0</v>
      </c>
      <c r="S51" s="3" t="s">
        <v>140</v>
      </c>
      <c r="T51" s="3" t="s">
        <v>297</v>
      </c>
      <c r="U51" s="3">
        <v>0</v>
      </c>
      <c r="V51" s="3">
        <v>23</v>
      </c>
      <c r="W51" s="3">
        <v>82</v>
      </c>
    </row>
    <row r="52" spans="1:23" ht="11.25" customHeight="1" x14ac:dyDescent="0.25">
      <c r="A52" s="3" t="s">
        <v>21</v>
      </c>
      <c r="B52" s="3" t="s">
        <v>33</v>
      </c>
      <c r="C52" s="3" t="s">
        <v>34</v>
      </c>
      <c r="D52" s="3" t="s">
        <v>42</v>
      </c>
      <c r="E52" s="3" t="s">
        <v>25</v>
      </c>
      <c r="F52" s="3" t="s">
        <v>25</v>
      </c>
      <c r="G52" s="3" t="s">
        <v>25</v>
      </c>
      <c r="H52" s="3" t="s">
        <v>35</v>
      </c>
      <c r="I52" s="6">
        <v>44348</v>
      </c>
      <c r="J52" s="4">
        <v>0</v>
      </c>
      <c r="K52" s="4">
        <v>0</v>
      </c>
      <c r="L52" s="4">
        <v>2.7240000000000002</v>
      </c>
      <c r="M52" s="4">
        <v>2.7240000000000002</v>
      </c>
      <c r="N52" s="4">
        <v>2.7240000000000002</v>
      </c>
      <c r="O52" s="4">
        <v>2.7240000000000002</v>
      </c>
      <c r="P52" s="4">
        <v>0</v>
      </c>
      <c r="Q52" s="3" t="s">
        <v>26</v>
      </c>
      <c r="R52" s="3">
        <v>0</v>
      </c>
      <c r="S52" s="3" t="s">
        <v>141</v>
      </c>
      <c r="T52" s="3" t="s">
        <v>298</v>
      </c>
      <c r="U52" s="3">
        <v>0</v>
      </c>
      <c r="V52" s="3">
        <v>23</v>
      </c>
      <c r="W52" s="3">
        <v>82</v>
      </c>
    </row>
    <row r="53" spans="1:23" ht="11.25" customHeight="1" x14ac:dyDescent="0.25">
      <c r="A53" s="3" t="s">
        <v>21</v>
      </c>
      <c r="B53" s="3" t="s">
        <v>33</v>
      </c>
      <c r="C53" s="3" t="s">
        <v>34</v>
      </c>
      <c r="D53" s="3" t="s">
        <v>42</v>
      </c>
      <c r="E53" s="3" t="s">
        <v>25</v>
      </c>
      <c r="F53" s="3" t="s">
        <v>25</v>
      </c>
      <c r="G53" s="3" t="s">
        <v>25</v>
      </c>
      <c r="H53" s="3" t="s">
        <v>35</v>
      </c>
      <c r="I53" s="6">
        <v>44378</v>
      </c>
      <c r="J53" s="4">
        <v>0</v>
      </c>
      <c r="K53" s="4">
        <v>0</v>
      </c>
      <c r="L53" s="4">
        <v>2.7090000000000001</v>
      </c>
      <c r="M53" s="4">
        <v>2.7090000000000001</v>
      </c>
      <c r="N53" s="4">
        <v>2.7090000000000001</v>
      </c>
      <c r="O53" s="4">
        <v>2.7090000000000001</v>
      </c>
      <c r="P53" s="4">
        <v>0</v>
      </c>
      <c r="Q53" s="3" t="s">
        <v>26</v>
      </c>
      <c r="R53" s="3">
        <v>0</v>
      </c>
      <c r="S53" s="3" t="s">
        <v>142</v>
      </c>
      <c r="T53" s="3" t="s">
        <v>299</v>
      </c>
      <c r="U53" s="3">
        <v>0</v>
      </c>
      <c r="V53" s="3">
        <v>23</v>
      </c>
      <c r="W53" s="3">
        <v>82</v>
      </c>
    </row>
    <row r="54" spans="1:23" ht="11.25" customHeight="1" x14ac:dyDescent="0.25">
      <c r="A54" s="3" t="s">
        <v>21</v>
      </c>
      <c r="B54" s="3" t="s">
        <v>33</v>
      </c>
      <c r="C54" s="3" t="s">
        <v>34</v>
      </c>
      <c r="D54" s="3" t="s">
        <v>42</v>
      </c>
      <c r="E54" s="3" t="s">
        <v>25</v>
      </c>
      <c r="F54" s="3" t="s">
        <v>25</v>
      </c>
      <c r="G54" s="3" t="s">
        <v>25</v>
      </c>
      <c r="H54" s="3" t="s">
        <v>35</v>
      </c>
      <c r="I54" s="6">
        <v>44409</v>
      </c>
      <c r="J54" s="4">
        <v>0</v>
      </c>
      <c r="K54" s="4">
        <v>0</v>
      </c>
      <c r="L54" s="4">
        <v>2.883</v>
      </c>
      <c r="M54" s="4">
        <v>2.883</v>
      </c>
      <c r="N54" s="4">
        <v>2.883</v>
      </c>
      <c r="O54" s="4">
        <v>2.883</v>
      </c>
      <c r="P54" s="4">
        <v>0</v>
      </c>
      <c r="Q54" s="3" t="s">
        <v>26</v>
      </c>
      <c r="R54" s="3">
        <v>0</v>
      </c>
      <c r="S54" s="3" t="s">
        <v>143</v>
      </c>
      <c r="T54" s="3" t="s">
        <v>300</v>
      </c>
      <c r="U54" s="3">
        <v>0</v>
      </c>
      <c r="V54" s="3">
        <v>23</v>
      </c>
      <c r="W54" s="3">
        <v>82</v>
      </c>
    </row>
    <row r="55" spans="1:23" ht="11.25" customHeight="1" x14ac:dyDescent="0.25">
      <c r="A55" s="3" t="s">
        <v>21</v>
      </c>
      <c r="B55" s="3" t="s">
        <v>33</v>
      </c>
      <c r="C55" s="3" t="s">
        <v>34</v>
      </c>
      <c r="D55" s="3" t="s">
        <v>42</v>
      </c>
      <c r="E55" s="3" t="s">
        <v>25</v>
      </c>
      <c r="F55" s="3" t="s">
        <v>25</v>
      </c>
      <c r="G55" s="3" t="s">
        <v>25</v>
      </c>
      <c r="H55" s="3" t="s">
        <v>35</v>
      </c>
      <c r="I55" s="6">
        <v>44440</v>
      </c>
      <c r="J55" s="4">
        <v>0</v>
      </c>
      <c r="K55" s="4">
        <v>0</v>
      </c>
      <c r="L55" s="4">
        <v>3.0070000000000001</v>
      </c>
      <c r="M55" s="4">
        <v>3.0070000000000001</v>
      </c>
      <c r="N55" s="4">
        <v>3.0070000000000001</v>
      </c>
      <c r="O55" s="4">
        <v>3.0070000000000001</v>
      </c>
      <c r="P55" s="4">
        <v>0</v>
      </c>
      <c r="Q55" s="3" t="s">
        <v>26</v>
      </c>
      <c r="R55" s="3">
        <v>0</v>
      </c>
      <c r="S55" s="3" t="s">
        <v>144</v>
      </c>
      <c r="T55" s="3" t="s">
        <v>301</v>
      </c>
      <c r="U55" s="3">
        <v>0</v>
      </c>
      <c r="V55" s="3">
        <v>23</v>
      </c>
      <c r="W55" s="3">
        <v>82</v>
      </c>
    </row>
    <row r="56" spans="1:23" ht="11.25" customHeight="1" x14ac:dyDescent="0.25">
      <c r="A56" s="3" t="s">
        <v>21</v>
      </c>
      <c r="B56" s="3" t="s">
        <v>33</v>
      </c>
      <c r="C56" s="3" t="s">
        <v>34</v>
      </c>
      <c r="D56" s="3" t="s">
        <v>42</v>
      </c>
      <c r="E56" s="3" t="s">
        <v>25</v>
      </c>
      <c r="F56" s="3" t="s">
        <v>25</v>
      </c>
      <c r="G56" s="3" t="s">
        <v>25</v>
      </c>
      <c r="H56" s="3" t="s">
        <v>35</v>
      </c>
      <c r="I56" s="6">
        <v>44470</v>
      </c>
      <c r="J56" s="4">
        <v>0</v>
      </c>
      <c r="K56" s="4">
        <v>0</v>
      </c>
      <c r="L56" s="4">
        <v>2.6269999999999998</v>
      </c>
      <c r="M56" s="4">
        <v>2.6269999999999998</v>
      </c>
      <c r="N56" s="4">
        <v>2.6269999999999998</v>
      </c>
      <c r="O56" s="4">
        <v>2.6269999999999998</v>
      </c>
      <c r="P56" s="4">
        <v>0</v>
      </c>
      <c r="Q56" s="3" t="s">
        <v>26</v>
      </c>
      <c r="R56" s="3">
        <v>0</v>
      </c>
      <c r="S56" s="3" t="s">
        <v>145</v>
      </c>
      <c r="T56" s="3" t="s">
        <v>302</v>
      </c>
      <c r="U56" s="3">
        <v>0</v>
      </c>
      <c r="V56" s="3">
        <v>23</v>
      </c>
      <c r="W56" s="3">
        <v>82</v>
      </c>
    </row>
    <row r="57" spans="1:23" ht="11.25" customHeight="1" x14ac:dyDescent="0.25">
      <c r="A57" s="3" t="s">
        <v>21</v>
      </c>
      <c r="B57" s="3" t="s">
        <v>33</v>
      </c>
      <c r="C57" s="3" t="s">
        <v>34</v>
      </c>
      <c r="D57" s="3" t="s">
        <v>42</v>
      </c>
      <c r="E57" s="3" t="s">
        <v>25</v>
      </c>
      <c r="F57" s="3" t="s">
        <v>25</v>
      </c>
      <c r="G57" s="3" t="s">
        <v>25</v>
      </c>
      <c r="H57" s="3" t="s">
        <v>35</v>
      </c>
      <c r="I57" s="6">
        <v>44501</v>
      </c>
      <c r="J57" s="4">
        <v>0</v>
      </c>
      <c r="K57" s="4">
        <v>0</v>
      </c>
      <c r="L57" s="4">
        <v>4.1479999999999997</v>
      </c>
      <c r="M57" s="4">
        <v>4.1479999999999997</v>
      </c>
      <c r="N57" s="4">
        <v>4.1479999999999997</v>
      </c>
      <c r="O57" s="4">
        <v>4.1479999999999997</v>
      </c>
      <c r="P57" s="4">
        <v>0</v>
      </c>
      <c r="Q57" s="3" t="s">
        <v>26</v>
      </c>
      <c r="R57" s="3">
        <v>0</v>
      </c>
      <c r="S57" s="3" t="s">
        <v>146</v>
      </c>
      <c r="T57" s="3" t="s">
        <v>303</v>
      </c>
      <c r="U57" s="3">
        <v>0</v>
      </c>
      <c r="V57" s="3">
        <v>23</v>
      </c>
      <c r="W57" s="3">
        <v>82</v>
      </c>
    </row>
    <row r="58" spans="1:23" ht="11.25" customHeight="1" x14ac:dyDescent="0.25">
      <c r="A58" s="3" t="s">
        <v>21</v>
      </c>
      <c r="B58" s="3" t="s">
        <v>33</v>
      </c>
      <c r="C58" s="3" t="s">
        <v>34</v>
      </c>
      <c r="D58" s="3" t="s">
        <v>42</v>
      </c>
      <c r="E58" s="3" t="s">
        <v>25</v>
      </c>
      <c r="F58" s="3" t="s">
        <v>25</v>
      </c>
      <c r="G58" s="3" t="s">
        <v>25</v>
      </c>
      <c r="H58" s="3" t="s">
        <v>35</v>
      </c>
      <c r="I58" s="6">
        <v>44531</v>
      </c>
      <c r="J58" s="4">
        <v>0</v>
      </c>
      <c r="K58" s="4">
        <v>0</v>
      </c>
      <c r="L58" s="4">
        <v>5.0679999999999996</v>
      </c>
      <c r="M58" s="4">
        <v>5.0679999999999996</v>
      </c>
      <c r="N58" s="4">
        <v>5.0679999999999996</v>
      </c>
      <c r="O58" s="4">
        <v>5.0679999999999996</v>
      </c>
      <c r="P58" s="4">
        <v>0</v>
      </c>
      <c r="Q58" s="3" t="s">
        <v>26</v>
      </c>
      <c r="R58" s="3">
        <v>0</v>
      </c>
      <c r="S58" s="3" t="s">
        <v>147</v>
      </c>
      <c r="T58" s="3" t="s">
        <v>304</v>
      </c>
      <c r="U58" s="3">
        <v>0</v>
      </c>
      <c r="V58" s="3">
        <v>23</v>
      </c>
      <c r="W58" s="3">
        <v>82</v>
      </c>
    </row>
    <row r="59" spans="1:23" ht="11.25" customHeight="1" x14ac:dyDescent="0.25">
      <c r="A59" s="3" t="s">
        <v>21</v>
      </c>
      <c r="B59" s="3" t="s">
        <v>33</v>
      </c>
      <c r="C59" s="3" t="s">
        <v>34</v>
      </c>
      <c r="D59" s="3" t="s">
        <v>42</v>
      </c>
      <c r="E59" s="3" t="s">
        <v>25</v>
      </c>
      <c r="F59" s="3" t="s">
        <v>25</v>
      </c>
      <c r="G59" s="3" t="s">
        <v>25</v>
      </c>
      <c r="H59" s="3" t="s">
        <v>35</v>
      </c>
      <c r="I59" s="6">
        <v>44562</v>
      </c>
      <c r="J59" s="4">
        <v>0</v>
      </c>
      <c r="K59" s="4">
        <v>0</v>
      </c>
      <c r="L59" s="4">
        <v>4.8650000000000002</v>
      </c>
      <c r="M59" s="4">
        <v>4.8650000000000002</v>
      </c>
      <c r="N59" s="4">
        <v>4.8650000000000002</v>
      </c>
      <c r="O59" s="4">
        <v>4.8650000000000002</v>
      </c>
      <c r="P59" s="4">
        <v>0</v>
      </c>
      <c r="Q59" s="3" t="s">
        <v>26</v>
      </c>
      <c r="R59" s="3">
        <v>0</v>
      </c>
      <c r="S59" s="3" t="s">
        <v>148</v>
      </c>
      <c r="T59" s="3" t="s">
        <v>305</v>
      </c>
      <c r="U59" s="3">
        <v>0</v>
      </c>
      <c r="V59" s="3">
        <v>23</v>
      </c>
      <c r="W59" s="3">
        <v>82</v>
      </c>
    </row>
    <row r="60" spans="1:23" ht="11.25" customHeight="1" x14ac:dyDescent="0.25">
      <c r="A60" s="3" t="s">
        <v>21</v>
      </c>
      <c r="B60" s="3" t="s">
        <v>33</v>
      </c>
      <c r="C60" s="3" t="s">
        <v>34</v>
      </c>
      <c r="D60" s="3" t="s">
        <v>42</v>
      </c>
      <c r="E60" s="3" t="s">
        <v>25</v>
      </c>
      <c r="F60" s="3" t="s">
        <v>25</v>
      </c>
      <c r="G60" s="3" t="s">
        <v>25</v>
      </c>
      <c r="H60" s="3" t="s">
        <v>35</v>
      </c>
      <c r="I60" s="6">
        <v>44593</v>
      </c>
      <c r="J60" s="4">
        <v>0</v>
      </c>
      <c r="K60" s="4">
        <v>0</v>
      </c>
      <c r="L60" s="4">
        <v>4.78</v>
      </c>
      <c r="M60" s="4">
        <v>4.78</v>
      </c>
      <c r="N60" s="4">
        <v>4.78</v>
      </c>
      <c r="O60" s="4">
        <v>4.78</v>
      </c>
      <c r="P60" s="4">
        <v>0</v>
      </c>
      <c r="Q60" s="3" t="s">
        <v>26</v>
      </c>
      <c r="R60" s="3">
        <v>0</v>
      </c>
      <c r="S60" s="3" t="s">
        <v>149</v>
      </c>
      <c r="T60" s="3" t="s">
        <v>306</v>
      </c>
      <c r="U60" s="3">
        <v>0</v>
      </c>
      <c r="V60" s="3">
        <v>23</v>
      </c>
      <c r="W60" s="3">
        <v>82</v>
      </c>
    </row>
    <row r="61" spans="1:23" ht="11.25" customHeight="1" x14ac:dyDescent="0.25">
      <c r="A61" s="3" t="s">
        <v>21</v>
      </c>
      <c r="B61" s="3" t="s">
        <v>33</v>
      </c>
      <c r="C61" s="3" t="s">
        <v>34</v>
      </c>
      <c r="D61" s="3" t="s">
        <v>42</v>
      </c>
      <c r="E61" s="3" t="s">
        <v>25</v>
      </c>
      <c r="F61" s="3" t="s">
        <v>25</v>
      </c>
      <c r="G61" s="3" t="s">
        <v>25</v>
      </c>
      <c r="H61" s="3" t="s">
        <v>35</v>
      </c>
      <c r="I61" s="6">
        <v>44621</v>
      </c>
      <c r="J61" s="4">
        <v>0</v>
      </c>
      <c r="K61" s="4">
        <v>0</v>
      </c>
      <c r="L61" s="4">
        <v>4.2210000000000001</v>
      </c>
      <c r="M61" s="4">
        <v>4.2210000000000001</v>
      </c>
      <c r="N61" s="4">
        <v>4.2210000000000001</v>
      </c>
      <c r="O61" s="4">
        <v>4.2210000000000001</v>
      </c>
      <c r="P61" s="4">
        <v>0</v>
      </c>
      <c r="Q61" s="3" t="s">
        <v>26</v>
      </c>
      <c r="R61" s="3">
        <v>0</v>
      </c>
      <c r="S61" s="3" t="s">
        <v>150</v>
      </c>
      <c r="T61" s="3" t="s">
        <v>307</v>
      </c>
      <c r="U61" s="3">
        <v>0</v>
      </c>
      <c r="V61" s="3">
        <v>23</v>
      </c>
      <c r="W61" s="3">
        <v>82</v>
      </c>
    </row>
    <row r="62" spans="1:23" ht="11.25" customHeight="1" x14ac:dyDescent="0.25">
      <c r="A62" s="3" t="s">
        <v>21</v>
      </c>
      <c r="B62" s="3" t="s">
        <v>33</v>
      </c>
      <c r="C62" s="3" t="s">
        <v>34</v>
      </c>
      <c r="D62" s="3" t="s">
        <v>40</v>
      </c>
      <c r="E62" s="3" t="s">
        <v>25</v>
      </c>
      <c r="F62" s="3" t="s">
        <v>25</v>
      </c>
      <c r="G62" s="3" t="s">
        <v>25</v>
      </c>
      <c r="H62" s="3" t="s">
        <v>36</v>
      </c>
      <c r="I62" s="6">
        <v>44287</v>
      </c>
      <c r="J62" s="4">
        <v>0</v>
      </c>
      <c r="K62" s="4">
        <v>0</v>
      </c>
      <c r="L62" s="4">
        <v>235.77799999999999</v>
      </c>
      <c r="M62" s="4">
        <v>235.77799999999999</v>
      </c>
      <c r="N62" s="4">
        <v>235.77799999999999</v>
      </c>
      <c r="O62" s="4">
        <v>235.77799999999999</v>
      </c>
      <c r="P62" s="4">
        <v>0</v>
      </c>
      <c r="Q62" s="3" t="s">
        <v>26</v>
      </c>
      <c r="R62" s="3">
        <v>0</v>
      </c>
      <c r="S62" s="3" t="s">
        <v>115</v>
      </c>
      <c r="T62" s="3" t="s">
        <v>284</v>
      </c>
      <c r="U62" s="3">
        <v>0</v>
      </c>
      <c r="V62" s="3">
        <v>24</v>
      </c>
      <c r="W62" s="3">
        <v>83</v>
      </c>
    </row>
    <row r="63" spans="1:23" ht="11.25" customHeight="1" x14ac:dyDescent="0.25">
      <c r="A63" s="3" t="s">
        <v>21</v>
      </c>
      <c r="B63" s="3" t="s">
        <v>33</v>
      </c>
      <c r="C63" s="3" t="s">
        <v>34</v>
      </c>
      <c r="D63" s="3" t="s">
        <v>40</v>
      </c>
      <c r="E63" s="3" t="s">
        <v>25</v>
      </c>
      <c r="F63" s="3" t="s">
        <v>25</v>
      </c>
      <c r="G63" s="3" t="s">
        <v>25</v>
      </c>
      <c r="H63" s="3" t="s">
        <v>36</v>
      </c>
      <c r="I63" s="6">
        <v>44317</v>
      </c>
      <c r="J63" s="4">
        <v>0</v>
      </c>
      <c r="K63" s="4">
        <v>0</v>
      </c>
      <c r="L63" s="4">
        <v>159.27199999999999</v>
      </c>
      <c r="M63" s="4">
        <v>159.27199999999999</v>
      </c>
      <c r="N63" s="4">
        <v>159.27199999999999</v>
      </c>
      <c r="O63" s="4">
        <v>159.27199999999999</v>
      </c>
      <c r="P63" s="4">
        <v>0</v>
      </c>
      <c r="Q63" s="3" t="s">
        <v>26</v>
      </c>
      <c r="R63" s="3">
        <v>0</v>
      </c>
      <c r="S63" s="3" t="s">
        <v>116</v>
      </c>
      <c r="T63" s="3" t="s">
        <v>285</v>
      </c>
      <c r="U63" s="3">
        <v>0</v>
      </c>
      <c r="V63" s="3">
        <v>24</v>
      </c>
      <c r="W63" s="3">
        <v>83</v>
      </c>
    </row>
    <row r="64" spans="1:23" ht="11.25" customHeight="1" x14ac:dyDescent="0.25">
      <c r="A64" s="3" t="s">
        <v>21</v>
      </c>
      <c r="B64" s="3" t="s">
        <v>33</v>
      </c>
      <c r="C64" s="3" t="s">
        <v>34</v>
      </c>
      <c r="D64" s="3" t="s">
        <v>40</v>
      </c>
      <c r="E64" s="3" t="s">
        <v>25</v>
      </c>
      <c r="F64" s="3" t="s">
        <v>25</v>
      </c>
      <c r="G64" s="3" t="s">
        <v>25</v>
      </c>
      <c r="H64" s="3" t="s">
        <v>36</v>
      </c>
      <c r="I64" s="6">
        <v>44348</v>
      </c>
      <c r="J64" s="4">
        <v>0</v>
      </c>
      <c r="K64" s="4">
        <v>0</v>
      </c>
      <c r="L64" s="4">
        <v>187.75</v>
      </c>
      <c r="M64" s="4">
        <v>187.75</v>
      </c>
      <c r="N64" s="4">
        <v>187.75</v>
      </c>
      <c r="O64" s="4">
        <v>187.75</v>
      </c>
      <c r="P64" s="4">
        <v>0</v>
      </c>
      <c r="Q64" s="3" t="s">
        <v>26</v>
      </c>
      <c r="R64" s="3">
        <v>0</v>
      </c>
      <c r="S64" s="3" t="s">
        <v>117</v>
      </c>
      <c r="T64" s="3" t="s">
        <v>286</v>
      </c>
      <c r="U64" s="3">
        <v>0</v>
      </c>
      <c r="V64" s="3">
        <v>24</v>
      </c>
      <c r="W64" s="3">
        <v>83</v>
      </c>
    </row>
    <row r="65" spans="1:23" ht="11.25" customHeight="1" x14ac:dyDescent="0.25">
      <c r="A65" s="3" t="s">
        <v>21</v>
      </c>
      <c r="B65" s="3" t="s">
        <v>33</v>
      </c>
      <c r="C65" s="3" t="s">
        <v>34</v>
      </c>
      <c r="D65" s="3" t="s">
        <v>40</v>
      </c>
      <c r="E65" s="3" t="s">
        <v>25</v>
      </c>
      <c r="F65" s="3" t="s">
        <v>25</v>
      </c>
      <c r="G65" s="3" t="s">
        <v>25</v>
      </c>
      <c r="H65" s="3" t="s">
        <v>36</v>
      </c>
      <c r="I65" s="6">
        <v>44378</v>
      </c>
      <c r="J65" s="4">
        <v>0</v>
      </c>
      <c r="K65" s="4">
        <v>0</v>
      </c>
      <c r="L65" s="4">
        <v>176.40700000000001</v>
      </c>
      <c r="M65" s="4">
        <v>176.40700000000001</v>
      </c>
      <c r="N65" s="4">
        <v>176.40700000000001</v>
      </c>
      <c r="O65" s="4">
        <v>176.40700000000001</v>
      </c>
      <c r="P65" s="4">
        <v>0</v>
      </c>
      <c r="Q65" s="3" t="s">
        <v>26</v>
      </c>
      <c r="R65" s="3">
        <v>0</v>
      </c>
      <c r="S65" s="3" t="s">
        <v>118</v>
      </c>
      <c r="T65" s="3" t="s">
        <v>287</v>
      </c>
      <c r="U65" s="3">
        <v>0</v>
      </c>
      <c r="V65" s="3">
        <v>24</v>
      </c>
      <c r="W65" s="3">
        <v>83</v>
      </c>
    </row>
    <row r="66" spans="1:23" ht="11.25" customHeight="1" x14ac:dyDescent="0.25">
      <c r="A66" s="3" t="s">
        <v>21</v>
      </c>
      <c r="B66" s="3" t="s">
        <v>33</v>
      </c>
      <c r="C66" s="3" t="s">
        <v>34</v>
      </c>
      <c r="D66" s="3" t="s">
        <v>40</v>
      </c>
      <c r="E66" s="3" t="s">
        <v>25</v>
      </c>
      <c r="F66" s="3" t="s">
        <v>25</v>
      </c>
      <c r="G66" s="3" t="s">
        <v>25</v>
      </c>
      <c r="H66" s="3" t="s">
        <v>36</v>
      </c>
      <c r="I66" s="6">
        <v>44409</v>
      </c>
      <c r="J66" s="4">
        <v>0</v>
      </c>
      <c r="K66" s="4">
        <v>0</v>
      </c>
      <c r="L66" s="4">
        <v>200.32300000000001</v>
      </c>
      <c r="M66" s="4">
        <v>200.32300000000001</v>
      </c>
      <c r="N66" s="4">
        <v>200.32300000000001</v>
      </c>
      <c r="O66" s="4">
        <v>200.32300000000001</v>
      </c>
      <c r="P66" s="4">
        <v>0</v>
      </c>
      <c r="Q66" s="3" t="s">
        <v>26</v>
      </c>
      <c r="R66" s="3">
        <v>0</v>
      </c>
      <c r="S66" s="3" t="s">
        <v>119</v>
      </c>
      <c r="T66" s="3" t="s">
        <v>288</v>
      </c>
      <c r="U66" s="3">
        <v>0</v>
      </c>
      <c r="V66" s="3">
        <v>24</v>
      </c>
      <c r="W66" s="3">
        <v>83</v>
      </c>
    </row>
    <row r="67" spans="1:23" ht="11.25" customHeight="1" x14ac:dyDescent="0.25">
      <c r="A67" s="3" t="s">
        <v>21</v>
      </c>
      <c r="B67" s="3" t="s">
        <v>33</v>
      </c>
      <c r="C67" s="3" t="s">
        <v>34</v>
      </c>
      <c r="D67" s="3" t="s">
        <v>40</v>
      </c>
      <c r="E67" s="3" t="s">
        <v>25</v>
      </c>
      <c r="F67" s="3" t="s">
        <v>25</v>
      </c>
      <c r="G67" s="3" t="s">
        <v>25</v>
      </c>
      <c r="H67" s="3" t="s">
        <v>36</v>
      </c>
      <c r="I67" s="6">
        <v>44440</v>
      </c>
      <c r="J67" s="4">
        <v>0</v>
      </c>
      <c r="K67" s="4">
        <v>0</v>
      </c>
      <c r="L67" s="4">
        <v>206.32599999999999</v>
      </c>
      <c r="M67" s="4">
        <v>206.32599999999999</v>
      </c>
      <c r="N67" s="4">
        <v>206.32599999999999</v>
      </c>
      <c r="O67" s="4">
        <v>206.32599999999999</v>
      </c>
      <c r="P67" s="4">
        <v>0</v>
      </c>
      <c r="Q67" s="3" t="s">
        <v>26</v>
      </c>
      <c r="R67" s="3">
        <v>0</v>
      </c>
      <c r="S67" s="3" t="s">
        <v>120</v>
      </c>
      <c r="T67" s="3" t="s">
        <v>289</v>
      </c>
      <c r="U67" s="3">
        <v>0</v>
      </c>
      <c r="V67" s="3">
        <v>24</v>
      </c>
      <c r="W67" s="3">
        <v>83</v>
      </c>
    </row>
    <row r="68" spans="1:23" ht="11.25" customHeight="1" x14ac:dyDescent="0.25">
      <c r="A68" s="3" t="s">
        <v>21</v>
      </c>
      <c r="B68" s="3" t="s">
        <v>33</v>
      </c>
      <c r="C68" s="3" t="s">
        <v>34</v>
      </c>
      <c r="D68" s="3" t="s">
        <v>40</v>
      </c>
      <c r="E68" s="3" t="s">
        <v>25</v>
      </c>
      <c r="F68" s="3" t="s">
        <v>25</v>
      </c>
      <c r="G68" s="3" t="s">
        <v>25</v>
      </c>
      <c r="H68" s="3" t="s">
        <v>36</v>
      </c>
      <c r="I68" s="6">
        <v>44470</v>
      </c>
      <c r="J68" s="4">
        <v>0</v>
      </c>
      <c r="K68" s="4">
        <v>0</v>
      </c>
      <c r="L68" s="4">
        <v>193.61699999999999</v>
      </c>
      <c r="M68" s="4">
        <v>193.61699999999999</v>
      </c>
      <c r="N68" s="4">
        <v>193.61699999999999</v>
      </c>
      <c r="O68" s="4">
        <v>193.61699999999999</v>
      </c>
      <c r="P68" s="4">
        <v>0</v>
      </c>
      <c r="Q68" s="3" t="s">
        <v>26</v>
      </c>
      <c r="R68" s="3">
        <v>0</v>
      </c>
      <c r="S68" s="3" t="s">
        <v>121</v>
      </c>
      <c r="T68" s="3" t="s">
        <v>290</v>
      </c>
      <c r="U68" s="3">
        <v>0</v>
      </c>
      <c r="V68" s="3">
        <v>24</v>
      </c>
      <c r="W68" s="3">
        <v>83</v>
      </c>
    </row>
    <row r="69" spans="1:23" ht="11.25" customHeight="1" x14ac:dyDescent="0.25">
      <c r="A69" s="3" t="s">
        <v>21</v>
      </c>
      <c r="B69" s="3" t="s">
        <v>33</v>
      </c>
      <c r="C69" s="3" t="s">
        <v>34</v>
      </c>
      <c r="D69" s="3" t="s">
        <v>40</v>
      </c>
      <c r="E69" s="3" t="s">
        <v>25</v>
      </c>
      <c r="F69" s="3" t="s">
        <v>25</v>
      </c>
      <c r="G69" s="3" t="s">
        <v>25</v>
      </c>
      <c r="H69" s="3" t="s">
        <v>36</v>
      </c>
      <c r="I69" s="6">
        <v>44501</v>
      </c>
      <c r="J69" s="4">
        <v>0</v>
      </c>
      <c r="K69" s="4">
        <v>0</v>
      </c>
      <c r="L69" s="4">
        <v>195.97399999999999</v>
      </c>
      <c r="M69" s="4">
        <v>195.97399999999999</v>
      </c>
      <c r="N69" s="4">
        <v>195.97399999999999</v>
      </c>
      <c r="O69" s="4">
        <v>195.97399999999999</v>
      </c>
      <c r="P69" s="4">
        <v>0</v>
      </c>
      <c r="Q69" s="3" t="s">
        <v>26</v>
      </c>
      <c r="R69" s="3">
        <v>0</v>
      </c>
      <c r="S69" s="3" t="s">
        <v>122</v>
      </c>
      <c r="T69" s="3" t="s">
        <v>291</v>
      </c>
      <c r="U69" s="3">
        <v>0</v>
      </c>
      <c r="V69" s="3">
        <v>24</v>
      </c>
      <c r="W69" s="3">
        <v>83</v>
      </c>
    </row>
    <row r="70" spans="1:23" ht="11.25" customHeight="1" x14ac:dyDescent="0.25">
      <c r="A70" s="3" t="s">
        <v>21</v>
      </c>
      <c r="B70" s="3" t="s">
        <v>33</v>
      </c>
      <c r="C70" s="3" t="s">
        <v>34</v>
      </c>
      <c r="D70" s="3" t="s">
        <v>40</v>
      </c>
      <c r="E70" s="3" t="s">
        <v>25</v>
      </c>
      <c r="F70" s="3" t="s">
        <v>25</v>
      </c>
      <c r="G70" s="3" t="s">
        <v>25</v>
      </c>
      <c r="H70" s="3" t="s">
        <v>36</v>
      </c>
      <c r="I70" s="6">
        <v>44531</v>
      </c>
      <c r="J70" s="4">
        <v>0</v>
      </c>
      <c r="K70" s="4">
        <v>0</v>
      </c>
      <c r="L70" s="4">
        <v>214.75200000000001</v>
      </c>
      <c r="M70" s="4">
        <v>214.75200000000001</v>
      </c>
      <c r="N70" s="4">
        <v>214.75200000000001</v>
      </c>
      <c r="O70" s="4">
        <v>214.75200000000001</v>
      </c>
      <c r="P70" s="4">
        <v>0</v>
      </c>
      <c r="Q70" s="3" t="s">
        <v>26</v>
      </c>
      <c r="R70" s="3">
        <v>0</v>
      </c>
      <c r="S70" s="3" t="s">
        <v>123</v>
      </c>
      <c r="T70" s="3" t="s">
        <v>292</v>
      </c>
      <c r="U70" s="3">
        <v>0</v>
      </c>
      <c r="V70" s="3">
        <v>24</v>
      </c>
      <c r="W70" s="3">
        <v>83</v>
      </c>
    </row>
    <row r="71" spans="1:23" ht="11.25" customHeight="1" x14ac:dyDescent="0.25">
      <c r="A71" s="3" t="s">
        <v>21</v>
      </c>
      <c r="B71" s="3" t="s">
        <v>33</v>
      </c>
      <c r="C71" s="3" t="s">
        <v>34</v>
      </c>
      <c r="D71" s="3" t="s">
        <v>40</v>
      </c>
      <c r="E71" s="3" t="s">
        <v>25</v>
      </c>
      <c r="F71" s="3" t="s">
        <v>25</v>
      </c>
      <c r="G71" s="3" t="s">
        <v>25</v>
      </c>
      <c r="H71" s="3" t="s">
        <v>36</v>
      </c>
      <c r="I71" s="6">
        <v>44562</v>
      </c>
      <c r="J71" s="4">
        <v>0</v>
      </c>
      <c r="K71" s="4">
        <v>0</v>
      </c>
      <c r="L71" s="4">
        <v>212.864</v>
      </c>
      <c r="M71" s="4">
        <v>212.864</v>
      </c>
      <c r="N71" s="4">
        <v>212.864</v>
      </c>
      <c r="O71" s="4">
        <v>212.864</v>
      </c>
      <c r="P71" s="4">
        <v>0</v>
      </c>
      <c r="Q71" s="3" t="s">
        <v>26</v>
      </c>
      <c r="R71" s="3">
        <v>0</v>
      </c>
      <c r="S71" s="3" t="s">
        <v>124</v>
      </c>
      <c r="T71" s="3" t="s">
        <v>293</v>
      </c>
      <c r="U71" s="3">
        <v>0</v>
      </c>
      <c r="V71" s="3">
        <v>24</v>
      </c>
      <c r="W71" s="3">
        <v>83</v>
      </c>
    </row>
    <row r="72" spans="1:23" ht="11.25" customHeight="1" x14ac:dyDescent="0.25">
      <c r="A72" s="3" t="s">
        <v>21</v>
      </c>
      <c r="B72" s="3" t="s">
        <v>33</v>
      </c>
      <c r="C72" s="3" t="s">
        <v>34</v>
      </c>
      <c r="D72" s="3" t="s">
        <v>40</v>
      </c>
      <c r="E72" s="3" t="s">
        <v>25</v>
      </c>
      <c r="F72" s="3" t="s">
        <v>25</v>
      </c>
      <c r="G72" s="3" t="s">
        <v>25</v>
      </c>
      <c r="H72" s="3" t="s">
        <v>36</v>
      </c>
      <c r="I72" s="6">
        <v>44593</v>
      </c>
      <c r="J72" s="4">
        <v>0</v>
      </c>
      <c r="K72" s="4">
        <v>0</v>
      </c>
      <c r="L72" s="4">
        <v>206.465</v>
      </c>
      <c r="M72" s="4">
        <v>206.465</v>
      </c>
      <c r="N72" s="4">
        <v>206.465</v>
      </c>
      <c r="O72" s="4">
        <v>206.465</v>
      </c>
      <c r="P72" s="4">
        <v>0</v>
      </c>
      <c r="Q72" s="3" t="s">
        <v>26</v>
      </c>
      <c r="R72" s="3">
        <v>0</v>
      </c>
      <c r="S72" s="3" t="s">
        <v>125</v>
      </c>
      <c r="T72" s="3" t="s">
        <v>294</v>
      </c>
      <c r="U72" s="3">
        <v>0</v>
      </c>
      <c r="V72" s="3">
        <v>24</v>
      </c>
      <c r="W72" s="3">
        <v>83</v>
      </c>
    </row>
    <row r="73" spans="1:23" ht="11.25" customHeight="1" x14ac:dyDescent="0.25">
      <c r="A73" s="3" t="s">
        <v>21</v>
      </c>
      <c r="B73" s="3" t="s">
        <v>33</v>
      </c>
      <c r="C73" s="3" t="s">
        <v>34</v>
      </c>
      <c r="D73" s="3" t="s">
        <v>40</v>
      </c>
      <c r="E73" s="3" t="s">
        <v>25</v>
      </c>
      <c r="F73" s="3" t="s">
        <v>25</v>
      </c>
      <c r="G73" s="3" t="s">
        <v>25</v>
      </c>
      <c r="H73" s="3" t="s">
        <v>36</v>
      </c>
      <c r="I73" s="6">
        <v>44621</v>
      </c>
      <c r="J73" s="4">
        <v>0</v>
      </c>
      <c r="K73" s="4">
        <v>0</v>
      </c>
      <c r="L73" s="4">
        <v>229.244</v>
      </c>
      <c r="M73" s="4">
        <v>229.244</v>
      </c>
      <c r="N73" s="4">
        <v>229.244</v>
      </c>
      <c r="O73" s="4">
        <v>229.244</v>
      </c>
      <c r="P73" s="4">
        <v>0</v>
      </c>
      <c r="Q73" s="3" t="s">
        <v>26</v>
      </c>
      <c r="R73" s="3">
        <v>0</v>
      </c>
      <c r="S73" s="3" t="s">
        <v>126</v>
      </c>
      <c r="T73" s="3" t="s">
        <v>295</v>
      </c>
      <c r="U73" s="3">
        <v>0</v>
      </c>
      <c r="V73" s="3">
        <v>24</v>
      </c>
      <c r="W73" s="3">
        <v>83</v>
      </c>
    </row>
    <row r="74" spans="1:23" ht="11.25" customHeight="1" x14ac:dyDescent="0.25">
      <c r="A74" s="3" t="s">
        <v>21</v>
      </c>
      <c r="B74" s="3" t="s">
        <v>33</v>
      </c>
      <c r="C74" s="3" t="s">
        <v>34</v>
      </c>
      <c r="D74" s="3" t="s">
        <v>40</v>
      </c>
      <c r="E74" s="3" t="s">
        <v>25</v>
      </c>
      <c r="F74" s="3" t="s">
        <v>25</v>
      </c>
      <c r="G74" s="3" t="s">
        <v>25</v>
      </c>
      <c r="H74" s="3" t="s">
        <v>25</v>
      </c>
      <c r="I74" s="6">
        <v>44287</v>
      </c>
      <c r="J74" s="4">
        <v>944</v>
      </c>
      <c r="K74" s="4">
        <v>944</v>
      </c>
      <c r="L74" s="4">
        <v>0</v>
      </c>
      <c r="M74" s="4">
        <v>0</v>
      </c>
      <c r="N74" s="4">
        <v>0</v>
      </c>
      <c r="O74" s="4">
        <v>0</v>
      </c>
      <c r="P74" s="4">
        <v>7</v>
      </c>
      <c r="Q74" s="3" t="s">
        <v>26</v>
      </c>
      <c r="R74" s="3">
        <v>0</v>
      </c>
      <c r="S74" s="3" t="s">
        <v>127</v>
      </c>
      <c r="U74" s="3">
        <v>22</v>
      </c>
      <c r="V74" s="3">
        <v>0</v>
      </c>
      <c r="W74" s="3">
        <v>0</v>
      </c>
    </row>
    <row r="75" spans="1:23" ht="11.25" customHeight="1" x14ac:dyDescent="0.25">
      <c r="A75" s="3" t="s">
        <v>21</v>
      </c>
      <c r="B75" s="3" t="s">
        <v>33</v>
      </c>
      <c r="C75" s="3" t="s">
        <v>34</v>
      </c>
      <c r="D75" s="3" t="s">
        <v>40</v>
      </c>
      <c r="E75" s="3" t="s">
        <v>25</v>
      </c>
      <c r="F75" s="3" t="s">
        <v>25</v>
      </c>
      <c r="G75" s="3" t="s">
        <v>25</v>
      </c>
      <c r="H75" s="3" t="s">
        <v>25</v>
      </c>
      <c r="I75" s="6">
        <v>44317</v>
      </c>
      <c r="J75" s="4">
        <v>941</v>
      </c>
      <c r="K75" s="4">
        <v>941</v>
      </c>
      <c r="L75" s="4">
        <v>0</v>
      </c>
      <c r="M75" s="4">
        <v>0</v>
      </c>
      <c r="N75" s="4">
        <v>0</v>
      </c>
      <c r="O75" s="4">
        <v>0</v>
      </c>
      <c r="P75" s="4">
        <v>7</v>
      </c>
      <c r="Q75" s="3" t="s">
        <v>26</v>
      </c>
      <c r="R75" s="3">
        <v>0</v>
      </c>
      <c r="S75" s="3" t="s">
        <v>128</v>
      </c>
      <c r="U75" s="3">
        <v>22</v>
      </c>
      <c r="V75" s="3">
        <v>0</v>
      </c>
      <c r="W75" s="3">
        <v>0</v>
      </c>
    </row>
    <row r="76" spans="1:23" ht="11.25" customHeight="1" x14ac:dyDescent="0.25">
      <c r="A76" s="3" t="s">
        <v>21</v>
      </c>
      <c r="B76" s="3" t="s">
        <v>33</v>
      </c>
      <c r="C76" s="3" t="s">
        <v>34</v>
      </c>
      <c r="D76" s="3" t="s">
        <v>40</v>
      </c>
      <c r="E76" s="3" t="s">
        <v>25</v>
      </c>
      <c r="F76" s="3" t="s">
        <v>25</v>
      </c>
      <c r="G76" s="3" t="s">
        <v>25</v>
      </c>
      <c r="H76" s="3" t="s">
        <v>25</v>
      </c>
      <c r="I76" s="6">
        <v>44348</v>
      </c>
      <c r="J76" s="4">
        <v>933</v>
      </c>
      <c r="K76" s="4">
        <v>933</v>
      </c>
      <c r="L76" s="4">
        <v>0</v>
      </c>
      <c r="M76" s="4">
        <v>0</v>
      </c>
      <c r="N76" s="4">
        <v>0</v>
      </c>
      <c r="O76" s="4">
        <v>0</v>
      </c>
      <c r="P76" s="4">
        <v>7</v>
      </c>
      <c r="Q76" s="3" t="s">
        <v>26</v>
      </c>
      <c r="R76" s="3">
        <v>0</v>
      </c>
      <c r="S76" s="3" t="s">
        <v>129</v>
      </c>
      <c r="U76" s="3">
        <v>22</v>
      </c>
      <c r="V76" s="3">
        <v>0</v>
      </c>
      <c r="W76" s="3">
        <v>0</v>
      </c>
    </row>
    <row r="77" spans="1:23" ht="11.25" customHeight="1" x14ac:dyDescent="0.25">
      <c r="A77" s="3" t="s">
        <v>21</v>
      </c>
      <c r="B77" s="3" t="s">
        <v>33</v>
      </c>
      <c r="C77" s="3" t="s">
        <v>34</v>
      </c>
      <c r="D77" s="3" t="s">
        <v>40</v>
      </c>
      <c r="E77" s="3" t="s">
        <v>25</v>
      </c>
      <c r="F77" s="3" t="s">
        <v>25</v>
      </c>
      <c r="G77" s="3" t="s">
        <v>25</v>
      </c>
      <c r="H77" s="3" t="s">
        <v>25</v>
      </c>
      <c r="I77" s="6">
        <v>44378</v>
      </c>
      <c r="J77" s="4">
        <v>935</v>
      </c>
      <c r="K77" s="4">
        <v>935</v>
      </c>
      <c r="L77" s="4">
        <v>0</v>
      </c>
      <c r="M77" s="4">
        <v>0</v>
      </c>
      <c r="N77" s="4">
        <v>0</v>
      </c>
      <c r="O77" s="4">
        <v>0</v>
      </c>
      <c r="P77" s="4">
        <v>7</v>
      </c>
      <c r="Q77" s="3" t="s">
        <v>26</v>
      </c>
      <c r="R77" s="3">
        <v>0</v>
      </c>
      <c r="S77" s="3" t="s">
        <v>130</v>
      </c>
      <c r="U77" s="3">
        <v>22</v>
      </c>
      <c r="V77" s="3">
        <v>0</v>
      </c>
      <c r="W77" s="3">
        <v>0</v>
      </c>
    </row>
    <row r="78" spans="1:23" ht="11.25" customHeight="1" x14ac:dyDescent="0.25">
      <c r="A78" s="3" t="s">
        <v>21</v>
      </c>
      <c r="B78" s="3" t="s">
        <v>33</v>
      </c>
      <c r="C78" s="3" t="s">
        <v>34</v>
      </c>
      <c r="D78" s="3" t="s">
        <v>40</v>
      </c>
      <c r="E78" s="3" t="s">
        <v>25</v>
      </c>
      <c r="F78" s="3" t="s">
        <v>25</v>
      </c>
      <c r="G78" s="3" t="s">
        <v>25</v>
      </c>
      <c r="H78" s="3" t="s">
        <v>25</v>
      </c>
      <c r="I78" s="6">
        <v>44409</v>
      </c>
      <c r="J78" s="4">
        <v>1101</v>
      </c>
      <c r="K78" s="4">
        <v>1101</v>
      </c>
      <c r="L78" s="4">
        <v>0</v>
      </c>
      <c r="M78" s="4">
        <v>0</v>
      </c>
      <c r="N78" s="4">
        <v>0</v>
      </c>
      <c r="O78" s="4">
        <v>0</v>
      </c>
      <c r="P78" s="4">
        <v>8</v>
      </c>
      <c r="Q78" s="3" t="s">
        <v>26</v>
      </c>
      <c r="R78" s="3">
        <v>0</v>
      </c>
      <c r="S78" s="3" t="s">
        <v>131</v>
      </c>
      <c r="U78" s="3">
        <v>22</v>
      </c>
      <c r="V78" s="3">
        <v>0</v>
      </c>
      <c r="W78" s="3">
        <v>0</v>
      </c>
    </row>
    <row r="79" spans="1:23" ht="11.25" customHeight="1" x14ac:dyDescent="0.25">
      <c r="A79" s="3" t="s">
        <v>21</v>
      </c>
      <c r="B79" s="3" t="s">
        <v>33</v>
      </c>
      <c r="C79" s="3" t="s">
        <v>34</v>
      </c>
      <c r="D79" s="3" t="s">
        <v>40</v>
      </c>
      <c r="E79" s="3" t="s">
        <v>25</v>
      </c>
      <c r="F79" s="3" t="s">
        <v>25</v>
      </c>
      <c r="G79" s="3" t="s">
        <v>25</v>
      </c>
      <c r="H79" s="3" t="s">
        <v>25</v>
      </c>
      <c r="I79" s="6">
        <v>44440</v>
      </c>
      <c r="J79" s="4">
        <v>990</v>
      </c>
      <c r="K79" s="4">
        <v>990</v>
      </c>
      <c r="L79" s="4">
        <v>0</v>
      </c>
      <c r="M79" s="4">
        <v>0</v>
      </c>
      <c r="N79" s="4">
        <v>0</v>
      </c>
      <c r="O79" s="4">
        <v>0</v>
      </c>
      <c r="P79" s="4">
        <v>8</v>
      </c>
      <c r="Q79" s="3" t="s">
        <v>26</v>
      </c>
      <c r="R79" s="3">
        <v>0</v>
      </c>
      <c r="S79" s="3" t="s">
        <v>132</v>
      </c>
      <c r="U79" s="3">
        <v>22</v>
      </c>
      <c r="V79" s="3">
        <v>0</v>
      </c>
      <c r="W79" s="3">
        <v>0</v>
      </c>
    </row>
    <row r="80" spans="1:23" ht="11.25" customHeight="1" x14ac:dyDescent="0.25">
      <c r="A80" s="3" t="s">
        <v>21</v>
      </c>
      <c r="B80" s="3" t="s">
        <v>33</v>
      </c>
      <c r="C80" s="3" t="s">
        <v>34</v>
      </c>
      <c r="D80" s="3" t="s">
        <v>40</v>
      </c>
      <c r="E80" s="3" t="s">
        <v>25</v>
      </c>
      <c r="F80" s="3" t="s">
        <v>25</v>
      </c>
      <c r="G80" s="3" t="s">
        <v>25</v>
      </c>
      <c r="H80" s="3" t="s">
        <v>25</v>
      </c>
      <c r="I80" s="6">
        <v>44470</v>
      </c>
      <c r="J80" s="4">
        <v>1028</v>
      </c>
      <c r="K80" s="4">
        <v>1028</v>
      </c>
      <c r="L80" s="4">
        <v>0</v>
      </c>
      <c r="M80" s="4">
        <v>0</v>
      </c>
      <c r="N80" s="4">
        <v>0</v>
      </c>
      <c r="O80" s="4">
        <v>0</v>
      </c>
      <c r="P80" s="4">
        <v>8</v>
      </c>
      <c r="Q80" s="3" t="s">
        <v>26</v>
      </c>
      <c r="R80" s="3">
        <v>0</v>
      </c>
      <c r="S80" s="3" t="s">
        <v>133</v>
      </c>
      <c r="U80" s="3">
        <v>22</v>
      </c>
      <c r="V80" s="3">
        <v>0</v>
      </c>
      <c r="W80" s="3">
        <v>0</v>
      </c>
    </row>
    <row r="81" spans="1:23" ht="11.25" customHeight="1" x14ac:dyDescent="0.25">
      <c r="A81" s="3" t="s">
        <v>21</v>
      </c>
      <c r="B81" s="3" t="s">
        <v>33</v>
      </c>
      <c r="C81" s="3" t="s">
        <v>34</v>
      </c>
      <c r="D81" s="3" t="s">
        <v>40</v>
      </c>
      <c r="E81" s="3" t="s">
        <v>25</v>
      </c>
      <c r="F81" s="3" t="s">
        <v>25</v>
      </c>
      <c r="G81" s="3" t="s">
        <v>25</v>
      </c>
      <c r="H81" s="3" t="s">
        <v>25</v>
      </c>
      <c r="I81" s="6">
        <v>44501</v>
      </c>
      <c r="J81" s="4">
        <v>1011</v>
      </c>
      <c r="K81" s="4">
        <v>1011</v>
      </c>
      <c r="L81" s="4">
        <v>0</v>
      </c>
      <c r="M81" s="4">
        <v>0</v>
      </c>
      <c r="N81" s="4">
        <v>0</v>
      </c>
      <c r="O81" s="4">
        <v>0</v>
      </c>
      <c r="P81" s="4">
        <v>8</v>
      </c>
      <c r="Q81" s="3" t="s">
        <v>26</v>
      </c>
      <c r="R81" s="3">
        <v>0</v>
      </c>
      <c r="S81" s="3" t="s">
        <v>134</v>
      </c>
      <c r="U81" s="3">
        <v>22</v>
      </c>
      <c r="V81" s="3">
        <v>0</v>
      </c>
      <c r="W81" s="3">
        <v>0</v>
      </c>
    </row>
    <row r="82" spans="1:23" ht="11.25" customHeight="1" x14ac:dyDescent="0.25">
      <c r="A82" s="3" t="s">
        <v>21</v>
      </c>
      <c r="B82" s="3" t="s">
        <v>33</v>
      </c>
      <c r="C82" s="3" t="s">
        <v>34</v>
      </c>
      <c r="D82" s="3" t="s">
        <v>40</v>
      </c>
      <c r="E82" s="3" t="s">
        <v>25</v>
      </c>
      <c r="F82" s="3" t="s">
        <v>25</v>
      </c>
      <c r="G82" s="3" t="s">
        <v>25</v>
      </c>
      <c r="H82" s="3" t="s">
        <v>25</v>
      </c>
      <c r="I82" s="6">
        <v>44531</v>
      </c>
      <c r="J82" s="4">
        <v>994</v>
      </c>
      <c r="K82" s="4">
        <v>994</v>
      </c>
      <c r="L82" s="4">
        <v>0</v>
      </c>
      <c r="M82" s="4">
        <v>0</v>
      </c>
      <c r="N82" s="4">
        <v>0</v>
      </c>
      <c r="O82" s="4">
        <v>0</v>
      </c>
      <c r="P82" s="4">
        <v>8</v>
      </c>
      <c r="Q82" s="3" t="s">
        <v>26</v>
      </c>
      <c r="R82" s="3">
        <v>0</v>
      </c>
      <c r="S82" s="3" t="s">
        <v>135</v>
      </c>
      <c r="U82" s="3">
        <v>22</v>
      </c>
      <c r="V82" s="3">
        <v>0</v>
      </c>
      <c r="W82" s="3">
        <v>0</v>
      </c>
    </row>
    <row r="83" spans="1:23" ht="11.25" customHeight="1" x14ac:dyDescent="0.25">
      <c r="A83" s="3" t="s">
        <v>21</v>
      </c>
      <c r="B83" s="3" t="s">
        <v>33</v>
      </c>
      <c r="C83" s="3" t="s">
        <v>34</v>
      </c>
      <c r="D83" s="3" t="s">
        <v>40</v>
      </c>
      <c r="E83" s="3" t="s">
        <v>25</v>
      </c>
      <c r="F83" s="3" t="s">
        <v>25</v>
      </c>
      <c r="G83" s="3" t="s">
        <v>25</v>
      </c>
      <c r="H83" s="3" t="s">
        <v>25</v>
      </c>
      <c r="I83" s="6">
        <v>44562</v>
      </c>
      <c r="J83" s="4">
        <v>992</v>
      </c>
      <c r="K83" s="4">
        <v>992</v>
      </c>
      <c r="L83" s="4">
        <v>0</v>
      </c>
      <c r="M83" s="4">
        <v>0</v>
      </c>
      <c r="N83" s="4">
        <v>0</v>
      </c>
      <c r="O83" s="4">
        <v>0</v>
      </c>
      <c r="P83" s="4">
        <v>7</v>
      </c>
      <c r="Q83" s="3" t="s">
        <v>26</v>
      </c>
      <c r="R83" s="3">
        <v>0</v>
      </c>
      <c r="S83" s="3" t="s">
        <v>136</v>
      </c>
      <c r="U83" s="3">
        <v>22</v>
      </c>
      <c r="V83" s="3">
        <v>0</v>
      </c>
      <c r="W83" s="3">
        <v>0</v>
      </c>
    </row>
    <row r="84" spans="1:23" ht="11.25" customHeight="1" x14ac:dyDescent="0.25">
      <c r="A84" s="3" t="s">
        <v>21</v>
      </c>
      <c r="B84" s="3" t="s">
        <v>33</v>
      </c>
      <c r="C84" s="3" t="s">
        <v>34</v>
      </c>
      <c r="D84" s="3" t="s">
        <v>40</v>
      </c>
      <c r="E84" s="3" t="s">
        <v>25</v>
      </c>
      <c r="F84" s="3" t="s">
        <v>25</v>
      </c>
      <c r="G84" s="3" t="s">
        <v>25</v>
      </c>
      <c r="H84" s="3" t="s">
        <v>25</v>
      </c>
      <c r="I84" s="6">
        <v>44593</v>
      </c>
      <c r="J84" s="4">
        <v>966</v>
      </c>
      <c r="K84" s="4">
        <v>966</v>
      </c>
      <c r="L84" s="4">
        <v>0</v>
      </c>
      <c r="M84" s="4">
        <v>0</v>
      </c>
      <c r="N84" s="4">
        <v>0</v>
      </c>
      <c r="O84" s="4">
        <v>0</v>
      </c>
      <c r="P84" s="4">
        <v>7</v>
      </c>
      <c r="Q84" s="3" t="s">
        <v>26</v>
      </c>
      <c r="R84" s="3">
        <v>0</v>
      </c>
      <c r="S84" s="3" t="s">
        <v>137</v>
      </c>
      <c r="U84" s="3">
        <v>22</v>
      </c>
      <c r="V84" s="3">
        <v>0</v>
      </c>
      <c r="W84" s="3">
        <v>0</v>
      </c>
    </row>
    <row r="85" spans="1:23" ht="11.25" customHeight="1" x14ac:dyDescent="0.25">
      <c r="A85" s="3" t="s">
        <v>21</v>
      </c>
      <c r="B85" s="3" t="s">
        <v>33</v>
      </c>
      <c r="C85" s="3" t="s">
        <v>34</v>
      </c>
      <c r="D85" s="3" t="s">
        <v>40</v>
      </c>
      <c r="E85" s="3" t="s">
        <v>25</v>
      </c>
      <c r="F85" s="3" t="s">
        <v>25</v>
      </c>
      <c r="G85" s="3" t="s">
        <v>25</v>
      </c>
      <c r="H85" s="3" t="s">
        <v>25</v>
      </c>
      <c r="I85" s="6">
        <v>44621</v>
      </c>
      <c r="J85" s="4">
        <v>976</v>
      </c>
      <c r="K85" s="4">
        <v>976</v>
      </c>
      <c r="L85" s="4">
        <v>0</v>
      </c>
      <c r="M85" s="4">
        <v>0</v>
      </c>
      <c r="N85" s="4">
        <v>0</v>
      </c>
      <c r="O85" s="4">
        <v>0</v>
      </c>
      <c r="P85" s="4">
        <v>7</v>
      </c>
      <c r="Q85" s="3" t="s">
        <v>26</v>
      </c>
      <c r="R85" s="3">
        <v>0</v>
      </c>
      <c r="S85" s="3" t="s">
        <v>138</v>
      </c>
      <c r="U85" s="3">
        <v>22</v>
      </c>
      <c r="V85" s="3">
        <v>0</v>
      </c>
      <c r="W85" s="3">
        <v>0</v>
      </c>
    </row>
    <row r="86" spans="1:23" ht="11.25" customHeight="1" x14ac:dyDescent="0.25">
      <c r="A86" s="3" t="s">
        <v>21</v>
      </c>
      <c r="B86" s="3" t="s">
        <v>33</v>
      </c>
      <c r="C86" s="3" t="s">
        <v>34</v>
      </c>
      <c r="D86" s="3" t="s">
        <v>40</v>
      </c>
      <c r="E86" s="3" t="s">
        <v>25</v>
      </c>
      <c r="F86" s="3" t="s">
        <v>25</v>
      </c>
      <c r="G86" s="3" t="s">
        <v>25</v>
      </c>
      <c r="H86" s="3" t="s">
        <v>35</v>
      </c>
      <c r="I86" s="6">
        <v>44287</v>
      </c>
      <c r="J86" s="4">
        <v>0</v>
      </c>
      <c r="K86" s="4">
        <v>0</v>
      </c>
      <c r="L86" s="4">
        <v>3.3759999999999999</v>
      </c>
      <c r="M86" s="4">
        <v>3.3759999999999999</v>
      </c>
      <c r="N86" s="4">
        <v>3.3759999999999999</v>
      </c>
      <c r="O86" s="4">
        <v>3.3759999999999999</v>
      </c>
      <c r="P86" s="4">
        <v>0</v>
      </c>
      <c r="Q86" s="3" t="s">
        <v>26</v>
      </c>
      <c r="R86" s="3">
        <v>0</v>
      </c>
      <c r="S86" s="3" t="s">
        <v>139</v>
      </c>
      <c r="T86" s="3" t="s">
        <v>296</v>
      </c>
      <c r="U86" s="3">
        <v>0</v>
      </c>
      <c r="V86" s="3">
        <v>23</v>
      </c>
      <c r="W86" s="3">
        <v>82</v>
      </c>
    </row>
    <row r="87" spans="1:23" ht="11.25" customHeight="1" x14ac:dyDescent="0.25">
      <c r="A87" s="3" t="s">
        <v>21</v>
      </c>
      <c r="B87" s="3" t="s">
        <v>33</v>
      </c>
      <c r="C87" s="3" t="s">
        <v>34</v>
      </c>
      <c r="D87" s="3" t="s">
        <v>40</v>
      </c>
      <c r="E87" s="3" t="s">
        <v>25</v>
      </c>
      <c r="F87" s="3" t="s">
        <v>25</v>
      </c>
      <c r="G87" s="3" t="s">
        <v>25</v>
      </c>
      <c r="H87" s="3" t="s">
        <v>35</v>
      </c>
      <c r="I87" s="6">
        <v>44317</v>
      </c>
      <c r="J87" s="4">
        <v>0</v>
      </c>
      <c r="K87" s="4">
        <v>0</v>
      </c>
      <c r="L87" s="4">
        <v>2.3010000000000002</v>
      </c>
      <c r="M87" s="4">
        <v>2.3010000000000002</v>
      </c>
      <c r="N87" s="4">
        <v>2.3010000000000002</v>
      </c>
      <c r="O87" s="4">
        <v>2.3010000000000002</v>
      </c>
      <c r="P87" s="4">
        <v>0</v>
      </c>
      <c r="Q87" s="3" t="s">
        <v>26</v>
      </c>
      <c r="R87" s="3">
        <v>0</v>
      </c>
      <c r="S87" s="3" t="s">
        <v>140</v>
      </c>
      <c r="T87" s="3" t="s">
        <v>297</v>
      </c>
      <c r="U87" s="3">
        <v>0</v>
      </c>
      <c r="V87" s="3">
        <v>23</v>
      </c>
      <c r="W87" s="3">
        <v>82</v>
      </c>
    </row>
    <row r="88" spans="1:23" ht="11.25" customHeight="1" x14ac:dyDescent="0.25">
      <c r="A88" s="3" t="s">
        <v>21</v>
      </c>
      <c r="B88" s="3" t="s">
        <v>33</v>
      </c>
      <c r="C88" s="3" t="s">
        <v>34</v>
      </c>
      <c r="D88" s="3" t="s">
        <v>40</v>
      </c>
      <c r="E88" s="3" t="s">
        <v>25</v>
      </c>
      <c r="F88" s="3" t="s">
        <v>25</v>
      </c>
      <c r="G88" s="3" t="s">
        <v>25</v>
      </c>
      <c r="H88" s="3" t="s">
        <v>35</v>
      </c>
      <c r="I88" s="6">
        <v>44348</v>
      </c>
      <c r="J88" s="4">
        <v>0</v>
      </c>
      <c r="K88" s="4">
        <v>0</v>
      </c>
      <c r="L88" s="4">
        <v>1.792</v>
      </c>
      <c r="M88" s="4">
        <v>1.792</v>
      </c>
      <c r="N88" s="4">
        <v>1.792</v>
      </c>
      <c r="O88" s="4">
        <v>1.792</v>
      </c>
      <c r="P88" s="4">
        <v>0</v>
      </c>
      <c r="Q88" s="3" t="s">
        <v>26</v>
      </c>
      <c r="R88" s="3">
        <v>0</v>
      </c>
      <c r="S88" s="3" t="s">
        <v>141</v>
      </c>
      <c r="T88" s="3" t="s">
        <v>298</v>
      </c>
      <c r="U88" s="3">
        <v>0</v>
      </c>
      <c r="V88" s="3">
        <v>23</v>
      </c>
      <c r="W88" s="3">
        <v>82</v>
      </c>
    </row>
    <row r="89" spans="1:23" ht="11.25" customHeight="1" x14ac:dyDescent="0.25">
      <c r="A89" s="3" t="s">
        <v>21</v>
      </c>
      <c r="B89" s="3" t="s">
        <v>33</v>
      </c>
      <c r="C89" s="3" t="s">
        <v>34</v>
      </c>
      <c r="D89" s="3" t="s">
        <v>40</v>
      </c>
      <c r="E89" s="3" t="s">
        <v>25</v>
      </c>
      <c r="F89" s="3" t="s">
        <v>25</v>
      </c>
      <c r="G89" s="3" t="s">
        <v>25</v>
      </c>
      <c r="H89" s="3" t="s">
        <v>35</v>
      </c>
      <c r="I89" s="6">
        <v>44378</v>
      </c>
      <c r="J89" s="4">
        <v>0</v>
      </c>
      <c r="K89" s="4">
        <v>0</v>
      </c>
      <c r="L89" s="4">
        <v>1.629</v>
      </c>
      <c r="M89" s="4">
        <v>1.629</v>
      </c>
      <c r="N89" s="4">
        <v>1.629</v>
      </c>
      <c r="O89" s="4">
        <v>1.629</v>
      </c>
      <c r="P89" s="4">
        <v>0</v>
      </c>
      <c r="Q89" s="3" t="s">
        <v>26</v>
      </c>
      <c r="R89" s="3">
        <v>0</v>
      </c>
      <c r="S89" s="3" t="s">
        <v>142</v>
      </c>
      <c r="T89" s="3" t="s">
        <v>299</v>
      </c>
      <c r="U89" s="3">
        <v>0</v>
      </c>
      <c r="V89" s="3">
        <v>23</v>
      </c>
      <c r="W89" s="3">
        <v>82</v>
      </c>
    </row>
    <row r="90" spans="1:23" ht="11.25" customHeight="1" x14ac:dyDescent="0.25">
      <c r="A90" s="3" t="s">
        <v>21</v>
      </c>
      <c r="B90" s="3" t="s">
        <v>33</v>
      </c>
      <c r="C90" s="3" t="s">
        <v>34</v>
      </c>
      <c r="D90" s="3" t="s">
        <v>40</v>
      </c>
      <c r="E90" s="3" t="s">
        <v>25</v>
      </c>
      <c r="F90" s="3" t="s">
        <v>25</v>
      </c>
      <c r="G90" s="3" t="s">
        <v>25</v>
      </c>
      <c r="H90" s="3" t="s">
        <v>35</v>
      </c>
      <c r="I90" s="6">
        <v>44409</v>
      </c>
      <c r="J90" s="4">
        <v>0</v>
      </c>
      <c r="K90" s="4">
        <v>0</v>
      </c>
      <c r="L90" s="4">
        <v>2.5110000000000001</v>
      </c>
      <c r="M90" s="4">
        <v>2.5110000000000001</v>
      </c>
      <c r="N90" s="4">
        <v>2.5110000000000001</v>
      </c>
      <c r="O90" s="4">
        <v>2.5110000000000001</v>
      </c>
      <c r="P90" s="4">
        <v>0</v>
      </c>
      <c r="Q90" s="3" t="s">
        <v>26</v>
      </c>
      <c r="R90" s="3">
        <v>0</v>
      </c>
      <c r="S90" s="3" t="s">
        <v>143</v>
      </c>
      <c r="T90" s="3" t="s">
        <v>300</v>
      </c>
      <c r="U90" s="3">
        <v>0</v>
      </c>
      <c r="V90" s="3">
        <v>23</v>
      </c>
      <c r="W90" s="3">
        <v>82</v>
      </c>
    </row>
    <row r="91" spans="1:23" ht="11.25" customHeight="1" x14ac:dyDescent="0.25">
      <c r="A91" s="3" t="s">
        <v>21</v>
      </c>
      <c r="B91" s="3" t="s">
        <v>33</v>
      </c>
      <c r="C91" s="3" t="s">
        <v>34</v>
      </c>
      <c r="D91" s="3" t="s">
        <v>40</v>
      </c>
      <c r="E91" s="3" t="s">
        <v>25</v>
      </c>
      <c r="F91" s="3" t="s">
        <v>25</v>
      </c>
      <c r="G91" s="3" t="s">
        <v>25</v>
      </c>
      <c r="H91" s="3" t="s">
        <v>35</v>
      </c>
      <c r="I91" s="6">
        <v>44440</v>
      </c>
      <c r="J91" s="4">
        <v>0</v>
      </c>
      <c r="K91" s="4">
        <v>0</v>
      </c>
      <c r="L91" s="4">
        <v>2.827</v>
      </c>
      <c r="M91" s="4">
        <v>2.827</v>
      </c>
      <c r="N91" s="4">
        <v>2.827</v>
      </c>
      <c r="O91" s="4">
        <v>2.827</v>
      </c>
      <c r="P91" s="4">
        <v>0</v>
      </c>
      <c r="Q91" s="3" t="s">
        <v>26</v>
      </c>
      <c r="R91" s="3">
        <v>0</v>
      </c>
      <c r="S91" s="3" t="s">
        <v>144</v>
      </c>
      <c r="T91" s="3" t="s">
        <v>301</v>
      </c>
      <c r="U91" s="3">
        <v>0</v>
      </c>
      <c r="V91" s="3">
        <v>23</v>
      </c>
      <c r="W91" s="3">
        <v>82</v>
      </c>
    </row>
    <row r="92" spans="1:23" ht="11.25" customHeight="1" x14ac:dyDescent="0.25">
      <c r="A92" s="3" t="s">
        <v>21</v>
      </c>
      <c r="B92" s="3" t="s">
        <v>33</v>
      </c>
      <c r="C92" s="3" t="s">
        <v>34</v>
      </c>
      <c r="D92" s="3" t="s">
        <v>40</v>
      </c>
      <c r="E92" s="3" t="s">
        <v>25</v>
      </c>
      <c r="F92" s="3" t="s">
        <v>25</v>
      </c>
      <c r="G92" s="3" t="s">
        <v>25</v>
      </c>
      <c r="H92" s="3" t="s">
        <v>35</v>
      </c>
      <c r="I92" s="6">
        <v>44470</v>
      </c>
      <c r="J92" s="4">
        <v>0</v>
      </c>
      <c r="K92" s="4">
        <v>0</v>
      </c>
      <c r="L92" s="4">
        <v>1.7969999999999999</v>
      </c>
      <c r="M92" s="4">
        <v>1.7969999999999999</v>
      </c>
      <c r="N92" s="4">
        <v>1.7969999999999999</v>
      </c>
      <c r="O92" s="4">
        <v>1.7969999999999999</v>
      </c>
      <c r="P92" s="4">
        <v>0</v>
      </c>
      <c r="Q92" s="3" t="s">
        <v>26</v>
      </c>
      <c r="R92" s="3">
        <v>0</v>
      </c>
      <c r="S92" s="3" t="s">
        <v>145</v>
      </c>
      <c r="T92" s="3" t="s">
        <v>302</v>
      </c>
      <c r="U92" s="3">
        <v>0</v>
      </c>
      <c r="V92" s="3">
        <v>23</v>
      </c>
      <c r="W92" s="3">
        <v>82</v>
      </c>
    </row>
    <row r="93" spans="1:23" ht="11.25" customHeight="1" x14ac:dyDescent="0.25">
      <c r="A93" s="3" t="s">
        <v>21</v>
      </c>
      <c r="B93" s="3" t="s">
        <v>33</v>
      </c>
      <c r="C93" s="3" t="s">
        <v>34</v>
      </c>
      <c r="D93" s="3" t="s">
        <v>40</v>
      </c>
      <c r="E93" s="3" t="s">
        <v>25</v>
      </c>
      <c r="F93" s="3" t="s">
        <v>25</v>
      </c>
      <c r="G93" s="3" t="s">
        <v>25</v>
      </c>
      <c r="H93" s="3" t="s">
        <v>35</v>
      </c>
      <c r="I93" s="6">
        <v>44501</v>
      </c>
      <c r="J93" s="4">
        <v>0</v>
      </c>
      <c r="K93" s="4">
        <v>0</v>
      </c>
      <c r="L93" s="4">
        <v>2.3839999999999999</v>
      </c>
      <c r="M93" s="4">
        <v>2.3839999999999999</v>
      </c>
      <c r="N93" s="4">
        <v>2.3839999999999999</v>
      </c>
      <c r="O93" s="4">
        <v>2.3839999999999999</v>
      </c>
      <c r="P93" s="4">
        <v>0</v>
      </c>
      <c r="Q93" s="3" t="s">
        <v>26</v>
      </c>
      <c r="R93" s="3">
        <v>0</v>
      </c>
      <c r="S93" s="3" t="s">
        <v>146</v>
      </c>
      <c r="T93" s="3" t="s">
        <v>303</v>
      </c>
      <c r="U93" s="3">
        <v>0</v>
      </c>
      <c r="V93" s="3">
        <v>23</v>
      </c>
      <c r="W93" s="3">
        <v>82</v>
      </c>
    </row>
    <row r="94" spans="1:23" ht="11.25" customHeight="1" x14ac:dyDescent="0.25">
      <c r="A94" s="3" t="s">
        <v>21</v>
      </c>
      <c r="B94" s="3" t="s">
        <v>33</v>
      </c>
      <c r="C94" s="3" t="s">
        <v>34</v>
      </c>
      <c r="D94" s="3" t="s">
        <v>40</v>
      </c>
      <c r="E94" s="3" t="s">
        <v>25</v>
      </c>
      <c r="F94" s="3" t="s">
        <v>25</v>
      </c>
      <c r="G94" s="3" t="s">
        <v>25</v>
      </c>
      <c r="H94" s="3" t="s">
        <v>35</v>
      </c>
      <c r="I94" s="6">
        <v>44531</v>
      </c>
      <c r="J94" s="4">
        <v>0</v>
      </c>
      <c r="K94" s="4">
        <v>0</v>
      </c>
      <c r="L94" s="4">
        <v>3.4359999999999999</v>
      </c>
      <c r="M94" s="4">
        <v>3.4359999999999999</v>
      </c>
      <c r="N94" s="4">
        <v>3.4359999999999999</v>
      </c>
      <c r="O94" s="4">
        <v>3.4359999999999999</v>
      </c>
      <c r="P94" s="4">
        <v>0</v>
      </c>
      <c r="Q94" s="3" t="s">
        <v>26</v>
      </c>
      <c r="R94" s="3">
        <v>0</v>
      </c>
      <c r="S94" s="3" t="s">
        <v>147</v>
      </c>
      <c r="T94" s="3" t="s">
        <v>304</v>
      </c>
      <c r="U94" s="3">
        <v>0</v>
      </c>
      <c r="V94" s="3">
        <v>23</v>
      </c>
      <c r="W94" s="3">
        <v>82</v>
      </c>
    </row>
    <row r="95" spans="1:23" ht="11.25" customHeight="1" x14ac:dyDescent="0.25">
      <c r="A95" s="3" t="s">
        <v>21</v>
      </c>
      <c r="B95" s="3" t="s">
        <v>33</v>
      </c>
      <c r="C95" s="3" t="s">
        <v>34</v>
      </c>
      <c r="D95" s="3" t="s">
        <v>40</v>
      </c>
      <c r="E95" s="3" t="s">
        <v>25</v>
      </c>
      <c r="F95" s="3" t="s">
        <v>25</v>
      </c>
      <c r="G95" s="3" t="s">
        <v>25</v>
      </c>
      <c r="H95" s="3" t="s">
        <v>35</v>
      </c>
      <c r="I95" s="6">
        <v>44562</v>
      </c>
      <c r="J95" s="4">
        <v>0</v>
      </c>
      <c r="K95" s="4">
        <v>0</v>
      </c>
      <c r="L95" s="4">
        <v>4.0890000000000004</v>
      </c>
      <c r="M95" s="4">
        <v>4.0890000000000004</v>
      </c>
      <c r="N95" s="4">
        <v>4.0890000000000004</v>
      </c>
      <c r="O95" s="4">
        <v>4.0890000000000004</v>
      </c>
      <c r="P95" s="4">
        <v>0</v>
      </c>
      <c r="Q95" s="3" t="s">
        <v>26</v>
      </c>
      <c r="R95" s="3">
        <v>0</v>
      </c>
      <c r="S95" s="3" t="s">
        <v>148</v>
      </c>
      <c r="T95" s="3" t="s">
        <v>305</v>
      </c>
      <c r="U95" s="3">
        <v>0</v>
      </c>
      <c r="V95" s="3">
        <v>23</v>
      </c>
      <c r="W95" s="3">
        <v>82</v>
      </c>
    </row>
    <row r="96" spans="1:23" ht="11.25" customHeight="1" x14ac:dyDescent="0.25">
      <c r="A96" s="3" t="s">
        <v>21</v>
      </c>
      <c r="B96" s="3" t="s">
        <v>33</v>
      </c>
      <c r="C96" s="3" t="s">
        <v>34</v>
      </c>
      <c r="D96" s="3" t="s">
        <v>40</v>
      </c>
      <c r="E96" s="3" t="s">
        <v>25</v>
      </c>
      <c r="F96" s="3" t="s">
        <v>25</v>
      </c>
      <c r="G96" s="3" t="s">
        <v>25</v>
      </c>
      <c r="H96" s="3" t="s">
        <v>35</v>
      </c>
      <c r="I96" s="6">
        <v>44593</v>
      </c>
      <c r="J96" s="4">
        <v>0</v>
      </c>
      <c r="K96" s="4">
        <v>0</v>
      </c>
      <c r="L96" s="4">
        <v>3.367</v>
      </c>
      <c r="M96" s="4">
        <v>3.367</v>
      </c>
      <c r="N96" s="4">
        <v>3.367</v>
      </c>
      <c r="O96" s="4">
        <v>3.367</v>
      </c>
      <c r="P96" s="4">
        <v>0</v>
      </c>
      <c r="Q96" s="3" t="s">
        <v>26</v>
      </c>
      <c r="R96" s="3">
        <v>0</v>
      </c>
      <c r="S96" s="3" t="s">
        <v>149</v>
      </c>
      <c r="T96" s="3" t="s">
        <v>306</v>
      </c>
      <c r="U96" s="3">
        <v>0</v>
      </c>
      <c r="V96" s="3">
        <v>23</v>
      </c>
      <c r="W96" s="3">
        <v>82</v>
      </c>
    </row>
    <row r="97" spans="1:23" ht="11.25" customHeight="1" x14ac:dyDescent="0.25">
      <c r="A97" s="3" t="s">
        <v>21</v>
      </c>
      <c r="B97" s="3" t="s">
        <v>33</v>
      </c>
      <c r="C97" s="3" t="s">
        <v>34</v>
      </c>
      <c r="D97" s="3" t="s">
        <v>40</v>
      </c>
      <c r="E97" s="3" t="s">
        <v>25</v>
      </c>
      <c r="F97" s="3" t="s">
        <v>25</v>
      </c>
      <c r="G97" s="3" t="s">
        <v>25</v>
      </c>
      <c r="H97" s="3" t="s">
        <v>35</v>
      </c>
      <c r="I97" s="6">
        <v>44621</v>
      </c>
      <c r="J97" s="4">
        <v>0</v>
      </c>
      <c r="K97" s="4">
        <v>0</v>
      </c>
      <c r="L97" s="4">
        <v>3.593</v>
      </c>
      <c r="M97" s="4">
        <v>3.593</v>
      </c>
      <c r="N97" s="4">
        <v>3.593</v>
      </c>
      <c r="O97" s="4">
        <v>3.593</v>
      </c>
      <c r="P97" s="4">
        <v>0</v>
      </c>
      <c r="Q97" s="3" t="s">
        <v>26</v>
      </c>
      <c r="R97" s="3">
        <v>0</v>
      </c>
      <c r="S97" s="3" t="s">
        <v>150</v>
      </c>
      <c r="T97" s="3" t="s">
        <v>307</v>
      </c>
      <c r="U97" s="3">
        <v>0</v>
      </c>
      <c r="V97" s="3">
        <v>23</v>
      </c>
      <c r="W97" s="3">
        <v>82</v>
      </c>
    </row>
    <row r="98" spans="1:23" ht="11.25" customHeight="1" x14ac:dyDescent="0.25">
      <c r="A98" s="3" t="s">
        <v>21</v>
      </c>
      <c r="B98" s="3" t="s">
        <v>33</v>
      </c>
      <c r="C98" s="3" t="s">
        <v>34</v>
      </c>
      <c r="D98" s="3" t="s">
        <v>45</v>
      </c>
      <c r="E98" s="3" t="s">
        <v>25</v>
      </c>
      <c r="F98" s="3" t="s">
        <v>25</v>
      </c>
      <c r="G98" s="3" t="s">
        <v>25</v>
      </c>
      <c r="H98" s="3" t="s">
        <v>36</v>
      </c>
      <c r="I98" s="6">
        <v>44287</v>
      </c>
      <c r="J98" s="4">
        <v>0</v>
      </c>
      <c r="K98" s="4">
        <v>0</v>
      </c>
      <c r="L98" s="4">
        <v>17.858000000000001</v>
      </c>
      <c r="M98" s="4">
        <v>17.858000000000001</v>
      </c>
      <c r="N98" s="4">
        <v>17.858000000000001</v>
      </c>
      <c r="O98" s="4">
        <v>17.858000000000001</v>
      </c>
      <c r="P98" s="4">
        <v>0</v>
      </c>
      <c r="Q98" s="3" t="s">
        <v>26</v>
      </c>
      <c r="R98" s="3">
        <v>0</v>
      </c>
      <c r="S98" s="3" t="s">
        <v>115</v>
      </c>
      <c r="T98" s="3" t="s">
        <v>284</v>
      </c>
      <c r="U98" s="3">
        <v>0</v>
      </c>
      <c r="V98" s="3">
        <v>24</v>
      </c>
      <c r="W98" s="3">
        <v>83</v>
      </c>
    </row>
    <row r="99" spans="1:23" ht="11.25" customHeight="1" x14ac:dyDescent="0.25">
      <c r="A99" s="3" t="s">
        <v>21</v>
      </c>
      <c r="B99" s="3" t="s">
        <v>33</v>
      </c>
      <c r="C99" s="3" t="s">
        <v>34</v>
      </c>
      <c r="D99" s="3" t="s">
        <v>45</v>
      </c>
      <c r="E99" s="3" t="s">
        <v>25</v>
      </c>
      <c r="F99" s="3" t="s">
        <v>25</v>
      </c>
      <c r="G99" s="3" t="s">
        <v>25</v>
      </c>
      <c r="H99" s="3" t="s">
        <v>36</v>
      </c>
      <c r="I99" s="6">
        <v>44317</v>
      </c>
      <c r="J99" s="4">
        <v>0</v>
      </c>
      <c r="K99" s="4">
        <v>0</v>
      </c>
      <c r="L99" s="4">
        <v>16.908000000000001</v>
      </c>
      <c r="M99" s="4">
        <v>16.908000000000001</v>
      </c>
      <c r="N99" s="4">
        <v>16.908000000000001</v>
      </c>
      <c r="O99" s="4">
        <v>16.908000000000001</v>
      </c>
      <c r="P99" s="4">
        <v>0</v>
      </c>
      <c r="Q99" s="3" t="s">
        <v>26</v>
      </c>
      <c r="R99" s="3">
        <v>0</v>
      </c>
      <c r="S99" s="3" t="s">
        <v>116</v>
      </c>
      <c r="T99" s="3" t="s">
        <v>285</v>
      </c>
      <c r="U99" s="3">
        <v>0</v>
      </c>
      <c r="V99" s="3">
        <v>24</v>
      </c>
      <c r="W99" s="3">
        <v>83</v>
      </c>
    </row>
    <row r="100" spans="1:23" ht="11.25" customHeight="1" x14ac:dyDescent="0.25">
      <c r="A100" s="3" t="s">
        <v>21</v>
      </c>
      <c r="B100" s="3" t="s">
        <v>33</v>
      </c>
      <c r="C100" s="3" t="s">
        <v>34</v>
      </c>
      <c r="D100" s="3" t="s">
        <v>45</v>
      </c>
      <c r="E100" s="3" t="s">
        <v>25</v>
      </c>
      <c r="F100" s="3" t="s">
        <v>25</v>
      </c>
      <c r="G100" s="3" t="s">
        <v>25</v>
      </c>
      <c r="H100" s="3" t="s">
        <v>36</v>
      </c>
      <c r="I100" s="6">
        <v>44348</v>
      </c>
      <c r="J100" s="4">
        <v>0</v>
      </c>
      <c r="K100" s="4">
        <v>0</v>
      </c>
      <c r="L100" s="4">
        <v>14.92</v>
      </c>
      <c r="M100" s="4">
        <v>14.92</v>
      </c>
      <c r="N100" s="4">
        <v>14.92</v>
      </c>
      <c r="O100" s="4">
        <v>14.92</v>
      </c>
      <c r="P100" s="4">
        <v>0</v>
      </c>
      <c r="Q100" s="3" t="s">
        <v>26</v>
      </c>
      <c r="R100" s="3">
        <v>0</v>
      </c>
      <c r="S100" s="3" t="s">
        <v>117</v>
      </c>
      <c r="T100" s="3" t="s">
        <v>286</v>
      </c>
      <c r="U100" s="3">
        <v>0</v>
      </c>
      <c r="V100" s="3">
        <v>24</v>
      </c>
      <c r="W100" s="3">
        <v>83</v>
      </c>
    </row>
    <row r="101" spans="1:23" ht="11.25" customHeight="1" x14ac:dyDescent="0.25">
      <c r="A101" s="3" t="s">
        <v>21</v>
      </c>
      <c r="B101" s="3" t="s">
        <v>33</v>
      </c>
      <c r="C101" s="3" t="s">
        <v>34</v>
      </c>
      <c r="D101" s="3" t="s">
        <v>45</v>
      </c>
      <c r="E101" s="3" t="s">
        <v>25</v>
      </c>
      <c r="F101" s="3" t="s">
        <v>25</v>
      </c>
      <c r="G101" s="3" t="s">
        <v>25</v>
      </c>
      <c r="H101" s="3" t="s">
        <v>36</v>
      </c>
      <c r="I101" s="6">
        <v>44378</v>
      </c>
      <c r="J101" s="4">
        <v>0</v>
      </c>
      <c r="K101" s="4">
        <v>0</v>
      </c>
      <c r="L101" s="4">
        <v>13.882999999999999</v>
      </c>
      <c r="M101" s="4">
        <v>13.882999999999999</v>
      </c>
      <c r="N101" s="4">
        <v>13.882999999999999</v>
      </c>
      <c r="O101" s="4">
        <v>13.882999999999999</v>
      </c>
      <c r="P101" s="4">
        <v>0</v>
      </c>
      <c r="Q101" s="3" t="s">
        <v>26</v>
      </c>
      <c r="R101" s="3">
        <v>0</v>
      </c>
      <c r="S101" s="3" t="s">
        <v>118</v>
      </c>
      <c r="T101" s="3" t="s">
        <v>287</v>
      </c>
      <c r="U101" s="3">
        <v>0</v>
      </c>
      <c r="V101" s="3">
        <v>24</v>
      </c>
      <c r="W101" s="3">
        <v>83</v>
      </c>
    </row>
    <row r="102" spans="1:23" ht="11.25" customHeight="1" x14ac:dyDescent="0.25">
      <c r="A102" s="3" t="s">
        <v>21</v>
      </c>
      <c r="B102" s="3" t="s">
        <v>33</v>
      </c>
      <c r="C102" s="3" t="s">
        <v>34</v>
      </c>
      <c r="D102" s="3" t="s">
        <v>45</v>
      </c>
      <c r="E102" s="3" t="s">
        <v>25</v>
      </c>
      <c r="F102" s="3" t="s">
        <v>25</v>
      </c>
      <c r="G102" s="3" t="s">
        <v>25</v>
      </c>
      <c r="H102" s="3" t="s">
        <v>36</v>
      </c>
      <c r="I102" s="6">
        <v>44409</v>
      </c>
      <c r="J102" s="4">
        <v>0</v>
      </c>
      <c r="K102" s="4">
        <v>0</v>
      </c>
      <c r="L102" s="4">
        <v>17.443000000000001</v>
      </c>
      <c r="M102" s="4">
        <v>17.443000000000001</v>
      </c>
      <c r="N102" s="4">
        <v>17.443000000000001</v>
      </c>
      <c r="O102" s="4">
        <v>17.443000000000001</v>
      </c>
      <c r="P102" s="4">
        <v>0</v>
      </c>
      <c r="Q102" s="3" t="s">
        <v>26</v>
      </c>
      <c r="R102" s="3">
        <v>0</v>
      </c>
      <c r="S102" s="3" t="s">
        <v>119</v>
      </c>
      <c r="T102" s="3" t="s">
        <v>288</v>
      </c>
      <c r="U102" s="3">
        <v>0</v>
      </c>
      <c r="V102" s="3">
        <v>24</v>
      </c>
      <c r="W102" s="3">
        <v>83</v>
      </c>
    </row>
    <row r="103" spans="1:23" ht="11.25" customHeight="1" x14ac:dyDescent="0.25">
      <c r="A103" s="3" t="s">
        <v>21</v>
      </c>
      <c r="B103" s="3" t="s">
        <v>33</v>
      </c>
      <c r="C103" s="3" t="s">
        <v>34</v>
      </c>
      <c r="D103" s="3" t="s">
        <v>45</v>
      </c>
      <c r="E103" s="3" t="s">
        <v>25</v>
      </c>
      <c r="F103" s="3" t="s">
        <v>25</v>
      </c>
      <c r="G103" s="3" t="s">
        <v>25</v>
      </c>
      <c r="H103" s="3" t="s">
        <v>36</v>
      </c>
      <c r="I103" s="6">
        <v>44440</v>
      </c>
      <c r="J103" s="4">
        <v>0</v>
      </c>
      <c r="K103" s="4">
        <v>0</v>
      </c>
      <c r="L103" s="4">
        <v>22.948</v>
      </c>
      <c r="M103" s="4">
        <v>22.948</v>
      </c>
      <c r="N103" s="4">
        <v>22.948</v>
      </c>
      <c r="O103" s="4">
        <v>22.948</v>
      </c>
      <c r="P103" s="4">
        <v>0</v>
      </c>
      <c r="Q103" s="3" t="s">
        <v>26</v>
      </c>
      <c r="R103" s="3">
        <v>0</v>
      </c>
      <c r="S103" s="3" t="s">
        <v>120</v>
      </c>
      <c r="T103" s="3" t="s">
        <v>289</v>
      </c>
      <c r="U103" s="3">
        <v>0</v>
      </c>
      <c r="V103" s="3">
        <v>24</v>
      </c>
      <c r="W103" s="3">
        <v>83</v>
      </c>
    </row>
    <row r="104" spans="1:23" ht="11.25" customHeight="1" x14ac:dyDescent="0.25">
      <c r="A104" s="3" t="s">
        <v>21</v>
      </c>
      <c r="B104" s="3" t="s">
        <v>33</v>
      </c>
      <c r="C104" s="3" t="s">
        <v>34</v>
      </c>
      <c r="D104" s="3" t="s">
        <v>45</v>
      </c>
      <c r="E104" s="3" t="s">
        <v>25</v>
      </c>
      <c r="F104" s="3" t="s">
        <v>25</v>
      </c>
      <c r="G104" s="3" t="s">
        <v>25</v>
      </c>
      <c r="H104" s="3" t="s">
        <v>36</v>
      </c>
      <c r="I104" s="6">
        <v>44470</v>
      </c>
      <c r="J104" s="4">
        <v>0</v>
      </c>
      <c r="K104" s="4">
        <v>0</v>
      </c>
      <c r="L104" s="4">
        <v>19.547999999999998</v>
      </c>
      <c r="M104" s="4">
        <v>19.547999999999998</v>
      </c>
      <c r="N104" s="4">
        <v>19.547999999999998</v>
      </c>
      <c r="O104" s="4">
        <v>19.547999999999998</v>
      </c>
      <c r="P104" s="4">
        <v>0</v>
      </c>
      <c r="Q104" s="3" t="s">
        <v>26</v>
      </c>
      <c r="R104" s="3">
        <v>0</v>
      </c>
      <c r="S104" s="3" t="s">
        <v>121</v>
      </c>
      <c r="T104" s="3" t="s">
        <v>290</v>
      </c>
      <c r="U104" s="3">
        <v>0</v>
      </c>
      <c r="V104" s="3">
        <v>24</v>
      </c>
      <c r="W104" s="3">
        <v>83</v>
      </c>
    </row>
    <row r="105" spans="1:23" ht="11.25" customHeight="1" x14ac:dyDescent="0.25">
      <c r="A105" s="3" t="s">
        <v>21</v>
      </c>
      <c r="B105" s="3" t="s">
        <v>33</v>
      </c>
      <c r="C105" s="3" t="s">
        <v>34</v>
      </c>
      <c r="D105" s="3" t="s">
        <v>45</v>
      </c>
      <c r="E105" s="3" t="s">
        <v>25</v>
      </c>
      <c r="F105" s="3" t="s">
        <v>25</v>
      </c>
      <c r="G105" s="3" t="s">
        <v>25</v>
      </c>
      <c r="H105" s="3" t="s">
        <v>36</v>
      </c>
      <c r="I105" s="6">
        <v>44501</v>
      </c>
      <c r="J105" s="4">
        <v>0</v>
      </c>
      <c r="K105" s="4">
        <v>0</v>
      </c>
      <c r="L105" s="4">
        <v>25.852</v>
      </c>
      <c r="M105" s="4">
        <v>25.852</v>
      </c>
      <c r="N105" s="4">
        <v>25.852</v>
      </c>
      <c r="O105" s="4">
        <v>25.852</v>
      </c>
      <c r="P105" s="4">
        <v>0</v>
      </c>
      <c r="Q105" s="3" t="s">
        <v>26</v>
      </c>
      <c r="R105" s="3">
        <v>0</v>
      </c>
      <c r="S105" s="3" t="s">
        <v>122</v>
      </c>
      <c r="T105" s="3" t="s">
        <v>291</v>
      </c>
      <c r="U105" s="3">
        <v>0</v>
      </c>
      <c r="V105" s="3">
        <v>24</v>
      </c>
      <c r="W105" s="3">
        <v>83</v>
      </c>
    </row>
    <row r="106" spans="1:23" ht="11.25" customHeight="1" x14ac:dyDescent="0.25">
      <c r="A106" s="3" t="s">
        <v>21</v>
      </c>
      <c r="B106" s="3" t="s">
        <v>33</v>
      </c>
      <c r="C106" s="3" t="s">
        <v>34</v>
      </c>
      <c r="D106" s="3" t="s">
        <v>45</v>
      </c>
      <c r="E106" s="3" t="s">
        <v>25</v>
      </c>
      <c r="F106" s="3" t="s">
        <v>25</v>
      </c>
      <c r="G106" s="3" t="s">
        <v>25</v>
      </c>
      <c r="H106" s="3" t="s">
        <v>36</v>
      </c>
      <c r="I106" s="6">
        <v>44531</v>
      </c>
      <c r="J106" s="4">
        <v>0</v>
      </c>
      <c r="K106" s="4">
        <v>0</v>
      </c>
      <c r="L106" s="4">
        <v>27.331</v>
      </c>
      <c r="M106" s="4">
        <v>27.331</v>
      </c>
      <c r="N106" s="4">
        <v>27.331</v>
      </c>
      <c r="O106" s="4">
        <v>27.331</v>
      </c>
      <c r="P106" s="4">
        <v>0</v>
      </c>
      <c r="Q106" s="3" t="s">
        <v>26</v>
      </c>
      <c r="R106" s="3">
        <v>0</v>
      </c>
      <c r="S106" s="3" t="s">
        <v>123</v>
      </c>
      <c r="T106" s="3" t="s">
        <v>292</v>
      </c>
      <c r="U106" s="3">
        <v>0</v>
      </c>
      <c r="V106" s="3">
        <v>24</v>
      </c>
      <c r="W106" s="3">
        <v>83</v>
      </c>
    </row>
    <row r="107" spans="1:23" ht="11.25" customHeight="1" x14ac:dyDescent="0.25">
      <c r="A107" s="3" t="s">
        <v>21</v>
      </c>
      <c r="B107" s="3" t="s">
        <v>33</v>
      </c>
      <c r="C107" s="3" t="s">
        <v>34</v>
      </c>
      <c r="D107" s="3" t="s">
        <v>45</v>
      </c>
      <c r="E107" s="3" t="s">
        <v>25</v>
      </c>
      <c r="F107" s="3" t="s">
        <v>25</v>
      </c>
      <c r="G107" s="3" t="s">
        <v>25</v>
      </c>
      <c r="H107" s="3" t="s">
        <v>36</v>
      </c>
      <c r="I107" s="6">
        <v>44562</v>
      </c>
      <c r="J107" s="4">
        <v>0</v>
      </c>
      <c r="K107" s="4">
        <v>0</v>
      </c>
      <c r="L107" s="4">
        <v>31.334</v>
      </c>
      <c r="M107" s="4">
        <v>31.334</v>
      </c>
      <c r="N107" s="4">
        <v>31.334</v>
      </c>
      <c r="O107" s="4">
        <v>31.334</v>
      </c>
      <c r="P107" s="4">
        <v>0</v>
      </c>
      <c r="Q107" s="3" t="s">
        <v>26</v>
      </c>
      <c r="R107" s="3">
        <v>0</v>
      </c>
      <c r="S107" s="3" t="s">
        <v>124</v>
      </c>
      <c r="T107" s="3" t="s">
        <v>293</v>
      </c>
      <c r="U107" s="3">
        <v>0</v>
      </c>
      <c r="V107" s="3">
        <v>24</v>
      </c>
      <c r="W107" s="3">
        <v>83</v>
      </c>
    </row>
    <row r="108" spans="1:23" ht="11.25" customHeight="1" x14ac:dyDescent="0.25">
      <c r="A108" s="3" t="s">
        <v>21</v>
      </c>
      <c r="B108" s="3" t="s">
        <v>33</v>
      </c>
      <c r="C108" s="3" t="s">
        <v>34</v>
      </c>
      <c r="D108" s="3" t="s">
        <v>45</v>
      </c>
      <c r="E108" s="3" t="s">
        <v>25</v>
      </c>
      <c r="F108" s="3" t="s">
        <v>25</v>
      </c>
      <c r="G108" s="3" t="s">
        <v>25</v>
      </c>
      <c r="H108" s="3" t="s">
        <v>36</v>
      </c>
      <c r="I108" s="6">
        <v>44593</v>
      </c>
      <c r="J108" s="4">
        <v>0</v>
      </c>
      <c r="K108" s="4">
        <v>0</v>
      </c>
      <c r="L108" s="4">
        <v>30.015000000000001</v>
      </c>
      <c r="M108" s="4">
        <v>30.015000000000001</v>
      </c>
      <c r="N108" s="4">
        <v>30.015000000000001</v>
      </c>
      <c r="O108" s="4">
        <v>30.015000000000001</v>
      </c>
      <c r="P108" s="4">
        <v>0</v>
      </c>
      <c r="Q108" s="3" t="s">
        <v>26</v>
      </c>
      <c r="R108" s="3">
        <v>0</v>
      </c>
      <c r="S108" s="3" t="s">
        <v>125</v>
      </c>
      <c r="T108" s="3" t="s">
        <v>294</v>
      </c>
      <c r="U108" s="3">
        <v>0</v>
      </c>
      <c r="V108" s="3">
        <v>24</v>
      </c>
      <c r="W108" s="3">
        <v>83</v>
      </c>
    </row>
    <row r="109" spans="1:23" ht="11.25" customHeight="1" x14ac:dyDescent="0.25">
      <c r="A109" s="3" t="s">
        <v>21</v>
      </c>
      <c r="B109" s="3" t="s">
        <v>33</v>
      </c>
      <c r="C109" s="3" t="s">
        <v>34</v>
      </c>
      <c r="D109" s="3" t="s">
        <v>45</v>
      </c>
      <c r="E109" s="3" t="s">
        <v>25</v>
      </c>
      <c r="F109" s="3" t="s">
        <v>25</v>
      </c>
      <c r="G109" s="3" t="s">
        <v>25</v>
      </c>
      <c r="H109" s="3" t="s">
        <v>36</v>
      </c>
      <c r="I109" s="6">
        <v>44621</v>
      </c>
      <c r="J109" s="4">
        <v>0</v>
      </c>
      <c r="K109" s="4">
        <v>0</v>
      </c>
      <c r="L109" s="4">
        <v>42.46</v>
      </c>
      <c r="M109" s="4">
        <v>42.46</v>
      </c>
      <c r="N109" s="4">
        <v>42.46</v>
      </c>
      <c r="O109" s="4">
        <v>42.46</v>
      </c>
      <c r="P109" s="4">
        <v>0</v>
      </c>
      <c r="Q109" s="3" t="s">
        <v>26</v>
      </c>
      <c r="R109" s="3">
        <v>0</v>
      </c>
      <c r="S109" s="3" t="s">
        <v>126</v>
      </c>
      <c r="T109" s="3" t="s">
        <v>295</v>
      </c>
      <c r="U109" s="3">
        <v>0</v>
      </c>
      <c r="V109" s="3">
        <v>24</v>
      </c>
      <c r="W109" s="3">
        <v>83</v>
      </c>
    </row>
    <row r="110" spans="1:23" ht="11.25" customHeight="1" x14ac:dyDescent="0.25">
      <c r="A110" s="3" t="s">
        <v>21</v>
      </c>
      <c r="B110" s="3" t="s">
        <v>33</v>
      </c>
      <c r="C110" s="3" t="s">
        <v>34</v>
      </c>
      <c r="D110" s="3" t="s">
        <v>45</v>
      </c>
      <c r="E110" s="3" t="s">
        <v>25</v>
      </c>
      <c r="F110" s="3" t="s">
        <v>25</v>
      </c>
      <c r="G110" s="3" t="s">
        <v>25</v>
      </c>
      <c r="H110" s="3" t="s">
        <v>25</v>
      </c>
      <c r="I110" s="6">
        <v>44287</v>
      </c>
      <c r="J110" s="4">
        <v>240</v>
      </c>
      <c r="K110" s="4">
        <v>240</v>
      </c>
      <c r="L110" s="4">
        <v>0</v>
      </c>
      <c r="M110" s="4">
        <v>0</v>
      </c>
      <c r="N110" s="4">
        <v>0</v>
      </c>
      <c r="O110" s="4">
        <v>0</v>
      </c>
      <c r="P110" s="4">
        <v>2</v>
      </c>
      <c r="Q110" s="3" t="s">
        <v>26</v>
      </c>
      <c r="R110" s="3">
        <v>0</v>
      </c>
      <c r="S110" s="3" t="s">
        <v>127</v>
      </c>
      <c r="U110" s="3">
        <v>22</v>
      </c>
      <c r="V110" s="3">
        <v>0</v>
      </c>
      <c r="W110" s="3">
        <v>0</v>
      </c>
    </row>
    <row r="111" spans="1:23" ht="11.25" customHeight="1" x14ac:dyDescent="0.25">
      <c r="A111" s="3" t="s">
        <v>21</v>
      </c>
      <c r="B111" s="3" t="s">
        <v>33</v>
      </c>
      <c r="C111" s="3" t="s">
        <v>34</v>
      </c>
      <c r="D111" s="3" t="s">
        <v>45</v>
      </c>
      <c r="E111" s="3" t="s">
        <v>25</v>
      </c>
      <c r="F111" s="3" t="s">
        <v>25</v>
      </c>
      <c r="G111" s="3" t="s">
        <v>25</v>
      </c>
      <c r="H111" s="3" t="s">
        <v>25</v>
      </c>
      <c r="I111" s="6">
        <v>44317</v>
      </c>
      <c r="J111" s="4">
        <v>240</v>
      </c>
      <c r="K111" s="4">
        <v>240</v>
      </c>
      <c r="L111" s="4">
        <v>0</v>
      </c>
      <c r="M111" s="4">
        <v>0</v>
      </c>
      <c r="N111" s="4">
        <v>0</v>
      </c>
      <c r="O111" s="4">
        <v>0</v>
      </c>
      <c r="P111" s="4">
        <v>2</v>
      </c>
      <c r="Q111" s="3" t="s">
        <v>26</v>
      </c>
      <c r="R111" s="3">
        <v>0</v>
      </c>
      <c r="S111" s="3" t="s">
        <v>128</v>
      </c>
      <c r="U111" s="3">
        <v>22</v>
      </c>
      <c r="V111" s="3">
        <v>0</v>
      </c>
      <c r="W111" s="3">
        <v>0</v>
      </c>
    </row>
    <row r="112" spans="1:23" ht="11.25" customHeight="1" x14ac:dyDescent="0.25">
      <c r="A112" s="3" t="s">
        <v>21</v>
      </c>
      <c r="B112" s="3" t="s">
        <v>33</v>
      </c>
      <c r="C112" s="3" t="s">
        <v>34</v>
      </c>
      <c r="D112" s="3" t="s">
        <v>45</v>
      </c>
      <c r="E112" s="3" t="s">
        <v>25</v>
      </c>
      <c r="F112" s="3" t="s">
        <v>25</v>
      </c>
      <c r="G112" s="3" t="s">
        <v>25</v>
      </c>
      <c r="H112" s="3" t="s">
        <v>25</v>
      </c>
      <c r="I112" s="6">
        <v>44348</v>
      </c>
      <c r="J112" s="4">
        <v>240</v>
      </c>
      <c r="K112" s="4">
        <v>240</v>
      </c>
      <c r="L112" s="4">
        <v>0</v>
      </c>
      <c r="M112" s="4">
        <v>0</v>
      </c>
      <c r="N112" s="4">
        <v>0</v>
      </c>
      <c r="O112" s="4">
        <v>0</v>
      </c>
      <c r="P112" s="4">
        <v>2</v>
      </c>
      <c r="Q112" s="3" t="s">
        <v>26</v>
      </c>
      <c r="R112" s="3">
        <v>0</v>
      </c>
      <c r="S112" s="3" t="s">
        <v>129</v>
      </c>
      <c r="U112" s="3">
        <v>22</v>
      </c>
      <c r="V112" s="3">
        <v>0</v>
      </c>
      <c r="W112" s="3">
        <v>0</v>
      </c>
    </row>
    <row r="113" spans="1:23" ht="11.25" customHeight="1" x14ac:dyDescent="0.25">
      <c r="A113" s="3" t="s">
        <v>21</v>
      </c>
      <c r="B113" s="3" t="s">
        <v>33</v>
      </c>
      <c r="C113" s="3" t="s">
        <v>34</v>
      </c>
      <c r="D113" s="3" t="s">
        <v>45</v>
      </c>
      <c r="E113" s="3" t="s">
        <v>25</v>
      </c>
      <c r="F113" s="3" t="s">
        <v>25</v>
      </c>
      <c r="G113" s="3" t="s">
        <v>25</v>
      </c>
      <c r="H113" s="3" t="s">
        <v>25</v>
      </c>
      <c r="I113" s="6">
        <v>44378</v>
      </c>
      <c r="J113" s="4">
        <v>240</v>
      </c>
      <c r="K113" s="4">
        <v>240</v>
      </c>
      <c r="L113" s="4">
        <v>0</v>
      </c>
      <c r="M113" s="4">
        <v>0</v>
      </c>
      <c r="N113" s="4">
        <v>0</v>
      </c>
      <c r="O113" s="4">
        <v>0</v>
      </c>
      <c r="P113" s="4">
        <v>2</v>
      </c>
      <c r="Q113" s="3" t="s">
        <v>26</v>
      </c>
      <c r="R113" s="3">
        <v>0</v>
      </c>
      <c r="S113" s="3" t="s">
        <v>130</v>
      </c>
      <c r="U113" s="3">
        <v>22</v>
      </c>
      <c r="V113" s="3">
        <v>0</v>
      </c>
      <c r="W113" s="3">
        <v>0</v>
      </c>
    </row>
    <row r="114" spans="1:23" ht="11.25" customHeight="1" x14ac:dyDescent="0.25">
      <c r="A114" s="3" t="s">
        <v>21</v>
      </c>
      <c r="B114" s="3" t="s">
        <v>33</v>
      </c>
      <c r="C114" s="3" t="s">
        <v>34</v>
      </c>
      <c r="D114" s="3" t="s">
        <v>45</v>
      </c>
      <c r="E114" s="3" t="s">
        <v>25</v>
      </c>
      <c r="F114" s="3" t="s">
        <v>25</v>
      </c>
      <c r="G114" s="3" t="s">
        <v>25</v>
      </c>
      <c r="H114" s="3" t="s">
        <v>25</v>
      </c>
      <c r="I114" s="6">
        <v>44409</v>
      </c>
      <c r="J114" s="4">
        <v>240</v>
      </c>
      <c r="K114" s="4">
        <v>240</v>
      </c>
      <c r="L114" s="4">
        <v>0</v>
      </c>
      <c r="M114" s="4">
        <v>0</v>
      </c>
      <c r="N114" s="4">
        <v>0</v>
      </c>
      <c r="O114" s="4">
        <v>0</v>
      </c>
      <c r="P114" s="4">
        <v>2</v>
      </c>
      <c r="Q114" s="3" t="s">
        <v>26</v>
      </c>
      <c r="R114" s="3">
        <v>0</v>
      </c>
      <c r="S114" s="3" t="s">
        <v>131</v>
      </c>
      <c r="U114" s="3">
        <v>22</v>
      </c>
      <c r="V114" s="3">
        <v>0</v>
      </c>
      <c r="W114" s="3">
        <v>0</v>
      </c>
    </row>
    <row r="115" spans="1:23" ht="11.25" customHeight="1" x14ac:dyDescent="0.25">
      <c r="A115" s="3" t="s">
        <v>21</v>
      </c>
      <c r="B115" s="3" t="s">
        <v>33</v>
      </c>
      <c r="C115" s="3" t="s">
        <v>34</v>
      </c>
      <c r="D115" s="3" t="s">
        <v>45</v>
      </c>
      <c r="E115" s="3" t="s">
        <v>25</v>
      </c>
      <c r="F115" s="3" t="s">
        <v>25</v>
      </c>
      <c r="G115" s="3" t="s">
        <v>25</v>
      </c>
      <c r="H115" s="3" t="s">
        <v>25</v>
      </c>
      <c r="I115" s="6">
        <v>44440</v>
      </c>
      <c r="J115" s="4">
        <v>240</v>
      </c>
      <c r="K115" s="4">
        <v>240</v>
      </c>
      <c r="L115" s="4">
        <v>0</v>
      </c>
      <c r="M115" s="4">
        <v>0</v>
      </c>
      <c r="N115" s="4">
        <v>0</v>
      </c>
      <c r="O115" s="4">
        <v>0</v>
      </c>
      <c r="P115" s="4">
        <v>2</v>
      </c>
      <c r="Q115" s="3" t="s">
        <v>26</v>
      </c>
      <c r="R115" s="3">
        <v>0</v>
      </c>
      <c r="S115" s="3" t="s">
        <v>132</v>
      </c>
      <c r="U115" s="3">
        <v>22</v>
      </c>
      <c r="V115" s="3">
        <v>0</v>
      </c>
      <c r="W115" s="3">
        <v>0</v>
      </c>
    </row>
    <row r="116" spans="1:23" ht="11.25" customHeight="1" x14ac:dyDescent="0.25">
      <c r="A116" s="3" t="s">
        <v>21</v>
      </c>
      <c r="B116" s="3" t="s">
        <v>33</v>
      </c>
      <c r="C116" s="3" t="s">
        <v>34</v>
      </c>
      <c r="D116" s="3" t="s">
        <v>45</v>
      </c>
      <c r="E116" s="3" t="s">
        <v>25</v>
      </c>
      <c r="F116" s="3" t="s">
        <v>25</v>
      </c>
      <c r="G116" s="3" t="s">
        <v>25</v>
      </c>
      <c r="H116" s="3" t="s">
        <v>25</v>
      </c>
      <c r="I116" s="6">
        <v>44470</v>
      </c>
      <c r="J116" s="4">
        <v>240</v>
      </c>
      <c r="K116" s="4">
        <v>240</v>
      </c>
      <c r="L116" s="4">
        <v>0</v>
      </c>
      <c r="M116" s="4">
        <v>0</v>
      </c>
      <c r="N116" s="4">
        <v>0</v>
      </c>
      <c r="O116" s="4">
        <v>0</v>
      </c>
      <c r="P116" s="4">
        <v>2</v>
      </c>
      <c r="Q116" s="3" t="s">
        <v>26</v>
      </c>
      <c r="R116" s="3">
        <v>0</v>
      </c>
      <c r="S116" s="3" t="s">
        <v>133</v>
      </c>
      <c r="U116" s="3">
        <v>22</v>
      </c>
      <c r="V116" s="3">
        <v>0</v>
      </c>
      <c r="W116" s="3">
        <v>0</v>
      </c>
    </row>
    <row r="117" spans="1:23" ht="11.25" customHeight="1" x14ac:dyDescent="0.25">
      <c r="A117" s="3" t="s">
        <v>21</v>
      </c>
      <c r="B117" s="3" t="s">
        <v>33</v>
      </c>
      <c r="C117" s="3" t="s">
        <v>34</v>
      </c>
      <c r="D117" s="3" t="s">
        <v>45</v>
      </c>
      <c r="E117" s="3" t="s">
        <v>25</v>
      </c>
      <c r="F117" s="3" t="s">
        <v>25</v>
      </c>
      <c r="G117" s="3" t="s">
        <v>25</v>
      </c>
      <c r="H117" s="3" t="s">
        <v>25</v>
      </c>
      <c r="I117" s="6">
        <v>44501</v>
      </c>
      <c r="J117" s="4">
        <v>241</v>
      </c>
      <c r="K117" s="4">
        <v>241</v>
      </c>
      <c r="L117" s="4">
        <v>0</v>
      </c>
      <c r="M117" s="4">
        <v>0</v>
      </c>
      <c r="N117" s="4">
        <v>0</v>
      </c>
      <c r="O117" s="4">
        <v>0</v>
      </c>
      <c r="P117" s="4">
        <v>2</v>
      </c>
      <c r="Q117" s="3" t="s">
        <v>26</v>
      </c>
      <c r="R117" s="3">
        <v>0</v>
      </c>
      <c r="S117" s="3" t="s">
        <v>134</v>
      </c>
      <c r="U117" s="3">
        <v>22</v>
      </c>
      <c r="V117" s="3">
        <v>0</v>
      </c>
      <c r="W117" s="3">
        <v>0</v>
      </c>
    </row>
    <row r="118" spans="1:23" ht="11.25" customHeight="1" x14ac:dyDescent="0.25">
      <c r="A118" s="3" t="s">
        <v>21</v>
      </c>
      <c r="B118" s="3" t="s">
        <v>33</v>
      </c>
      <c r="C118" s="3" t="s">
        <v>34</v>
      </c>
      <c r="D118" s="3" t="s">
        <v>45</v>
      </c>
      <c r="E118" s="3" t="s">
        <v>25</v>
      </c>
      <c r="F118" s="3" t="s">
        <v>25</v>
      </c>
      <c r="G118" s="3" t="s">
        <v>25</v>
      </c>
      <c r="H118" s="3" t="s">
        <v>25</v>
      </c>
      <c r="I118" s="6">
        <v>44531</v>
      </c>
      <c r="J118" s="4">
        <v>240</v>
      </c>
      <c r="K118" s="4">
        <v>240</v>
      </c>
      <c r="L118" s="4">
        <v>0</v>
      </c>
      <c r="M118" s="4">
        <v>0</v>
      </c>
      <c r="N118" s="4">
        <v>0</v>
      </c>
      <c r="O118" s="4">
        <v>0</v>
      </c>
      <c r="P118" s="4">
        <v>2</v>
      </c>
      <c r="Q118" s="3" t="s">
        <v>26</v>
      </c>
      <c r="R118" s="3">
        <v>0</v>
      </c>
      <c r="S118" s="3" t="s">
        <v>135</v>
      </c>
      <c r="U118" s="3">
        <v>22</v>
      </c>
      <c r="V118" s="3">
        <v>0</v>
      </c>
      <c r="W118" s="3">
        <v>0</v>
      </c>
    </row>
    <row r="119" spans="1:23" ht="11.25" customHeight="1" x14ac:dyDescent="0.25">
      <c r="A119" s="3" t="s">
        <v>21</v>
      </c>
      <c r="B119" s="3" t="s">
        <v>33</v>
      </c>
      <c r="C119" s="3" t="s">
        <v>34</v>
      </c>
      <c r="D119" s="3" t="s">
        <v>45</v>
      </c>
      <c r="E119" s="3" t="s">
        <v>25</v>
      </c>
      <c r="F119" s="3" t="s">
        <v>25</v>
      </c>
      <c r="G119" s="3" t="s">
        <v>25</v>
      </c>
      <c r="H119" s="3" t="s">
        <v>25</v>
      </c>
      <c r="I119" s="6">
        <v>44562</v>
      </c>
      <c r="J119" s="4">
        <v>244</v>
      </c>
      <c r="K119" s="4">
        <v>244</v>
      </c>
      <c r="L119" s="4">
        <v>0</v>
      </c>
      <c r="M119" s="4">
        <v>0</v>
      </c>
      <c r="N119" s="4">
        <v>0</v>
      </c>
      <c r="O119" s="4">
        <v>0</v>
      </c>
      <c r="P119" s="4">
        <v>2</v>
      </c>
      <c r="Q119" s="3" t="s">
        <v>26</v>
      </c>
      <c r="R119" s="3">
        <v>0</v>
      </c>
      <c r="S119" s="3" t="s">
        <v>136</v>
      </c>
      <c r="U119" s="3">
        <v>22</v>
      </c>
      <c r="V119" s="3">
        <v>0</v>
      </c>
      <c r="W119" s="3">
        <v>0</v>
      </c>
    </row>
    <row r="120" spans="1:23" ht="11.25" customHeight="1" x14ac:dyDescent="0.25">
      <c r="A120" s="3" t="s">
        <v>21</v>
      </c>
      <c r="B120" s="3" t="s">
        <v>33</v>
      </c>
      <c r="C120" s="3" t="s">
        <v>34</v>
      </c>
      <c r="D120" s="3" t="s">
        <v>45</v>
      </c>
      <c r="E120" s="3" t="s">
        <v>25</v>
      </c>
      <c r="F120" s="3" t="s">
        <v>25</v>
      </c>
      <c r="G120" s="3" t="s">
        <v>25</v>
      </c>
      <c r="H120" s="3" t="s">
        <v>25</v>
      </c>
      <c r="I120" s="6">
        <v>44593</v>
      </c>
      <c r="J120" s="4">
        <v>240</v>
      </c>
      <c r="K120" s="4">
        <v>240</v>
      </c>
      <c r="L120" s="4">
        <v>0</v>
      </c>
      <c r="M120" s="4">
        <v>0</v>
      </c>
      <c r="N120" s="4">
        <v>0</v>
      </c>
      <c r="O120" s="4">
        <v>0</v>
      </c>
      <c r="P120" s="4">
        <v>2</v>
      </c>
      <c r="Q120" s="3" t="s">
        <v>26</v>
      </c>
      <c r="R120" s="3">
        <v>0</v>
      </c>
      <c r="S120" s="3" t="s">
        <v>137</v>
      </c>
      <c r="U120" s="3">
        <v>22</v>
      </c>
      <c r="V120" s="3">
        <v>0</v>
      </c>
      <c r="W120" s="3">
        <v>0</v>
      </c>
    </row>
    <row r="121" spans="1:23" ht="11.25" customHeight="1" x14ac:dyDescent="0.25">
      <c r="A121" s="3" t="s">
        <v>21</v>
      </c>
      <c r="B121" s="3" t="s">
        <v>33</v>
      </c>
      <c r="C121" s="3" t="s">
        <v>34</v>
      </c>
      <c r="D121" s="3" t="s">
        <v>45</v>
      </c>
      <c r="E121" s="3" t="s">
        <v>25</v>
      </c>
      <c r="F121" s="3" t="s">
        <v>25</v>
      </c>
      <c r="G121" s="3" t="s">
        <v>25</v>
      </c>
      <c r="H121" s="3" t="s">
        <v>25</v>
      </c>
      <c r="I121" s="6">
        <v>44621</v>
      </c>
      <c r="J121" s="4">
        <v>244</v>
      </c>
      <c r="K121" s="4">
        <v>244</v>
      </c>
      <c r="L121" s="4">
        <v>0</v>
      </c>
      <c r="M121" s="4">
        <v>0</v>
      </c>
      <c r="N121" s="4">
        <v>0</v>
      </c>
      <c r="O121" s="4">
        <v>0</v>
      </c>
      <c r="P121" s="4">
        <v>2</v>
      </c>
      <c r="Q121" s="3" t="s">
        <v>26</v>
      </c>
      <c r="R121" s="3">
        <v>0</v>
      </c>
      <c r="S121" s="3" t="s">
        <v>138</v>
      </c>
      <c r="U121" s="3">
        <v>22</v>
      </c>
      <c r="V121" s="3">
        <v>0</v>
      </c>
      <c r="W121" s="3">
        <v>0</v>
      </c>
    </row>
    <row r="122" spans="1:23" ht="11.25" customHeight="1" x14ac:dyDescent="0.25">
      <c r="A122" s="3" t="s">
        <v>21</v>
      </c>
      <c r="B122" s="3" t="s">
        <v>33</v>
      </c>
      <c r="C122" s="3" t="s">
        <v>34</v>
      </c>
      <c r="D122" s="3" t="s">
        <v>45</v>
      </c>
      <c r="E122" s="3" t="s">
        <v>25</v>
      </c>
      <c r="F122" s="3" t="s">
        <v>25</v>
      </c>
      <c r="G122" s="3" t="s">
        <v>25</v>
      </c>
      <c r="H122" s="3" t="s">
        <v>35</v>
      </c>
      <c r="I122" s="6">
        <v>44287</v>
      </c>
      <c r="J122" s="4">
        <v>0</v>
      </c>
      <c r="K122" s="4">
        <v>0</v>
      </c>
      <c r="L122" s="4">
        <v>0.89200000000000002</v>
      </c>
      <c r="M122" s="4">
        <v>0.89200000000000002</v>
      </c>
      <c r="N122" s="4">
        <v>0.89200000000000002</v>
      </c>
      <c r="O122" s="4">
        <v>0.89200000000000002</v>
      </c>
      <c r="P122" s="4">
        <v>0</v>
      </c>
      <c r="Q122" s="3" t="s">
        <v>26</v>
      </c>
      <c r="R122" s="3">
        <v>0</v>
      </c>
      <c r="S122" s="3" t="s">
        <v>139</v>
      </c>
      <c r="T122" s="3" t="s">
        <v>296</v>
      </c>
      <c r="U122" s="3">
        <v>0</v>
      </c>
      <c r="V122" s="3">
        <v>23</v>
      </c>
      <c r="W122" s="3">
        <v>82</v>
      </c>
    </row>
    <row r="123" spans="1:23" ht="11.25" customHeight="1" x14ac:dyDescent="0.25">
      <c r="A123" s="3" t="s">
        <v>21</v>
      </c>
      <c r="B123" s="3" t="s">
        <v>33</v>
      </c>
      <c r="C123" s="3" t="s">
        <v>34</v>
      </c>
      <c r="D123" s="3" t="s">
        <v>45</v>
      </c>
      <c r="E123" s="3" t="s">
        <v>25</v>
      </c>
      <c r="F123" s="3" t="s">
        <v>25</v>
      </c>
      <c r="G123" s="3" t="s">
        <v>25</v>
      </c>
      <c r="H123" s="3" t="s">
        <v>35</v>
      </c>
      <c r="I123" s="6">
        <v>44317</v>
      </c>
      <c r="J123" s="4">
        <v>0</v>
      </c>
      <c r="K123" s="4">
        <v>0</v>
      </c>
      <c r="L123" s="4">
        <v>0.84299999999999997</v>
      </c>
      <c r="M123" s="4">
        <v>0.84299999999999997</v>
      </c>
      <c r="N123" s="4">
        <v>0.84299999999999997</v>
      </c>
      <c r="O123" s="4">
        <v>0.84299999999999997</v>
      </c>
      <c r="P123" s="4">
        <v>0</v>
      </c>
      <c r="Q123" s="3" t="s">
        <v>26</v>
      </c>
      <c r="R123" s="3">
        <v>0</v>
      </c>
      <c r="S123" s="3" t="s">
        <v>140</v>
      </c>
      <c r="T123" s="3" t="s">
        <v>297</v>
      </c>
      <c r="U123" s="3">
        <v>0</v>
      </c>
      <c r="V123" s="3">
        <v>23</v>
      </c>
      <c r="W123" s="3">
        <v>82</v>
      </c>
    </row>
    <row r="124" spans="1:23" ht="11.25" customHeight="1" x14ac:dyDescent="0.25">
      <c r="A124" s="3" t="s">
        <v>21</v>
      </c>
      <c r="B124" s="3" t="s">
        <v>33</v>
      </c>
      <c r="C124" s="3" t="s">
        <v>34</v>
      </c>
      <c r="D124" s="3" t="s">
        <v>45</v>
      </c>
      <c r="E124" s="3" t="s">
        <v>25</v>
      </c>
      <c r="F124" s="3" t="s">
        <v>25</v>
      </c>
      <c r="G124" s="3" t="s">
        <v>25</v>
      </c>
      <c r="H124" s="3" t="s">
        <v>35</v>
      </c>
      <c r="I124" s="6">
        <v>44348</v>
      </c>
      <c r="J124" s="4">
        <v>0</v>
      </c>
      <c r="K124" s="4">
        <v>0</v>
      </c>
      <c r="L124" s="4">
        <v>0.93100000000000005</v>
      </c>
      <c r="M124" s="4">
        <v>0.93100000000000005</v>
      </c>
      <c r="N124" s="4">
        <v>0.93100000000000005</v>
      </c>
      <c r="O124" s="4">
        <v>0.93100000000000005</v>
      </c>
      <c r="P124" s="4">
        <v>0</v>
      </c>
      <c r="Q124" s="3" t="s">
        <v>26</v>
      </c>
      <c r="R124" s="3">
        <v>0</v>
      </c>
      <c r="S124" s="3" t="s">
        <v>141</v>
      </c>
      <c r="T124" s="3" t="s">
        <v>298</v>
      </c>
      <c r="U124" s="3">
        <v>0</v>
      </c>
      <c r="V124" s="3">
        <v>23</v>
      </c>
      <c r="W124" s="3">
        <v>82</v>
      </c>
    </row>
    <row r="125" spans="1:23" ht="11.25" customHeight="1" x14ac:dyDescent="0.25">
      <c r="A125" s="3" t="s">
        <v>21</v>
      </c>
      <c r="B125" s="3" t="s">
        <v>33</v>
      </c>
      <c r="C125" s="3" t="s">
        <v>34</v>
      </c>
      <c r="D125" s="3" t="s">
        <v>45</v>
      </c>
      <c r="E125" s="3" t="s">
        <v>25</v>
      </c>
      <c r="F125" s="3" t="s">
        <v>25</v>
      </c>
      <c r="G125" s="3" t="s">
        <v>25</v>
      </c>
      <c r="H125" s="3" t="s">
        <v>35</v>
      </c>
      <c r="I125" s="6">
        <v>44378</v>
      </c>
      <c r="J125" s="4">
        <v>0</v>
      </c>
      <c r="K125" s="4">
        <v>0</v>
      </c>
      <c r="L125" s="4">
        <v>0.93700000000000006</v>
      </c>
      <c r="M125" s="4">
        <v>0.93700000000000006</v>
      </c>
      <c r="N125" s="4">
        <v>0.93700000000000006</v>
      </c>
      <c r="O125" s="4">
        <v>0.93700000000000006</v>
      </c>
      <c r="P125" s="4">
        <v>0</v>
      </c>
      <c r="Q125" s="3" t="s">
        <v>26</v>
      </c>
      <c r="R125" s="3">
        <v>0</v>
      </c>
      <c r="S125" s="3" t="s">
        <v>142</v>
      </c>
      <c r="T125" s="3" t="s">
        <v>299</v>
      </c>
      <c r="U125" s="3">
        <v>0</v>
      </c>
      <c r="V125" s="3">
        <v>23</v>
      </c>
      <c r="W125" s="3">
        <v>82</v>
      </c>
    </row>
    <row r="126" spans="1:23" ht="11.25" customHeight="1" x14ac:dyDescent="0.25">
      <c r="A126" s="3" t="s">
        <v>21</v>
      </c>
      <c r="B126" s="3" t="s">
        <v>33</v>
      </c>
      <c r="C126" s="3" t="s">
        <v>34</v>
      </c>
      <c r="D126" s="3" t="s">
        <v>45</v>
      </c>
      <c r="E126" s="3" t="s">
        <v>25</v>
      </c>
      <c r="F126" s="3" t="s">
        <v>25</v>
      </c>
      <c r="G126" s="3" t="s">
        <v>25</v>
      </c>
      <c r="H126" s="3" t="s">
        <v>35</v>
      </c>
      <c r="I126" s="6">
        <v>44409</v>
      </c>
      <c r="J126" s="4">
        <v>0</v>
      </c>
      <c r="K126" s="4">
        <v>0</v>
      </c>
      <c r="L126" s="4">
        <v>1.1100000000000001</v>
      </c>
      <c r="M126" s="4">
        <v>1.1100000000000001</v>
      </c>
      <c r="N126" s="4">
        <v>1.1100000000000001</v>
      </c>
      <c r="O126" s="4">
        <v>1.1100000000000001</v>
      </c>
      <c r="P126" s="4">
        <v>0</v>
      </c>
      <c r="Q126" s="3" t="s">
        <v>26</v>
      </c>
      <c r="R126" s="3">
        <v>0</v>
      </c>
      <c r="S126" s="3" t="s">
        <v>143</v>
      </c>
      <c r="T126" s="3" t="s">
        <v>300</v>
      </c>
      <c r="U126" s="3">
        <v>0</v>
      </c>
      <c r="V126" s="3">
        <v>23</v>
      </c>
      <c r="W126" s="3">
        <v>82</v>
      </c>
    </row>
    <row r="127" spans="1:23" ht="11.25" customHeight="1" x14ac:dyDescent="0.25">
      <c r="A127" s="3" t="s">
        <v>21</v>
      </c>
      <c r="B127" s="3" t="s">
        <v>33</v>
      </c>
      <c r="C127" s="3" t="s">
        <v>34</v>
      </c>
      <c r="D127" s="3" t="s">
        <v>45</v>
      </c>
      <c r="E127" s="3" t="s">
        <v>25</v>
      </c>
      <c r="F127" s="3" t="s">
        <v>25</v>
      </c>
      <c r="G127" s="3" t="s">
        <v>25</v>
      </c>
      <c r="H127" s="3" t="s">
        <v>35</v>
      </c>
      <c r="I127" s="6">
        <v>44440</v>
      </c>
      <c r="J127" s="4">
        <v>0</v>
      </c>
      <c r="K127" s="4">
        <v>0</v>
      </c>
      <c r="L127" s="4">
        <v>1.2989999999999999</v>
      </c>
      <c r="M127" s="4">
        <v>1.2989999999999999</v>
      </c>
      <c r="N127" s="4">
        <v>1.2989999999999999</v>
      </c>
      <c r="O127" s="4">
        <v>1.2989999999999999</v>
      </c>
      <c r="P127" s="4">
        <v>0</v>
      </c>
      <c r="Q127" s="3" t="s">
        <v>26</v>
      </c>
      <c r="R127" s="3">
        <v>0</v>
      </c>
      <c r="S127" s="3" t="s">
        <v>144</v>
      </c>
      <c r="T127" s="3" t="s">
        <v>301</v>
      </c>
      <c r="U127" s="3">
        <v>0</v>
      </c>
      <c r="V127" s="3">
        <v>23</v>
      </c>
      <c r="W127" s="3">
        <v>82</v>
      </c>
    </row>
    <row r="128" spans="1:23" ht="11.25" customHeight="1" x14ac:dyDescent="0.25">
      <c r="A128" s="3" t="s">
        <v>21</v>
      </c>
      <c r="B128" s="3" t="s">
        <v>33</v>
      </c>
      <c r="C128" s="3" t="s">
        <v>34</v>
      </c>
      <c r="D128" s="3" t="s">
        <v>45</v>
      </c>
      <c r="E128" s="3" t="s">
        <v>25</v>
      </c>
      <c r="F128" s="3" t="s">
        <v>25</v>
      </c>
      <c r="G128" s="3" t="s">
        <v>25</v>
      </c>
      <c r="H128" s="3" t="s">
        <v>35</v>
      </c>
      <c r="I128" s="6">
        <v>44470</v>
      </c>
      <c r="J128" s="4">
        <v>0</v>
      </c>
      <c r="K128" s="4">
        <v>0</v>
      </c>
      <c r="L128" s="4">
        <v>1.113</v>
      </c>
      <c r="M128" s="4">
        <v>1.113</v>
      </c>
      <c r="N128" s="4">
        <v>1.113</v>
      </c>
      <c r="O128" s="4">
        <v>1.113</v>
      </c>
      <c r="P128" s="4">
        <v>0</v>
      </c>
      <c r="Q128" s="3" t="s">
        <v>26</v>
      </c>
      <c r="R128" s="3">
        <v>0</v>
      </c>
      <c r="S128" s="3" t="s">
        <v>145</v>
      </c>
      <c r="T128" s="3" t="s">
        <v>302</v>
      </c>
      <c r="U128" s="3">
        <v>0</v>
      </c>
      <c r="V128" s="3">
        <v>23</v>
      </c>
      <c r="W128" s="3">
        <v>82</v>
      </c>
    </row>
    <row r="129" spans="1:23" ht="11.25" customHeight="1" x14ac:dyDescent="0.25">
      <c r="A129" s="3" t="s">
        <v>21</v>
      </c>
      <c r="B129" s="3" t="s">
        <v>33</v>
      </c>
      <c r="C129" s="3" t="s">
        <v>34</v>
      </c>
      <c r="D129" s="3" t="s">
        <v>45</v>
      </c>
      <c r="E129" s="3" t="s">
        <v>25</v>
      </c>
      <c r="F129" s="3" t="s">
        <v>25</v>
      </c>
      <c r="G129" s="3" t="s">
        <v>25</v>
      </c>
      <c r="H129" s="3" t="s">
        <v>35</v>
      </c>
      <c r="I129" s="6">
        <v>44501</v>
      </c>
      <c r="J129" s="4">
        <v>0</v>
      </c>
      <c r="K129" s="4">
        <v>0</v>
      </c>
      <c r="L129" s="4">
        <v>1.841</v>
      </c>
      <c r="M129" s="4">
        <v>1.841</v>
      </c>
      <c r="N129" s="4">
        <v>1.841</v>
      </c>
      <c r="O129" s="4">
        <v>1.841</v>
      </c>
      <c r="P129" s="4">
        <v>0</v>
      </c>
      <c r="Q129" s="3" t="s">
        <v>26</v>
      </c>
      <c r="R129" s="3">
        <v>0</v>
      </c>
      <c r="S129" s="3" t="s">
        <v>146</v>
      </c>
      <c r="T129" s="3" t="s">
        <v>303</v>
      </c>
      <c r="U129" s="3">
        <v>0</v>
      </c>
      <c r="V129" s="3">
        <v>23</v>
      </c>
      <c r="W129" s="3">
        <v>82</v>
      </c>
    </row>
    <row r="130" spans="1:23" ht="11.25" customHeight="1" x14ac:dyDescent="0.25">
      <c r="A130" s="3" t="s">
        <v>21</v>
      </c>
      <c r="B130" s="3" t="s">
        <v>33</v>
      </c>
      <c r="C130" s="3" t="s">
        <v>34</v>
      </c>
      <c r="D130" s="3" t="s">
        <v>45</v>
      </c>
      <c r="E130" s="3" t="s">
        <v>25</v>
      </c>
      <c r="F130" s="3" t="s">
        <v>25</v>
      </c>
      <c r="G130" s="3" t="s">
        <v>25</v>
      </c>
      <c r="H130" s="3" t="s">
        <v>35</v>
      </c>
      <c r="I130" s="6">
        <v>44531</v>
      </c>
      <c r="J130" s="4">
        <v>0</v>
      </c>
      <c r="K130" s="4">
        <v>0</v>
      </c>
      <c r="L130" s="4">
        <v>1.819</v>
      </c>
      <c r="M130" s="4">
        <v>1.819</v>
      </c>
      <c r="N130" s="4">
        <v>1.819</v>
      </c>
      <c r="O130" s="4">
        <v>1.819</v>
      </c>
      <c r="P130" s="4">
        <v>0</v>
      </c>
      <c r="Q130" s="3" t="s">
        <v>26</v>
      </c>
      <c r="R130" s="3">
        <v>0</v>
      </c>
      <c r="S130" s="3" t="s">
        <v>147</v>
      </c>
      <c r="T130" s="3" t="s">
        <v>304</v>
      </c>
      <c r="U130" s="3">
        <v>0</v>
      </c>
      <c r="V130" s="3">
        <v>23</v>
      </c>
      <c r="W130" s="3">
        <v>82</v>
      </c>
    </row>
    <row r="131" spans="1:23" ht="11.25" customHeight="1" x14ac:dyDescent="0.25">
      <c r="A131" s="3" t="s">
        <v>21</v>
      </c>
      <c r="B131" s="3" t="s">
        <v>33</v>
      </c>
      <c r="C131" s="3" t="s">
        <v>34</v>
      </c>
      <c r="D131" s="3" t="s">
        <v>45</v>
      </c>
      <c r="E131" s="3" t="s">
        <v>25</v>
      </c>
      <c r="F131" s="3" t="s">
        <v>25</v>
      </c>
      <c r="G131" s="3" t="s">
        <v>25</v>
      </c>
      <c r="H131" s="3" t="s">
        <v>35</v>
      </c>
      <c r="I131" s="6">
        <v>44562</v>
      </c>
      <c r="J131" s="4">
        <v>0</v>
      </c>
      <c r="K131" s="4">
        <v>0</v>
      </c>
      <c r="L131" s="4">
        <v>1.75</v>
      </c>
      <c r="M131" s="4">
        <v>1.75</v>
      </c>
      <c r="N131" s="4">
        <v>1.75</v>
      </c>
      <c r="O131" s="4">
        <v>1.75</v>
      </c>
      <c r="P131" s="4">
        <v>0</v>
      </c>
      <c r="Q131" s="3" t="s">
        <v>26</v>
      </c>
      <c r="R131" s="3">
        <v>0</v>
      </c>
      <c r="S131" s="3" t="s">
        <v>148</v>
      </c>
      <c r="T131" s="3" t="s">
        <v>305</v>
      </c>
      <c r="U131" s="3">
        <v>0</v>
      </c>
      <c r="V131" s="3">
        <v>23</v>
      </c>
      <c r="W131" s="3">
        <v>82</v>
      </c>
    </row>
    <row r="132" spans="1:23" ht="11.25" customHeight="1" x14ac:dyDescent="0.25">
      <c r="A132" s="3" t="s">
        <v>21</v>
      </c>
      <c r="B132" s="3" t="s">
        <v>33</v>
      </c>
      <c r="C132" s="3" t="s">
        <v>34</v>
      </c>
      <c r="D132" s="3" t="s">
        <v>45</v>
      </c>
      <c r="E132" s="3" t="s">
        <v>25</v>
      </c>
      <c r="F132" s="3" t="s">
        <v>25</v>
      </c>
      <c r="G132" s="3" t="s">
        <v>25</v>
      </c>
      <c r="H132" s="3" t="s">
        <v>35</v>
      </c>
      <c r="I132" s="6">
        <v>44593</v>
      </c>
      <c r="J132" s="4">
        <v>0</v>
      </c>
      <c r="K132" s="4">
        <v>0</v>
      </c>
      <c r="L132" s="4">
        <v>1.879</v>
      </c>
      <c r="M132" s="4">
        <v>1.879</v>
      </c>
      <c r="N132" s="4">
        <v>1.879</v>
      </c>
      <c r="O132" s="4">
        <v>1.879</v>
      </c>
      <c r="P132" s="4">
        <v>0</v>
      </c>
      <c r="Q132" s="3" t="s">
        <v>26</v>
      </c>
      <c r="R132" s="3">
        <v>0</v>
      </c>
      <c r="S132" s="3" t="s">
        <v>149</v>
      </c>
      <c r="T132" s="3" t="s">
        <v>306</v>
      </c>
      <c r="U132" s="3">
        <v>0</v>
      </c>
      <c r="V132" s="3">
        <v>23</v>
      </c>
      <c r="W132" s="3">
        <v>82</v>
      </c>
    </row>
    <row r="133" spans="1:23" ht="11.25" customHeight="1" x14ac:dyDescent="0.25">
      <c r="A133" s="3" t="s">
        <v>21</v>
      </c>
      <c r="B133" s="3" t="s">
        <v>33</v>
      </c>
      <c r="C133" s="3" t="s">
        <v>34</v>
      </c>
      <c r="D133" s="3" t="s">
        <v>45</v>
      </c>
      <c r="E133" s="3" t="s">
        <v>25</v>
      </c>
      <c r="F133" s="3" t="s">
        <v>25</v>
      </c>
      <c r="G133" s="3" t="s">
        <v>25</v>
      </c>
      <c r="H133" s="3" t="s">
        <v>35</v>
      </c>
      <c r="I133" s="6">
        <v>44621</v>
      </c>
      <c r="J133" s="4">
        <v>0</v>
      </c>
      <c r="K133" s="4">
        <v>0</v>
      </c>
      <c r="L133" s="4">
        <v>2.6920000000000002</v>
      </c>
      <c r="M133" s="4">
        <v>2.6920000000000002</v>
      </c>
      <c r="N133" s="4">
        <v>2.6920000000000002</v>
      </c>
      <c r="O133" s="4">
        <v>2.6920000000000002</v>
      </c>
      <c r="P133" s="4">
        <v>0</v>
      </c>
      <c r="Q133" s="3" t="s">
        <v>26</v>
      </c>
      <c r="R133" s="3">
        <v>0</v>
      </c>
      <c r="S133" s="3" t="s">
        <v>150</v>
      </c>
      <c r="T133" s="3" t="s">
        <v>307</v>
      </c>
      <c r="U133" s="3">
        <v>0</v>
      </c>
      <c r="V133" s="3">
        <v>23</v>
      </c>
      <c r="W133" s="3">
        <v>82</v>
      </c>
    </row>
    <row r="134" spans="1:23" ht="11.25" customHeight="1" x14ac:dyDescent="0.25">
      <c r="A134" s="3" t="s">
        <v>21</v>
      </c>
      <c r="B134" s="3" t="s">
        <v>33</v>
      </c>
      <c r="C134" s="3" t="s">
        <v>34</v>
      </c>
      <c r="D134" s="3" t="s">
        <v>24</v>
      </c>
      <c r="E134" s="3" t="s">
        <v>24</v>
      </c>
      <c r="F134" s="3" t="s">
        <v>25</v>
      </c>
      <c r="G134" s="3" t="s">
        <v>25</v>
      </c>
      <c r="H134" s="3" t="s">
        <v>36</v>
      </c>
      <c r="I134" s="6">
        <v>44287</v>
      </c>
      <c r="J134" s="4">
        <v>0</v>
      </c>
      <c r="K134" s="4">
        <v>0</v>
      </c>
      <c r="L134" s="4">
        <v>2.3490000000000002</v>
      </c>
      <c r="M134" s="4">
        <v>2.3490000000000002</v>
      </c>
      <c r="N134" s="4">
        <v>2.3490000000000002</v>
      </c>
      <c r="O134" s="4">
        <v>2.3490000000000002</v>
      </c>
      <c r="P134" s="4">
        <v>0</v>
      </c>
      <c r="Q134" s="3" t="s">
        <v>26</v>
      </c>
      <c r="R134" s="3">
        <v>0</v>
      </c>
      <c r="S134" s="3" t="s">
        <v>115</v>
      </c>
      <c r="T134" s="3" t="s">
        <v>284</v>
      </c>
      <c r="U134" s="3">
        <v>0</v>
      </c>
      <c r="V134" s="3">
        <v>24</v>
      </c>
      <c r="W134" s="3">
        <v>83</v>
      </c>
    </row>
    <row r="135" spans="1:23" ht="11.25" customHeight="1" x14ac:dyDescent="0.25">
      <c r="A135" s="3" t="s">
        <v>21</v>
      </c>
      <c r="B135" s="3" t="s">
        <v>33</v>
      </c>
      <c r="C135" s="3" t="s">
        <v>34</v>
      </c>
      <c r="D135" s="3" t="s">
        <v>24</v>
      </c>
      <c r="E135" s="3" t="s">
        <v>24</v>
      </c>
      <c r="F135" s="3" t="s">
        <v>25</v>
      </c>
      <c r="G135" s="3" t="s">
        <v>25</v>
      </c>
      <c r="H135" s="3" t="s">
        <v>36</v>
      </c>
      <c r="I135" s="6">
        <v>44317</v>
      </c>
      <c r="J135" s="4">
        <v>0</v>
      </c>
      <c r="K135" s="4">
        <v>0</v>
      </c>
      <c r="L135" s="4">
        <v>1.5549999999999999</v>
      </c>
      <c r="M135" s="4">
        <v>1.5549999999999999</v>
      </c>
      <c r="N135" s="4">
        <v>1.5549999999999999</v>
      </c>
      <c r="O135" s="4">
        <v>1.5549999999999999</v>
      </c>
      <c r="P135" s="4">
        <v>0</v>
      </c>
      <c r="Q135" s="3" t="s">
        <v>26</v>
      </c>
      <c r="R135" s="3">
        <v>0</v>
      </c>
      <c r="S135" s="3" t="s">
        <v>116</v>
      </c>
      <c r="T135" s="3" t="s">
        <v>285</v>
      </c>
      <c r="U135" s="3">
        <v>0</v>
      </c>
      <c r="V135" s="3">
        <v>24</v>
      </c>
      <c r="W135" s="3">
        <v>83</v>
      </c>
    </row>
    <row r="136" spans="1:23" ht="11.25" customHeight="1" x14ac:dyDescent="0.25">
      <c r="A136" s="3" t="s">
        <v>21</v>
      </c>
      <c r="B136" s="3" t="s">
        <v>33</v>
      </c>
      <c r="C136" s="3" t="s">
        <v>34</v>
      </c>
      <c r="D136" s="3" t="s">
        <v>24</v>
      </c>
      <c r="E136" s="3" t="s">
        <v>24</v>
      </c>
      <c r="F136" s="3" t="s">
        <v>25</v>
      </c>
      <c r="G136" s="3" t="s">
        <v>25</v>
      </c>
      <c r="H136" s="3" t="s">
        <v>36</v>
      </c>
      <c r="I136" s="6">
        <v>44348</v>
      </c>
      <c r="J136" s="4">
        <v>0</v>
      </c>
      <c r="K136" s="4">
        <v>0</v>
      </c>
      <c r="L136" s="4">
        <v>1.4970000000000001</v>
      </c>
      <c r="M136" s="4">
        <v>1.4970000000000001</v>
      </c>
      <c r="N136" s="4">
        <v>1.4970000000000001</v>
      </c>
      <c r="O136" s="4">
        <v>1.4970000000000001</v>
      </c>
      <c r="P136" s="4">
        <v>0</v>
      </c>
      <c r="Q136" s="3" t="s">
        <v>26</v>
      </c>
      <c r="R136" s="3">
        <v>0</v>
      </c>
      <c r="S136" s="3" t="s">
        <v>117</v>
      </c>
      <c r="T136" s="3" t="s">
        <v>286</v>
      </c>
      <c r="U136" s="3">
        <v>0</v>
      </c>
      <c r="V136" s="3">
        <v>24</v>
      </c>
      <c r="W136" s="3">
        <v>83</v>
      </c>
    </row>
    <row r="137" spans="1:23" ht="11.25" customHeight="1" x14ac:dyDescent="0.25">
      <c r="A137" s="3" t="s">
        <v>21</v>
      </c>
      <c r="B137" s="3" t="s">
        <v>33</v>
      </c>
      <c r="C137" s="3" t="s">
        <v>34</v>
      </c>
      <c r="D137" s="3" t="s">
        <v>24</v>
      </c>
      <c r="E137" s="3" t="s">
        <v>24</v>
      </c>
      <c r="F137" s="3" t="s">
        <v>25</v>
      </c>
      <c r="G137" s="3" t="s">
        <v>25</v>
      </c>
      <c r="H137" s="3" t="s">
        <v>36</v>
      </c>
      <c r="I137" s="6">
        <v>44378</v>
      </c>
      <c r="J137" s="4">
        <v>0</v>
      </c>
      <c r="K137" s="4">
        <v>0</v>
      </c>
      <c r="L137" s="4">
        <v>1.48</v>
      </c>
      <c r="M137" s="4">
        <v>1.48</v>
      </c>
      <c r="N137" s="4">
        <v>1.48</v>
      </c>
      <c r="O137" s="4">
        <v>1.48</v>
      </c>
      <c r="P137" s="4">
        <v>0</v>
      </c>
      <c r="Q137" s="3" t="s">
        <v>26</v>
      </c>
      <c r="R137" s="3">
        <v>0</v>
      </c>
      <c r="S137" s="3" t="s">
        <v>118</v>
      </c>
      <c r="T137" s="3" t="s">
        <v>287</v>
      </c>
      <c r="U137" s="3">
        <v>0</v>
      </c>
      <c r="V137" s="3">
        <v>24</v>
      </c>
      <c r="W137" s="3">
        <v>83</v>
      </c>
    </row>
    <row r="138" spans="1:23" ht="11.25" customHeight="1" x14ac:dyDescent="0.25">
      <c r="A138" s="3" t="s">
        <v>21</v>
      </c>
      <c r="B138" s="3" t="s">
        <v>33</v>
      </c>
      <c r="C138" s="3" t="s">
        <v>34</v>
      </c>
      <c r="D138" s="3" t="s">
        <v>24</v>
      </c>
      <c r="E138" s="3" t="s">
        <v>24</v>
      </c>
      <c r="F138" s="3" t="s">
        <v>25</v>
      </c>
      <c r="G138" s="3" t="s">
        <v>25</v>
      </c>
      <c r="H138" s="3" t="s">
        <v>36</v>
      </c>
      <c r="I138" s="6">
        <v>44409</v>
      </c>
      <c r="J138" s="4">
        <v>0</v>
      </c>
      <c r="K138" s="4">
        <v>0</v>
      </c>
      <c r="L138" s="4">
        <v>1.3759999999999999</v>
      </c>
      <c r="M138" s="4">
        <v>1.3759999999999999</v>
      </c>
      <c r="N138" s="4">
        <v>1.3759999999999999</v>
      </c>
      <c r="O138" s="4">
        <v>1.3759999999999999</v>
      </c>
      <c r="P138" s="4">
        <v>0</v>
      </c>
      <c r="Q138" s="3" t="s">
        <v>26</v>
      </c>
      <c r="R138" s="3">
        <v>0</v>
      </c>
      <c r="S138" s="3" t="s">
        <v>119</v>
      </c>
      <c r="T138" s="3" t="s">
        <v>288</v>
      </c>
      <c r="U138" s="3">
        <v>0</v>
      </c>
      <c r="V138" s="3">
        <v>24</v>
      </c>
      <c r="W138" s="3">
        <v>83</v>
      </c>
    </row>
    <row r="139" spans="1:23" ht="11.25" customHeight="1" x14ac:dyDescent="0.25">
      <c r="A139" s="3" t="s">
        <v>21</v>
      </c>
      <c r="B139" s="3" t="s">
        <v>33</v>
      </c>
      <c r="C139" s="3" t="s">
        <v>34</v>
      </c>
      <c r="D139" s="3" t="s">
        <v>24</v>
      </c>
      <c r="E139" s="3" t="s">
        <v>24</v>
      </c>
      <c r="F139" s="3" t="s">
        <v>25</v>
      </c>
      <c r="G139" s="3" t="s">
        <v>25</v>
      </c>
      <c r="H139" s="3" t="s">
        <v>36</v>
      </c>
      <c r="I139" s="6">
        <v>44440</v>
      </c>
      <c r="J139" s="4">
        <v>0</v>
      </c>
      <c r="K139" s="4">
        <v>0</v>
      </c>
      <c r="L139" s="4">
        <v>3.7210000000000001</v>
      </c>
      <c r="M139" s="4">
        <v>3.7210000000000001</v>
      </c>
      <c r="N139" s="4">
        <v>3.7210000000000001</v>
      </c>
      <c r="O139" s="4">
        <v>3.7210000000000001</v>
      </c>
      <c r="P139" s="4">
        <v>0</v>
      </c>
      <c r="Q139" s="3" t="s">
        <v>26</v>
      </c>
      <c r="R139" s="3">
        <v>0</v>
      </c>
      <c r="S139" s="3" t="s">
        <v>120</v>
      </c>
      <c r="T139" s="3" t="s">
        <v>289</v>
      </c>
      <c r="U139" s="3">
        <v>0</v>
      </c>
      <c r="V139" s="3">
        <v>24</v>
      </c>
      <c r="W139" s="3">
        <v>83</v>
      </c>
    </row>
    <row r="140" spans="1:23" ht="11.25" customHeight="1" x14ac:dyDescent="0.25">
      <c r="A140" s="3" t="s">
        <v>21</v>
      </c>
      <c r="B140" s="3" t="s">
        <v>33</v>
      </c>
      <c r="C140" s="3" t="s">
        <v>34</v>
      </c>
      <c r="D140" s="3" t="s">
        <v>24</v>
      </c>
      <c r="E140" s="3" t="s">
        <v>24</v>
      </c>
      <c r="F140" s="3" t="s">
        <v>25</v>
      </c>
      <c r="G140" s="3" t="s">
        <v>25</v>
      </c>
      <c r="H140" s="3" t="s">
        <v>36</v>
      </c>
      <c r="I140" s="6">
        <v>44470</v>
      </c>
      <c r="J140" s="4">
        <v>0</v>
      </c>
      <c r="K140" s="4">
        <v>0</v>
      </c>
      <c r="L140" s="4">
        <v>3.69</v>
      </c>
      <c r="M140" s="4">
        <v>3.69</v>
      </c>
      <c r="N140" s="4">
        <v>3.69</v>
      </c>
      <c r="O140" s="4">
        <v>3.69</v>
      </c>
      <c r="P140" s="4">
        <v>0</v>
      </c>
      <c r="Q140" s="3" t="s">
        <v>26</v>
      </c>
      <c r="R140" s="3">
        <v>0</v>
      </c>
      <c r="S140" s="3" t="s">
        <v>121</v>
      </c>
      <c r="T140" s="3" t="s">
        <v>290</v>
      </c>
      <c r="U140" s="3">
        <v>0</v>
      </c>
      <c r="V140" s="3">
        <v>24</v>
      </c>
      <c r="W140" s="3">
        <v>83</v>
      </c>
    </row>
    <row r="141" spans="1:23" ht="11.25" customHeight="1" x14ac:dyDescent="0.25">
      <c r="A141" s="3" t="s">
        <v>21</v>
      </c>
      <c r="B141" s="3" t="s">
        <v>33</v>
      </c>
      <c r="C141" s="3" t="s">
        <v>34</v>
      </c>
      <c r="D141" s="3" t="s">
        <v>24</v>
      </c>
      <c r="E141" s="3" t="s">
        <v>24</v>
      </c>
      <c r="F141" s="3" t="s">
        <v>25</v>
      </c>
      <c r="G141" s="3" t="s">
        <v>25</v>
      </c>
      <c r="H141" s="3" t="s">
        <v>36</v>
      </c>
      <c r="I141" s="6">
        <v>44501</v>
      </c>
      <c r="J141" s="4">
        <v>0</v>
      </c>
      <c r="K141" s="4">
        <v>0</v>
      </c>
      <c r="L141" s="4">
        <v>3.1219999999999999</v>
      </c>
      <c r="M141" s="4">
        <v>3.1219999999999999</v>
      </c>
      <c r="N141" s="4">
        <v>3.1219999999999999</v>
      </c>
      <c r="O141" s="4">
        <v>3.1219999999999999</v>
      </c>
      <c r="P141" s="4">
        <v>0</v>
      </c>
      <c r="Q141" s="3" t="s">
        <v>26</v>
      </c>
      <c r="R141" s="3">
        <v>0</v>
      </c>
      <c r="S141" s="3" t="s">
        <v>122</v>
      </c>
      <c r="T141" s="3" t="s">
        <v>291</v>
      </c>
      <c r="U141" s="3">
        <v>0</v>
      </c>
      <c r="V141" s="3">
        <v>24</v>
      </c>
      <c r="W141" s="3">
        <v>83</v>
      </c>
    </row>
    <row r="142" spans="1:23" ht="11.25" customHeight="1" x14ac:dyDescent="0.25">
      <c r="A142" s="3" t="s">
        <v>21</v>
      </c>
      <c r="B142" s="3" t="s">
        <v>33</v>
      </c>
      <c r="C142" s="3" t="s">
        <v>34</v>
      </c>
      <c r="D142" s="3" t="s">
        <v>24</v>
      </c>
      <c r="E142" s="3" t="s">
        <v>24</v>
      </c>
      <c r="F142" s="3" t="s">
        <v>25</v>
      </c>
      <c r="G142" s="3" t="s">
        <v>25</v>
      </c>
      <c r="H142" s="3" t="s">
        <v>36</v>
      </c>
      <c r="I142" s="6">
        <v>44531</v>
      </c>
      <c r="J142" s="4">
        <v>0</v>
      </c>
      <c r="K142" s="4">
        <v>0</v>
      </c>
      <c r="L142" s="4">
        <v>3.6280000000000001</v>
      </c>
      <c r="M142" s="4">
        <v>3.6280000000000001</v>
      </c>
      <c r="N142" s="4">
        <v>3.6280000000000001</v>
      </c>
      <c r="O142" s="4">
        <v>3.6280000000000001</v>
      </c>
      <c r="P142" s="4">
        <v>0</v>
      </c>
      <c r="Q142" s="3" t="s">
        <v>26</v>
      </c>
      <c r="R142" s="3">
        <v>0</v>
      </c>
      <c r="S142" s="3" t="s">
        <v>123</v>
      </c>
      <c r="T142" s="3" t="s">
        <v>292</v>
      </c>
      <c r="U142" s="3">
        <v>0</v>
      </c>
      <c r="V142" s="3">
        <v>24</v>
      </c>
      <c r="W142" s="3">
        <v>83</v>
      </c>
    </row>
    <row r="143" spans="1:23" ht="11.25" customHeight="1" x14ac:dyDescent="0.25">
      <c r="A143" s="3" t="s">
        <v>21</v>
      </c>
      <c r="B143" s="3" t="s">
        <v>33</v>
      </c>
      <c r="C143" s="3" t="s">
        <v>34</v>
      </c>
      <c r="D143" s="3" t="s">
        <v>24</v>
      </c>
      <c r="E143" s="3" t="s">
        <v>24</v>
      </c>
      <c r="F143" s="3" t="s">
        <v>25</v>
      </c>
      <c r="G143" s="3" t="s">
        <v>25</v>
      </c>
      <c r="H143" s="3" t="s">
        <v>36</v>
      </c>
      <c r="I143" s="6">
        <v>44562</v>
      </c>
      <c r="J143" s="4">
        <v>0</v>
      </c>
      <c r="K143" s="4">
        <v>0</v>
      </c>
      <c r="L143" s="4">
        <v>3.4660000000000002</v>
      </c>
      <c r="M143" s="4">
        <v>3.4660000000000002</v>
      </c>
      <c r="N143" s="4">
        <v>3.4660000000000002</v>
      </c>
      <c r="O143" s="4">
        <v>3.4660000000000002</v>
      </c>
      <c r="P143" s="4">
        <v>0</v>
      </c>
      <c r="Q143" s="3" t="s">
        <v>26</v>
      </c>
      <c r="R143" s="3">
        <v>0</v>
      </c>
      <c r="S143" s="3" t="s">
        <v>124</v>
      </c>
      <c r="T143" s="3" t="s">
        <v>293</v>
      </c>
      <c r="U143" s="3">
        <v>0</v>
      </c>
      <c r="V143" s="3">
        <v>24</v>
      </c>
      <c r="W143" s="3">
        <v>83</v>
      </c>
    </row>
    <row r="144" spans="1:23" ht="11.25" customHeight="1" x14ac:dyDescent="0.25">
      <c r="A144" s="3" t="s">
        <v>21</v>
      </c>
      <c r="B144" s="3" t="s">
        <v>33</v>
      </c>
      <c r="C144" s="3" t="s">
        <v>34</v>
      </c>
      <c r="D144" s="3" t="s">
        <v>24</v>
      </c>
      <c r="E144" s="3" t="s">
        <v>24</v>
      </c>
      <c r="F144" s="3" t="s">
        <v>25</v>
      </c>
      <c r="G144" s="3" t="s">
        <v>25</v>
      </c>
      <c r="H144" s="3" t="s">
        <v>36</v>
      </c>
      <c r="I144" s="6">
        <v>44593</v>
      </c>
      <c r="J144" s="4">
        <v>0</v>
      </c>
      <c r="K144" s="4">
        <v>0</v>
      </c>
      <c r="L144" s="4">
        <v>3.0859999999999999</v>
      </c>
      <c r="M144" s="4">
        <v>3.0859999999999999</v>
      </c>
      <c r="N144" s="4">
        <v>3.0859999999999999</v>
      </c>
      <c r="O144" s="4">
        <v>3.0859999999999999</v>
      </c>
      <c r="P144" s="4">
        <v>0</v>
      </c>
      <c r="Q144" s="3" t="s">
        <v>26</v>
      </c>
      <c r="R144" s="3">
        <v>0</v>
      </c>
      <c r="S144" s="3" t="s">
        <v>125</v>
      </c>
      <c r="T144" s="3" t="s">
        <v>294</v>
      </c>
      <c r="U144" s="3">
        <v>0</v>
      </c>
      <c r="V144" s="3">
        <v>24</v>
      </c>
      <c r="W144" s="3">
        <v>83</v>
      </c>
    </row>
    <row r="145" spans="1:23" ht="11.25" customHeight="1" x14ac:dyDescent="0.25">
      <c r="A145" s="3" t="s">
        <v>21</v>
      </c>
      <c r="B145" s="3" t="s">
        <v>33</v>
      </c>
      <c r="C145" s="3" t="s">
        <v>34</v>
      </c>
      <c r="D145" s="3" t="s">
        <v>24</v>
      </c>
      <c r="E145" s="3" t="s">
        <v>24</v>
      </c>
      <c r="F145" s="3" t="s">
        <v>25</v>
      </c>
      <c r="G145" s="3" t="s">
        <v>25</v>
      </c>
      <c r="H145" s="3" t="s">
        <v>36</v>
      </c>
      <c r="I145" s="6">
        <v>44621</v>
      </c>
      <c r="J145" s="4">
        <v>0</v>
      </c>
      <c r="K145" s="4">
        <v>0</v>
      </c>
      <c r="L145" s="4">
        <v>3.1349999999999998</v>
      </c>
      <c r="M145" s="4">
        <v>3.1349999999999998</v>
      </c>
      <c r="N145" s="4">
        <v>3.1349999999999998</v>
      </c>
      <c r="O145" s="4">
        <v>3.1349999999999998</v>
      </c>
      <c r="P145" s="4">
        <v>0</v>
      </c>
      <c r="Q145" s="3" t="s">
        <v>26</v>
      </c>
      <c r="R145" s="3">
        <v>0</v>
      </c>
      <c r="S145" s="3" t="s">
        <v>126</v>
      </c>
      <c r="T145" s="3" t="s">
        <v>295</v>
      </c>
      <c r="U145" s="3">
        <v>0</v>
      </c>
      <c r="V145" s="3">
        <v>24</v>
      </c>
      <c r="W145" s="3">
        <v>83</v>
      </c>
    </row>
    <row r="146" spans="1:23" ht="11.25" customHeight="1" x14ac:dyDescent="0.25">
      <c r="A146" s="3" t="s">
        <v>21</v>
      </c>
      <c r="B146" s="3" t="s">
        <v>33</v>
      </c>
      <c r="C146" s="3" t="s">
        <v>34</v>
      </c>
      <c r="D146" s="3" t="s">
        <v>24</v>
      </c>
      <c r="E146" s="3" t="s">
        <v>24</v>
      </c>
      <c r="F146" s="3" t="s">
        <v>25</v>
      </c>
      <c r="G146" s="3" t="s">
        <v>25</v>
      </c>
      <c r="H146" s="3" t="s">
        <v>25</v>
      </c>
      <c r="I146" s="6">
        <v>44287</v>
      </c>
      <c r="J146" s="4">
        <v>30</v>
      </c>
      <c r="K146" s="4">
        <v>30</v>
      </c>
      <c r="L146" s="4">
        <v>0</v>
      </c>
      <c r="M146" s="4">
        <v>0</v>
      </c>
      <c r="N146" s="4">
        <v>0</v>
      </c>
      <c r="O146" s="4">
        <v>0</v>
      </c>
      <c r="P146" s="4">
        <v>1</v>
      </c>
      <c r="Q146" s="3" t="s">
        <v>26</v>
      </c>
      <c r="R146" s="3">
        <v>0</v>
      </c>
      <c r="S146" s="3" t="s">
        <v>127</v>
      </c>
      <c r="U146" s="3">
        <v>22</v>
      </c>
      <c r="V146" s="3">
        <v>0</v>
      </c>
      <c r="W146" s="3">
        <v>0</v>
      </c>
    </row>
    <row r="147" spans="1:23" ht="11.25" customHeight="1" x14ac:dyDescent="0.25">
      <c r="A147" s="3" t="s">
        <v>21</v>
      </c>
      <c r="B147" s="3" t="s">
        <v>33</v>
      </c>
      <c r="C147" s="3" t="s">
        <v>34</v>
      </c>
      <c r="D147" s="3" t="s">
        <v>24</v>
      </c>
      <c r="E147" s="3" t="s">
        <v>24</v>
      </c>
      <c r="F147" s="3" t="s">
        <v>25</v>
      </c>
      <c r="G147" s="3" t="s">
        <v>25</v>
      </c>
      <c r="H147" s="3" t="s">
        <v>25</v>
      </c>
      <c r="I147" s="6">
        <v>44317</v>
      </c>
      <c r="J147" s="4">
        <v>30</v>
      </c>
      <c r="K147" s="4">
        <v>30</v>
      </c>
      <c r="L147" s="4">
        <v>0</v>
      </c>
      <c r="M147" s="4">
        <v>0</v>
      </c>
      <c r="N147" s="4">
        <v>0</v>
      </c>
      <c r="O147" s="4">
        <v>0</v>
      </c>
      <c r="P147" s="4">
        <v>1</v>
      </c>
      <c r="Q147" s="3" t="s">
        <v>26</v>
      </c>
      <c r="R147" s="3">
        <v>0</v>
      </c>
      <c r="S147" s="3" t="s">
        <v>128</v>
      </c>
      <c r="U147" s="3">
        <v>22</v>
      </c>
      <c r="V147" s="3">
        <v>0</v>
      </c>
      <c r="W147" s="3">
        <v>0</v>
      </c>
    </row>
    <row r="148" spans="1:23" ht="11.25" customHeight="1" x14ac:dyDescent="0.25">
      <c r="A148" s="3" t="s">
        <v>21</v>
      </c>
      <c r="B148" s="3" t="s">
        <v>33</v>
      </c>
      <c r="C148" s="3" t="s">
        <v>34</v>
      </c>
      <c r="D148" s="3" t="s">
        <v>24</v>
      </c>
      <c r="E148" s="3" t="s">
        <v>24</v>
      </c>
      <c r="F148" s="3" t="s">
        <v>25</v>
      </c>
      <c r="G148" s="3" t="s">
        <v>25</v>
      </c>
      <c r="H148" s="3" t="s">
        <v>25</v>
      </c>
      <c r="I148" s="6">
        <v>44348</v>
      </c>
      <c r="J148" s="4">
        <v>30</v>
      </c>
      <c r="K148" s="4">
        <v>30</v>
      </c>
      <c r="L148" s="4">
        <v>0</v>
      </c>
      <c r="M148" s="4">
        <v>0</v>
      </c>
      <c r="N148" s="4">
        <v>0</v>
      </c>
      <c r="O148" s="4">
        <v>0</v>
      </c>
      <c r="P148" s="4">
        <v>1</v>
      </c>
      <c r="Q148" s="3" t="s">
        <v>26</v>
      </c>
      <c r="R148" s="3">
        <v>0</v>
      </c>
      <c r="S148" s="3" t="s">
        <v>129</v>
      </c>
      <c r="U148" s="3">
        <v>22</v>
      </c>
      <c r="V148" s="3">
        <v>0</v>
      </c>
      <c r="W148" s="3">
        <v>0</v>
      </c>
    </row>
    <row r="149" spans="1:23" ht="11.25" customHeight="1" x14ac:dyDescent="0.25">
      <c r="A149" s="3" t="s">
        <v>21</v>
      </c>
      <c r="B149" s="3" t="s">
        <v>33</v>
      </c>
      <c r="C149" s="3" t="s">
        <v>34</v>
      </c>
      <c r="D149" s="3" t="s">
        <v>24</v>
      </c>
      <c r="E149" s="3" t="s">
        <v>24</v>
      </c>
      <c r="F149" s="3" t="s">
        <v>25</v>
      </c>
      <c r="G149" s="3" t="s">
        <v>25</v>
      </c>
      <c r="H149" s="3" t="s">
        <v>25</v>
      </c>
      <c r="I149" s="6">
        <v>44378</v>
      </c>
      <c r="J149" s="4">
        <v>30</v>
      </c>
      <c r="K149" s="4">
        <v>30</v>
      </c>
      <c r="L149" s="4">
        <v>0</v>
      </c>
      <c r="M149" s="4">
        <v>0</v>
      </c>
      <c r="N149" s="4">
        <v>0</v>
      </c>
      <c r="O149" s="4">
        <v>0</v>
      </c>
      <c r="P149" s="4">
        <v>1</v>
      </c>
      <c r="Q149" s="3" t="s">
        <v>26</v>
      </c>
      <c r="R149" s="3">
        <v>0</v>
      </c>
      <c r="S149" s="3" t="s">
        <v>130</v>
      </c>
      <c r="U149" s="3">
        <v>22</v>
      </c>
      <c r="V149" s="3">
        <v>0</v>
      </c>
      <c r="W149" s="3">
        <v>0</v>
      </c>
    </row>
    <row r="150" spans="1:23" ht="11.25" customHeight="1" x14ac:dyDescent="0.25">
      <c r="A150" s="3" t="s">
        <v>21</v>
      </c>
      <c r="B150" s="3" t="s">
        <v>33</v>
      </c>
      <c r="C150" s="3" t="s">
        <v>34</v>
      </c>
      <c r="D150" s="3" t="s">
        <v>24</v>
      </c>
      <c r="E150" s="3" t="s">
        <v>24</v>
      </c>
      <c r="F150" s="3" t="s">
        <v>25</v>
      </c>
      <c r="G150" s="3" t="s">
        <v>25</v>
      </c>
      <c r="H150" s="3" t="s">
        <v>25</v>
      </c>
      <c r="I150" s="6">
        <v>44409</v>
      </c>
      <c r="J150" s="4">
        <v>30</v>
      </c>
      <c r="K150" s="4">
        <v>30</v>
      </c>
      <c r="L150" s="4">
        <v>0</v>
      </c>
      <c r="M150" s="4">
        <v>0</v>
      </c>
      <c r="N150" s="4">
        <v>0</v>
      </c>
      <c r="O150" s="4">
        <v>0</v>
      </c>
      <c r="P150" s="4">
        <v>1</v>
      </c>
      <c r="Q150" s="3" t="s">
        <v>26</v>
      </c>
      <c r="R150" s="3">
        <v>0</v>
      </c>
      <c r="S150" s="3" t="s">
        <v>131</v>
      </c>
      <c r="U150" s="3">
        <v>22</v>
      </c>
      <c r="V150" s="3">
        <v>0</v>
      </c>
      <c r="W150" s="3">
        <v>0</v>
      </c>
    </row>
    <row r="151" spans="1:23" ht="11.25" customHeight="1" x14ac:dyDescent="0.25">
      <c r="A151" s="3" t="s">
        <v>21</v>
      </c>
      <c r="B151" s="3" t="s">
        <v>33</v>
      </c>
      <c r="C151" s="3" t="s">
        <v>34</v>
      </c>
      <c r="D151" s="3" t="s">
        <v>24</v>
      </c>
      <c r="E151" s="3" t="s">
        <v>24</v>
      </c>
      <c r="F151" s="3" t="s">
        <v>25</v>
      </c>
      <c r="G151" s="3" t="s">
        <v>25</v>
      </c>
      <c r="H151" s="3" t="s">
        <v>25</v>
      </c>
      <c r="I151" s="6">
        <v>44440</v>
      </c>
      <c r="J151" s="4">
        <v>60</v>
      </c>
      <c r="K151" s="4">
        <v>60</v>
      </c>
      <c r="L151" s="4">
        <v>0</v>
      </c>
      <c r="M151" s="4">
        <v>0</v>
      </c>
      <c r="N151" s="4">
        <v>0</v>
      </c>
      <c r="O151" s="4">
        <v>0</v>
      </c>
      <c r="P151" s="4">
        <v>2</v>
      </c>
      <c r="Q151" s="3" t="s">
        <v>26</v>
      </c>
      <c r="R151" s="3">
        <v>0</v>
      </c>
      <c r="S151" s="3" t="s">
        <v>132</v>
      </c>
      <c r="U151" s="3">
        <v>22</v>
      </c>
      <c r="V151" s="3">
        <v>0</v>
      </c>
      <c r="W151" s="3">
        <v>0</v>
      </c>
    </row>
    <row r="152" spans="1:23" ht="11.25" customHeight="1" x14ac:dyDescent="0.25">
      <c r="A152" s="3" t="s">
        <v>21</v>
      </c>
      <c r="B152" s="3" t="s">
        <v>33</v>
      </c>
      <c r="C152" s="3" t="s">
        <v>34</v>
      </c>
      <c r="D152" s="3" t="s">
        <v>24</v>
      </c>
      <c r="E152" s="3" t="s">
        <v>24</v>
      </c>
      <c r="F152" s="3" t="s">
        <v>25</v>
      </c>
      <c r="G152" s="3" t="s">
        <v>25</v>
      </c>
      <c r="H152" s="3" t="s">
        <v>25</v>
      </c>
      <c r="I152" s="6">
        <v>44470</v>
      </c>
      <c r="J152" s="4">
        <v>60</v>
      </c>
      <c r="K152" s="4">
        <v>60</v>
      </c>
      <c r="L152" s="4">
        <v>0</v>
      </c>
      <c r="M152" s="4">
        <v>0</v>
      </c>
      <c r="N152" s="4">
        <v>0</v>
      </c>
      <c r="O152" s="4">
        <v>0</v>
      </c>
      <c r="P152" s="4">
        <v>2</v>
      </c>
      <c r="Q152" s="3" t="s">
        <v>26</v>
      </c>
      <c r="R152" s="3">
        <v>0</v>
      </c>
      <c r="S152" s="3" t="s">
        <v>133</v>
      </c>
      <c r="U152" s="3">
        <v>22</v>
      </c>
      <c r="V152" s="3">
        <v>0</v>
      </c>
      <c r="W152" s="3">
        <v>0</v>
      </c>
    </row>
    <row r="153" spans="1:23" ht="11.25" customHeight="1" x14ac:dyDescent="0.25">
      <c r="A153" s="3" t="s">
        <v>21</v>
      </c>
      <c r="B153" s="3" t="s">
        <v>33</v>
      </c>
      <c r="C153" s="3" t="s">
        <v>34</v>
      </c>
      <c r="D153" s="3" t="s">
        <v>24</v>
      </c>
      <c r="E153" s="3" t="s">
        <v>24</v>
      </c>
      <c r="F153" s="3" t="s">
        <v>25</v>
      </c>
      <c r="G153" s="3" t="s">
        <v>25</v>
      </c>
      <c r="H153" s="3" t="s">
        <v>25</v>
      </c>
      <c r="I153" s="6">
        <v>44501</v>
      </c>
      <c r="J153" s="4">
        <v>60</v>
      </c>
      <c r="K153" s="4">
        <v>60</v>
      </c>
      <c r="L153" s="4">
        <v>0</v>
      </c>
      <c r="M153" s="4">
        <v>0</v>
      </c>
      <c r="N153" s="4">
        <v>0</v>
      </c>
      <c r="O153" s="4">
        <v>0</v>
      </c>
      <c r="P153" s="4">
        <v>2</v>
      </c>
      <c r="Q153" s="3" t="s">
        <v>26</v>
      </c>
      <c r="R153" s="3">
        <v>0</v>
      </c>
      <c r="S153" s="3" t="s">
        <v>134</v>
      </c>
      <c r="U153" s="3">
        <v>22</v>
      </c>
      <c r="V153" s="3">
        <v>0</v>
      </c>
      <c r="W153" s="3">
        <v>0</v>
      </c>
    </row>
    <row r="154" spans="1:23" ht="11.25" customHeight="1" x14ac:dyDescent="0.25">
      <c r="A154" s="3" t="s">
        <v>21</v>
      </c>
      <c r="B154" s="3" t="s">
        <v>33</v>
      </c>
      <c r="C154" s="3" t="s">
        <v>34</v>
      </c>
      <c r="D154" s="3" t="s">
        <v>24</v>
      </c>
      <c r="E154" s="3" t="s">
        <v>24</v>
      </c>
      <c r="F154" s="3" t="s">
        <v>25</v>
      </c>
      <c r="G154" s="3" t="s">
        <v>25</v>
      </c>
      <c r="H154" s="3" t="s">
        <v>25</v>
      </c>
      <c r="I154" s="6">
        <v>44531</v>
      </c>
      <c r="J154" s="4">
        <v>60</v>
      </c>
      <c r="K154" s="4">
        <v>60</v>
      </c>
      <c r="L154" s="4">
        <v>0</v>
      </c>
      <c r="M154" s="4">
        <v>0</v>
      </c>
      <c r="N154" s="4">
        <v>0</v>
      </c>
      <c r="O154" s="4">
        <v>0</v>
      </c>
      <c r="P154" s="4">
        <v>2</v>
      </c>
      <c r="Q154" s="3" t="s">
        <v>26</v>
      </c>
      <c r="R154" s="3">
        <v>0</v>
      </c>
      <c r="S154" s="3" t="s">
        <v>135</v>
      </c>
      <c r="U154" s="3">
        <v>22</v>
      </c>
      <c r="V154" s="3">
        <v>0</v>
      </c>
      <c r="W154" s="3">
        <v>0</v>
      </c>
    </row>
    <row r="155" spans="1:23" ht="11.25" customHeight="1" x14ac:dyDescent="0.25">
      <c r="A155" s="3" t="s">
        <v>21</v>
      </c>
      <c r="B155" s="3" t="s">
        <v>33</v>
      </c>
      <c r="C155" s="3" t="s">
        <v>34</v>
      </c>
      <c r="D155" s="3" t="s">
        <v>24</v>
      </c>
      <c r="E155" s="3" t="s">
        <v>24</v>
      </c>
      <c r="F155" s="3" t="s">
        <v>25</v>
      </c>
      <c r="G155" s="3" t="s">
        <v>25</v>
      </c>
      <c r="H155" s="3" t="s">
        <v>25</v>
      </c>
      <c r="I155" s="6">
        <v>44562</v>
      </c>
      <c r="J155" s="4">
        <v>60</v>
      </c>
      <c r="K155" s="4">
        <v>60</v>
      </c>
      <c r="L155" s="4">
        <v>0</v>
      </c>
      <c r="M155" s="4">
        <v>0</v>
      </c>
      <c r="N155" s="4">
        <v>0</v>
      </c>
      <c r="O155" s="4">
        <v>0</v>
      </c>
      <c r="P155" s="4">
        <v>2</v>
      </c>
      <c r="Q155" s="3" t="s">
        <v>26</v>
      </c>
      <c r="R155" s="3">
        <v>0</v>
      </c>
      <c r="S155" s="3" t="s">
        <v>136</v>
      </c>
      <c r="U155" s="3">
        <v>22</v>
      </c>
      <c r="V155" s="3">
        <v>0</v>
      </c>
      <c r="W155" s="3">
        <v>0</v>
      </c>
    </row>
    <row r="156" spans="1:23" ht="11.25" customHeight="1" x14ac:dyDescent="0.25">
      <c r="A156" s="3" t="s">
        <v>21</v>
      </c>
      <c r="B156" s="3" t="s">
        <v>33</v>
      </c>
      <c r="C156" s="3" t="s">
        <v>34</v>
      </c>
      <c r="D156" s="3" t="s">
        <v>24</v>
      </c>
      <c r="E156" s="3" t="s">
        <v>24</v>
      </c>
      <c r="F156" s="3" t="s">
        <v>25</v>
      </c>
      <c r="G156" s="3" t="s">
        <v>25</v>
      </c>
      <c r="H156" s="3" t="s">
        <v>25</v>
      </c>
      <c r="I156" s="6">
        <v>44593</v>
      </c>
      <c r="J156" s="4">
        <v>60</v>
      </c>
      <c r="K156" s="4">
        <v>60</v>
      </c>
      <c r="L156" s="4">
        <v>0</v>
      </c>
      <c r="M156" s="4">
        <v>0</v>
      </c>
      <c r="N156" s="4">
        <v>0</v>
      </c>
      <c r="O156" s="4">
        <v>0</v>
      </c>
      <c r="P156" s="4">
        <v>2</v>
      </c>
      <c r="Q156" s="3" t="s">
        <v>26</v>
      </c>
      <c r="R156" s="3">
        <v>0</v>
      </c>
      <c r="S156" s="3" t="s">
        <v>137</v>
      </c>
      <c r="U156" s="3">
        <v>22</v>
      </c>
      <c r="V156" s="3">
        <v>0</v>
      </c>
      <c r="W156" s="3">
        <v>0</v>
      </c>
    </row>
    <row r="157" spans="1:23" ht="11.25" customHeight="1" x14ac:dyDescent="0.25">
      <c r="A157" s="3" t="s">
        <v>21</v>
      </c>
      <c r="B157" s="3" t="s">
        <v>33</v>
      </c>
      <c r="C157" s="3" t="s">
        <v>34</v>
      </c>
      <c r="D157" s="3" t="s">
        <v>24</v>
      </c>
      <c r="E157" s="3" t="s">
        <v>24</v>
      </c>
      <c r="F157" s="3" t="s">
        <v>25</v>
      </c>
      <c r="G157" s="3" t="s">
        <v>25</v>
      </c>
      <c r="H157" s="3" t="s">
        <v>25</v>
      </c>
      <c r="I157" s="6">
        <v>44621</v>
      </c>
      <c r="J157" s="4">
        <v>60</v>
      </c>
      <c r="K157" s="4">
        <v>60</v>
      </c>
      <c r="L157" s="4">
        <v>0</v>
      </c>
      <c r="M157" s="4">
        <v>0</v>
      </c>
      <c r="N157" s="4">
        <v>0</v>
      </c>
      <c r="O157" s="4">
        <v>0</v>
      </c>
      <c r="P157" s="4">
        <v>2</v>
      </c>
      <c r="Q157" s="3" t="s">
        <v>26</v>
      </c>
      <c r="R157" s="3">
        <v>0</v>
      </c>
      <c r="S157" s="3" t="s">
        <v>138</v>
      </c>
      <c r="U157" s="3">
        <v>22</v>
      </c>
      <c r="V157" s="3">
        <v>0</v>
      </c>
      <c r="W157" s="3">
        <v>0</v>
      </c>
    </row>
    <row r="158" spans="1:23" ht="11.25" customHeight="1" x14ac:dyDescent="0.25">
      <c r="A158" s="3" t="s">
        <v>21</v>
      </c>
      <c r="B158" s="3" t="s">
        <v>33</v>
      </c>
      <c r="C158" s="3" t="s">
        <v>34</v>
      </c>
      <c r="D158" s="3" t="s">
        <v>24</v>
      </c>
      <c r="E158" s="3" t="s">
        <v>24</v>
      </c>
      <c r="F158" s="3" t="s">
        <v>25</v>
      </c>
      <c r="G158" s="3" t="s">
        <v>25</v>
      </c>
      <c r="H158" s="3" t="s">
        <v>35</v>
      </c>
      <c r="I158" s="6">
        <v>44287</v>
      </c>
      <c r="J158" s="4">
        <v>0</v>
      </c>
      <c r="K158" s="4">
        <v>0</v>
      </c>
      <c r="L158" s="4">
        <v>0.20499999999999999</v>
      </c>
      <c r="M158" s="4">
        <v>0.20499999999999999</v>
      </c>
      <c r="N158" s="4">
        <v>0.20499999999999999</v>
      </c>
      <c r="O158" s="4">
        <v>0.20499999999999999</v>
      </c>
      <c r="P158" s="4">
        <v>0</v>
      </c>
      <c r="Q158" s="3" t="s">
        <v>26</v>
      </c>
      <c r="R158" s="3">
        <v>0</v>
      </c>
      <c r="S158" s="3" t="s">
        <v>139</v>
      </c>
      <c r="T158" s="3" t="s">
        <v>296</v>
      </c>
      <c r="U158" s="3">
        <v>0</v>
      </c>
      <c r="V158" s="3">
        <v>23</v>
      </c>
      <c r="W158" s="3">
        <v>82</v>
      </c>
    </row>
    <row r="159" spans="1:23" ht="11.25" customHeight="1" x14ac:dyDescent="0.25">
      <c r="A159" s="3" t="s">
        <v>21</v>
      </c>
      <c r="B159" s="3" t="s">
        <v>33</v>
      </c>
      <c r="C159" s="3" t="s">
        <v>34</v>
      </c>
      <c r="D159" s="3" t="s">
        <v>24</v>
      </c>
      <c r="E159" s="3" t="s">
        <v>24</v>
      </c>
      <c r="F159" s="3" t="s">
        <v>25</v>
      </c>
      <c r="G159" s="3" t="s">
        <v>25</v>
      </c>
      <c r="H159" s="3" t="s">
        <v>35</v>
      </c>
      <c r="I159" s="6">
        <v>44317</v>
      </c>
      <c r="J159" s="4">
        <v>0</v>
      </c>
      <c r="K159" s="4">
        <v>0</v>
      </c>
      <c r="L159" s="4">
        <v>0.186</v>
      </c>
      <c r="M159" s="4">
        <v>0.186</v>
      </c>
      <c r="N159" s="4">
        <v>0.186</v>
      </c>
      <c r="O159" s="4">
        <v>0.186</v>
      </c>
      <c r="P159" s="4">
        <v>0</v>
      </c>
      <c r="Q159" s="3" t="s">
        <v>26</v>
      </c>
      <c r="R159" s="3">
        <v>0</v>
      </c>
      <c r="S159" s="3" t="s">
        <v>140</v>
      </c>
      <c r="T159" s="3" t="s">
        <v>297</v>
      </c>
      <c r="U159" s="3">
        <v>0</v>
      </c>
      <c r="V159" s="3">
        <v>23</v>
      </c>
      <c r="W159" s="3">
        <v>82</v>
      </c>
    </row>
    <row r="160" spans="1:23" ht="11.25" customHeight="1" x14ac:dyDescent="0.25">
      <c r="A160" s="3" t="s">
        <v>21</v>
      </c>
      <c r="B160" s="3" t="s">
        <v>33</v>
      </c>
      <c r="C160" s="3" t="s">
        <v>34</v>
      </c>
      <c r="D160" s="3" t="s">
        <v>24</v>
      </c>
      <c r="E160" s="3" t="s">
        <v>24</v>
      </c>
      <c r="F160" s="3" t="s">
        <v>25</v>
      </c>
      <c r="G160" s="3" t="s">
        <v>25</v>
      </c>
      <c r="H160" s="3" t="s">
        <v>35</v>
      </c>
      <c r="I160" s="6">
        <v>44348</v>
      </c>
      <c r="J160" s="4">
        <v>0</v>
      </c>
      <c r="K160" s="4">
        <v>0</v>
      </c>
      <c r="L160" s="4">
        <v>0.184</v>
      </c>
      <c r="M160" s="4">
        <v>0.184</v>
      </c>
      <c r="N160" s="4">
        <v>0.184</v>
      </c>
      <c r="O160" s="4">
        <v>0.184</v>
      </c>
      <c r="P160" s="4">
        <v>0</v>
      </c>
      <c r="Q160" s="3" t="s">
        <v>26</v>
      </c>
      <c r="R160" s="3">
        <v>0</v>
      </c>
      <c r="S160" s="3" t="s">
        <v>141</v>
      </c>
      <c r="T160" s="3" t="s">
        <v>298</v>
      </c>
      <c r="U160" s="3">
        <v>0</v>
      </c>
      <c r="V160" s="3">
        <v>23</v>
      </c>
      <c r="W160" s="3">
        <v>82</v>
      </c>
    </row>
    <row r="161" spans="1:23" ht="11.25" customHeight="1" x14ac:dyDescent="0.25">
      <c r="A161" s="3" t="s">
        <v>21</v>
      </c>
      <c r="B161" s="3" t="s">
        <v>33</v>
      </c>
      <c r="C161" s="3" t="s">
        <v>34</v>
      </c>
      <c r="D161" s="3" t="s">
        <v>24</v>
      </c>
      <c r="E161" s="3" t="s">
        <v>24</v>
      </c>
      <c r="F161" s="3" t="s">
        <v>25</v>
      </c>
      <c r="G161" s="3" t="s">
        <v>25</v>
      </c>
      <c r="H161" s="3" t="s">
        <v>35</v>
      </c>
      <c r="I161" s="6">
        <v>44378</v>
      </c>
      <c r="J161" s="4">
        <v>0</v>
      </c>
      <c r="K161" s="4">
        <v>0</v>
      </c>
      <c r="L161" s="4">
        <v>0.189</v>
      </c>
      <c r="M161" s="4">
        <v>0.189</v>
      </c>
      <c r="N161" s="4">
        <v>0.189</v>
      </c>
      <c r="O161" s="4">
        <v>0.189</v>
      </c>
      <c r="P161" s="4">
        <v>0</v>
      </c>
      <c r="Q161" s="3" t="s">
        <v>26</v>
      </c>
      <c r="R161" s="3">
        <v>0</v>
      </c>
      <c r="S161" s="3" t="s">
        <v>142</v>
      </c>
      <c r="T161" s="3" t="s">
        <v>299</v>
      </c>
      <c r="U161" s="3">
        <v>0</v>
      </c>
      <c r="V161" s="3">
        <v>23</v>
      </c>
      <c r="W161" s="3">
        <v>82</v>
      </c>
    </row>
    <row r="162" spans="1:23" ht="11.25" customHeight="1" x14ac:dyDescent="0.25">
      <c r="A162" s="3" t="s">
        <v>21</v>
      </c>
      <c r="B162" s="3" t="s">
        <v>33</v>
      </c>
      <c r="C162" s="3" t="s">
        <v>34</v>
      </c>
      <c r="D162" s="3" t="s">
        <v>24</v>
      </c>
      <c r="E162" s="3" t="s">
        <v>24</v>
      </c>
      <c r="F162" s="3" t="s">
        <v>25</v>
      </c>
      <c r="G162" s="3" t="s">
        <v>25</v>
      </c>
      <c r="H162" s="3" t="s">
        <v>35</v>
      </c>
      <c r="I162" s="6">
        <v>44409</v>
      </c>
      <c r="J162" s="4">
        <v>0</v>
      </c>
      <c r="K162" s="4">
        <v>0</v>
      </c>
      <c r="L162" s="4">
        <v>0.17299999999999999</v>
      </c>
      <c r="M162" s="4">
        <v>0.17299999999999999</v>
      </c>
      <c r="N162" s="4">
        <v>0.17299999999999999</v>
      </c>
      <c r="O162" s="4">
        <v>0.17299999999999999</v>
      </c>
      <c r="P162" s="4">
        <v>0</v>
      </c>
      <c r="Q162" s="3" t="s">
        <v>26</v>
      </c>
      <c r="R162" s="3">
        <v>0</v>
      </c>
      <c r="S162" s="3" t="s">
        <v>143</v>
      </c>
      <c r="T162" s="3" t="s">
        <v>300</v>
      </c>
      <c r="U162" s="3">
        <v>0</v>
      </c>
      <c r="V162" s="3">
        <v>23</v>
      </c>
      <c r="W162" s="3">
        <v>82</v>
      </c>
    </row>
    <row r="163" spans="1:23" ht="11.25" customHeight="1" x14ac:dyDescent="0.25">
      <c r="A163" s="3" t="s">
        <v>21</v>
      </c>
      <c r="B163" s="3" t="s">
        <v>33</v>
      </c>
      <c r="C163" s="3" t="s">
        <v>34</v>
      </c>
      <c r="D163" s="3" t="s">
        <v>24</v>
      </c>
      <c r="E163" s="3" t="s">
        <v>24</v>
      </c>
      <c r="F163" s="3" t="s">
        <v>25</v>
      </c>
      <c r="G163" s="3" t="s">
        <v>25</v>
      </c>
      <c r="H163" s="3" t="s">
        <v>35</v>
      </c>
      <c r="I163" s="6">
        <v>44440</v>
      </c>
      <c r="J163" s="4">
        <v>0</v>
      </c>
      <c r="K163" s="4">
        <v>0</v>
      </c>
      <c r="L163" s="4">
        <v>0.436</v>
      </c>
      <c r="M163" s="4">
        <v>0.436</v>
      </c>
      <c r="N163" s="4">
        <v>0.436</v>
      </c>
      <c r="O163" s="4">
        <v>0.436</v>
      </c>
      <c r="P163" s="4">
        <v>0</v>
      </c>
      <c r="Q163" s="3" t="s">
        <v>26</v>
      </c>
      <c r="R163" s="3">
        <v>0</v>
      </c>
      <c r="S163" s="3" t="s">
        <v>144</v>
      </c>
      <c r="T163" s="3" t="s">
        <v>301</v>
      </c>
      <c r="U163" s="3">
        <v>0</v>
      </c>
      <c r="V163" s="3">
        <v>23</v>
      </c>
      <c r="W163" s="3">
        <v>82</v>
      </c>
    </row>
    <row r="164" spans="1:23" ht="11.25" customHeight="1" x14ac:dyDescent="0.25">
      <c r="A164" s="3" t="s">
        <v>21</v>
      </c>
      <c r="B164" s="3" t="s">
        <v>33</v>
      </c>
      <c r="C164" s="3" t="s">
        <v>34</v>
      </c>
      <c r="D164" s="3" t="s">
        <v>24</v>
      </c>
      <c r="E164" s="3" t="s">
        <v>24</v>
      </c>
      <c r="F164" s="3" t="s">
        <v>25</v>
      </c>
      <c r="G164" s="3" t="s">
        <v>25</v>
      </c>
      <c r="H164" s="3" t="s">
        <v>35</v>
      </c>
      <c r="I164" s="6">
        <v>44470</v>
      </c>
      <c r="J164" s="4">
        <v>0</v>
      </c>
      <c r="K164" s="4">
        <v>0</v>
      </c>
      <c r="L164" s="4">
        <v>0.40400000000000003</v>
      </c>
      <c r="M164" s="4">
        <v>0.40400000000000003</v>
      </c>
      <c r="N164" s="4">
        <v>0.40400000000000003</v>
      </c>
      <c r="O164" s="4">
        <v>0.40400000000000003</v>
      </c>
      <c r="P164" s="4">
        <v>0</v>
      </c>
      <c r="Q164" s="3" t="s">
        <v>26</v>
      </c>
      <c r="R164" s="3">
        <v>0</v>
      </c>
      <c r="S164" s="3" t="s">
        <v>145</v>
      </c>
      <c r="T164" s="3" t="s">
        <v>302</v>
      </c>
      <c r="U164" s="3">
        <v>0</v>
      </c>
      <c r="V164" s="3">
        <v>23</v>
      </c>
      <c r="W164" s="3">
        <v>82</v>
      </c>
    </row>
    <row r="165" spans="1:23" ht="11.25" customHeight="1" x14ac:dyDescent="0.25">
      <c r="A165" s="3" t="s">
        <v>21</v>
      </c>
      <c r="B165" s="3" t="s">
        <v>33</v>
      </c>
      <c r="C165" s="3" t="s">
        <v>34</v>
      </c>
      <c r="D165" s="3" t="s">
        <v>24</v>
      </c>
      <c r="E165" s="3" t="s">
        <v>24</v>
      </c>
      <c r="F165" s="3" t="s">
        <v>25</v>
      </c>
      <c r="G165" s="3" t="s">
        <v>25</v>
      </c>
      <c r="H165" s="3" t="s">
        <v>35</v>
      </c>
      <c r="I165" s="6">
        <v>44501</v>
      </c>
      <c r="J165" s="4">
        <v>0</v>
      </c>
      <c r="K165" s="4">
        <v>0</v>
      </c>
      <c r="L165" s="4">
        <v>0.372</v>
      </c>
      <c r="M165" s="4">
        <v>0.372</v>
      </c>
      <c r="N165" s="4">
        <v>0.372</v>
      </c>
      <c r="O165" s="4">
        <v>0.372</v>
      </c>
      <c r="P165" s="4">
        <v>0</v>
      </c>
      <c r="Q165" s="3" t="s">
        <v>26</v>
      </c>
      <c r="R165" s="3">
        <v>0</v>
      </c>
      <c r="S165" s="3" t="s">
        <v>146</v>
      </c>
      <c r="T165" s="3" t="s">
        <v>303</v>
      </c>
      <c r="U165" s="3">
        <v>0</v>
      </c>
      <c r="V165" s="3">
        <v>23</v>
      </c>
      <c r="W165" s="3">
        <v>82</v>
      </c>
    </row>
    <row r="166" spans="1:23" ht="11.25" customHeight="1" x14ac:dyDescent="0.25">
      <c r="A166" s="3" t="s">
        <v>21</v>
      </c>
      <c r="B166" s="3" t="s">
        <v>33</v>
      </c>
      <c r="C166" s="3" t="s">
        <v>34</v>
      </c>
      <c r="D166" s="3" t="s">
        <v>24</v>
      </c>
      <c r="E166" s="3" t="s">
        <v>24</v>
      </c>
      <c r="F166" s="3" t="s">
        <v>25</v>
      </c>
      <c r="G166" s="3" t="s">
        <v>25</v>
      </c>
      <c r="H166" s="3" t="s">
        <v>35</v>
      </c>
      <c r="I166" s="6">
        <v>44531</v>
      </c>
      <c r="J166" s="4">
        <v>0</v>
      </c>
      <c r="K166" s="4">
        <v>0</v>
      </c>
      <c r="L166" s="4">
        <v>0.47</v>
      </c>
      <c r="M166" s="4">
        <v>0.47</v>
      </c>
      <c r="N166" s="4">
        <v>0.47</v>
      </c>
      <c r="O166" s="4">
        <v>0.47</v>
      </c>
      <c r="P166" s="4">
        <v>0</v>
      </c>
      <c r="Q166" s="3" t="s">
        <v>26</v>
      </c>
      <c r="R166" s="3">
        <v>0</v>
      </c>
      <c r="S166" s="3" t="s">
        <v>147</v>
      </c>
      <c r="T166" s="3" t="s">
        <v>304</v>
      </c>
      <c r="U166" s="3">
        <v>0</v>
      </c>
      <c r="V166" s="3">
        <v>23</v>
      </c>
      <c r="W166" s="3">
        <v>82</v>
      </c>
    </row>
    <row r="167" spans="1:23" ht="11.25" customHeight="1" x14ac:dyDescent="0.25">
      <c r="A167" s="3" t="s">
        <v>21</v>
      </c>
      <c r="B167" s="3" t="s">
        <v>33</v>
      </c>
      <c r="C167" s="3" t="s">
        <v>34</v>
      </c>
      <c r="D167" s="3" t="s">
        <v>24</v>
      </c>
      <c r="E167" s="3" t="s">
        <v>24</v>
      </c>
      <c r="F167" s="3" t="s">
        <v>25</v>
      </c>
      <c r="G167" s="3" t="s">
        <v>25</v>
      </c>
      <c r="H167" s="3" t="s">
        <v>35</v>
      </c>
      <c r="I167" s="6">
        <v>44562</v>
      </c>
      <c r="J167" s="4">
        <v>0</v>
      </c>
      <c r="K167" s="4">
        <v>0</v>
      </c>
      <c r="L167" s="4">
        <v>0.34399999999999997</v>
      </c>
      <c r="M167" s="4">
        <v>0.34399999999999997</v>
      </c>
      <c r="N167" s="4">
        <v>0.34399999999999997</v>
      </c>
      <c r="O167" s="4">
        <v>0.34399999999999997</v>
      </c>
      <c r="P167" s="4">
        <v>0</v>
      </c>
      <c r="Q167" s="3" t="s">
        <v>26</v>
      </c>
      <c r="R167" s="3">
        <v>0</v>
      </c>
      <c r="S167" s="3" t="s">
        <v>148</v>
      </c>
      <c r="T167" s="3" t="s">
        <v>305</v>
      </c>
      <c r="U167" s="3">
        <v>0</v>
      </c>
      <c r="V167" s="3">
        <v>23</v>
      </c>
      <c r="W167" s="3">
        <v>82</v>
      </c>
    </row>
    <row r="168" spans="1:23" ht="11.25" customHeight="1" x14ac:dyDescent="0.25">
      <c r="A168" s="3" t="s">
        <v>21</v>
      </c>
      <c r="B168" s="3" t="s">
        <v>33</v>
      </c>
      <c r="C168" s="3" t="s">
        <v>34</v>
      </c>
      <c r="D168" s="3" t="s">
        <v>24</v>
      </c>
      <c r="E168" s="3" t="s">
        <v>24</v>
      </c>
      <c r="F168" s="3" t="s">
        <v>25</v>
      </c>
      <c r="G168" s="3" t="s">
        <v>25</v>
      </c>
      <c r="H168" s="3" t="s">
        <v>35</v>
      </c>
      <c r="I168" s="6">
        <v>44593</v>
      </c>
      <c r="J168" s="4">
        <v>0</v>
      </c>
      <c r="K168" s="4">
        <v>0</v>
      </c>
      <c r="L168" s="4">
        <v>0.40500000000000003</v>
      </c>
      <c r="M168" s="4">
        <v>0.40500000000000003</v>
      </c>
      <c r="N168" s="4">
        <v>0.40500000000000003</v>
      </c>
      <c r="O168" s="4">
        <v>0.40500000000000003</v>
      </c>
      <c r="P168" s="4">
        <v>0</v>
      </c>
      <c r="Q168" s="3" t="s">
        <v>26</v>
      </c>
      <c r="R168" s="3">
        <v>0</v>
      </c>
      <c r="S168" s="3" t="s">
        <v>149</v>
      </c>
      <c r="T168" s="3" t="s">
        <v>306</v>
      </c>
      <c r="U168" s="3">
        <v>0</v>
      </c>
      <c r="V168" s="3">
        <v>23</v>
      </c>
      <c r="W168" s="3">
        <v>82</v>
      </c>
    </row>
    <row r="169" spans="1:23" ht="11.25" customHeight="1" x14ac:dyDescent="0.25">
      <c r="A169" s="3" t="s">
        <v>21</v>
      </c>
      <c r="B169" s="3" t="s">
        <v>33</v>
      </c>
      <c r="C169" s="3" t="s">
        <v>34</v>
      </c>
      <c r="D169" s="3" t="s">
        <v>24</v>
      </c>
      <c r="E169" s="3" t="s">
        <v>24</v>
      </c>
      <c r="F169" s="3" t="s">
        <v>25</v>
      </c>
      <c r="G169" s="3" t="s">
        <v>25</v>
      </c>
      <c r="H169" s="3" t="s">
        <v>35</v>
      </c>
      <c r="I169" s="6">
        <v>44621</v>
      </c>
      <c r="J169" s="4">
        <v>0</v>
      </c>
      <c r="K169" s="4">
        <v>0</v>
      </c>
      <c r="L169" s="4">
        <v>0.41599999999999998</v>
      </c>
      <c r="M169" s="4">
        <v>0.41599999999999998</v>
      </c>
      <c r="N169" s="4">
        <v>0.41599999999999998</v>
      </c>
      <c r="O169" s="4">
        <v>0.41599999999999998</v>
      </c>
      <c r="P169" s="4">
        <v>0</v>
      </c>
      <c r="Q169" s="3" t="s">
        <v>26</v>
      </c>
      <c r="R169" s="3">
        <v>0</v>
      </c>
      <c r="S169" s="3" t="s">
        <v>150</v>
      </c>
      <c r="T169" s="3" t="s">
        <v>307</v>
      </c>
      <c r="U169" s="3">
        <v>0</v>
      </c>
      <c r="V169" s="3">
        <v>23</v>
      </c>
      <c r="W169" s="3">
        <v>82</v>
      </c>
    </row>
    <row r="170" spans="1:23" ht="11.25" customHeight="1" x14ac:dyDescent="0.25">
      <c r="A170" s="3" t="s">
        <v>21</v>
      </c>
      <c r="B170" s="3" t="s">
        <v>22</v>
      </c>
      <c r="C170" s="3" t="s">
        <v>37</v>
      </c>
      <c r="D170" s="3" t="s">
        <v>24</v>
      </c>
      <c r="E170" s="3" t="s">
        <v>24</v>
      </c>
      <c r="F170" s="3" t="s">
        <v>25</v>
      </c>
      <c r="G170" s="3" t="s">
        <v>25</v>
      </c>
      <c r="H170" s="3" t="s">
        <v>36</v>
      </c>
      <c r="I170" s="6">
        <v>44287</v>
      </c>
      <c r="J170" s="4">
        <v>0</v>
      </c>
      <c r="K170" s="4">
        <v>0</v>
      </c>
      <c r="L170" s="4">
        <v>1.744</v>
      </c>
      <c r="M170" s="4">
        <v>1.744</v>
      </c>
      <c r="N170" s="4">
        <v>1.744</v>
      </c>
      <c r="O170" s="4">
        <v>1.744</v>
      </c>
      <c r="P170" s="4">
        <v>0</v>
      </c>
      <c r="Q170" s="3" t="s">
        <v>26</v>
      </c>
      <c r="R170" s="3">
        <v>0</v>
      </c>
      <c r="S170" s="3" t="s">
        <v>151</v>
      </c>
      <c r="T170" s="3" t="s">
        <v>312</v>
      </c>
      <c r="U170" s="3">
        <v>0</v>
      </c>
      <c r="V170" s="3">
        <v>35</v>
      </c>
      <c r="W170" s="3">
        <v>44</v>
      </c>
    </row>
    <row r="171" spans="1:23" ht="11.25" customHeight="1" x14ac:dyDescent="0.25">
      <c r="A171" s="3" t="s">
        <v>21</v>
      </c>
      <c r="B171" s="3" t="s">
        <v>22</v>
      </c>
      <c r="C171" s="3" t="s">
        <v>37</v>
      </c>
      <c r="D171" s="3" t="s">
        <v>24</v>
      </c>
      <c r="E171" s="3" t="s">
        <v>24</v>
      </c>
      <c r="F171" s="3" t="s">
        <v>25</v>
      </c>
      <c r="G171" s="3" t="s">
        <v>25</v>
      </c>
      <c r="H171" s="3" t="s">
        <v>36</v>
      </c>
      <c r="I171" s="6">
        <v>44317</v>
      </c>
      <c r="J171" s="4">
        <v>0</v>
      </c>
      <c r="K171" s="4">
        <v>0</v>
      </c>
      <c r="L171" s="4">
        <v>1.3580000000000001</v>
      </c>
      <c r="M171" s="4">
        <v>1.3580000000000001</v>
      </c>
      <c r="N171" s="4">
        <v>1.3580000000000001</v>
      </c>
      <c r="O171" s="4">
        <v>1.3580000000000001</v>
      </c>
      <c r="P171" s="4">
        <v>0</v>
      </c>
      <c r="Q171" s="3" t="s">
        <v>26</v>
      </c>
      <c r="R171" s="3">
        <v>0</v>
      </c>
      <c r="S171" s="3" t="s">
        <v>152</v>
      </c>
      <c r="T171" s="3" t="s">
        <v>313</v>
      </c>
      <c r="U171" s="3">
        <v>0</v>
      </c>
      <c r="V171" s="3">
        <v>35</v>
      </c>
      <c r="W171" s="3">
        <v>44</v>
      </c>
    </row>
    <row r="172" spans="1:23" ht="11.25" customHeight="1" x14ac:dyDescent="0.25">
      <c r="A172" s="3" t="s">
        <v>21</v>
      </c>
      <c r="B172" s="3" t="s">
        <v>22</v>
      </c>
      <c r="C172" s="3" t="s">
        <v>37</v>
      </c>
      <c r="D172" s="3" t="s">
        <v>24</v>
      </c>
      <c r="E172" s="3" t="s">
        <v>24</v>
      </c>
      <c r="F172" s="3" t="s">
        <v>25</v>
      </c>
      <c r="G172" s="3" t="s">
        <v>25</v>
      </c>
      <c r="H172" s="3" t="s">
        <v>36</v>
      </c>
      <c r="I172" s="6">
        <v>44348</v>
      </c>
      <c r="J172" s="4">
        <v>0</v>
      </c>
      <c r="K172" s="4">
        <v>0</v>
      </c>
      <c r="L172" s="4">
        <v>1.4119999999999999</v>
      </c>
      <c r="M172" s="4">
        <v>1.4119999999999999</v>
      </c>
      <c r="N172" s="4">
        <v>1.4119999999999999</v>
      </c>
      <c r="O172" s="4">
        <v>1.4119999999999999</v>
      </c>
      <c r="P172" s="4">
        <v>0</v>
      </c>
      <c r="Q172" s="3" t="s">
        <v>26</v>
      </c>
      <c r="R172" s="3">
        <v>0</v>
      </c>
      <c r="S172" s="3" t="s">
        <v>153</v>
      </c>
      <c r="T172" s="3" t="s">
        <v>314</v>
      </c>
      <c r="U172" s="3">
        <v>0</v>
      </c>
      <c r="V172" s="3">
        <v>35</v>
      </c>
      <c r="W172" s="3">
        <v>44</v>
      </c>
    </row>
    <row r="173" spans="1:23" ht="11.25" customHeight="1" x14ac:dyDescent="0.25">
      <c r="A173" s="3" t="s">
        <v>21</v>
      </c>
      <c r="B173" s="3" t="s">
        <v>22</v>
      </c>
      <c r="C173" s="3" t="s">
        <v>37</v>
      </c>
      <c r="D173" s="3" t="s">
        <v>24</v>
      </c>
      <c r="E173" s="3" t="s">
        <v>24</v>
      </c>
      <c r="F173" s="3" t="s">
        <v>25</v>
      </c>
      <c r="G173" s="3" t="s">
        <v>25</v>
      </c>
      <c r="H173" s="3" t="s">
        <v>36</v>
      </c>
      <c r="I173" s="6">
        <v>44378</v>
      </c>
      <c r="J173" s="4">
        <v>0</v>
      </c>
      <c r="K173" s="4">
        <v>0</v>
      </c>
      <c r="L173" s="4">
        <v>1.2170000000000001</v>
      </c>
      <c r="M173" s="4">
        <v>1.2170000000000001</v>
      </c>
      <c r="N173" s="4">
        <v>1.2170000000000001</v>
      </c>
      <c r="O173" s="4">
        <v>1.2170000000000001</v>
      </c>
      <c r="P173" s="4">
        <v>0</v>
      </c>
      <c r="Q173" s="3" t="s">
        <v>26</v>
      </c>
      <c r="R173" s="3">
        <v>0</v>
      </c>
      <c r="S173" s="3" t="s">
        <v>154</v>
      </c>
      <c r="T173" s="3" t="s">
        <v>315</v>
      </c>
      <c r="U173" s="3">
        <v>0</v>
      </c>
      <c r="V173" s="3">
        <v>35</v>
      </c>
      <c r="W173" s="3">
        <v>44</v>
      </c>
    </row>
    <row r="174" spans="1:23" ht="11.25" customHeight="1" x14ac:dyDescent="0.25">
      <c r="A174" s="3" t="s">
        <v>21</v>
      </c>
      <c r="B174" s="3" t="s">
        <v>22</v>
      </c>
      <c r="C174" s="3" t="s">
        <v>37</v>
      </c>
      <c r="D174" s="3" t="s">
        <v>24</v>
      </c>
      <c r="E174" s="3" t="s">
        <v>24</v>
      </c>
      <c r="F174" s="3" t="s">
        <v>25</v>
      </c>
      <c r="G174" s="3" t="s">
        <v>25</v>
      </c>
      <c r="H174" s="3" t="s">
        <v>36</v>
      </c>
      <c r="I174" s="6">
        <v>44409</v>
      </c>
      <c r="J174" s="4">
        <v>0</v>
      </c>
      <c r="K174" s="4">
        <v>0</v>
      </c>
      <c r="L174" s="4">
        <v>1.0920000000000001</v>
      </c>
      <c r="M174" s="4">
        <v>1.0920000000000001</v>
      </c>
      <c r="N174" s="4">
        <v>1.0920000000000001</v>
      </c>
      <c r="O174" s="4">
        <v>1.0920000000000001</v>
      </c>
      <c r="P174" s="4">
        <v>0</v>
      </c>
      <c r="Q174" s="3" t="s">
        <v>26</v>
      </c>
      <c r="R174" s="3">
        <v>0</v>
      </c>
      <c r="S174" s="3" t="s">
        <v>155</v>
      </c>
      <c r="T174" s="3" t="s">
        <v>316</v>
      </c>
      <c r="U174" s="3">
        <v>0</v>
      </c>
      <c r="V174" s="3">
        <v>35</v>
      </c>
      <c r="W174" s="3">
        <v>44</v>
      </c>
    </row>
    <row r="175" spans="1:23" ht="11.25" customHeight="1" x14ac:dyDescent="0.25">
      <c r="A175" s="3" t="s">
        <v>21</v>
      </c>
      <c r="B175" s="3" t="s">
        <v>22</v>
      </c>
      <c r="C175" s="3" t="s">
        <v>37</v>
      </c>
      <c r="D175" s="3" t="s">
        <v>24</v>
      </c>
      <c r="E175" s="3" t="s">
        <v>24</v>
      </c>
      <c r="F175" s="3" t="s">
        <v>25</v>
      </c>
      <c r="G175" s="3" t="s">
        <v>25</v>
      </c>
      <c r="H175" s="3" t="s">
        <v>36</v>
      </c>
      <c r="I175" s="6">
        <v>44440</v>
      </c>
      <c r="J175" s="4">
        <v>0</v>
      </c>
      <c r="K175" s="4">
        <v>0</v>
      </c>
      <c r="L175" s="4">
        <v>1.4079999999999999</v>
      </c>
      <c r="M175" s="4">
        <v>1.4079999999999999</v>
      </c>
      <c r="N175" s="4">
        <v>1.4079999999999999</v>
      </c>
      <c r="O175" s="4">
        <v>1.4079999999999999</v>
      </c>
      <c r="P175" s="4">
        <v>0</v>
      </c>
      <c r="Q175" s="3" t="s">
        <v>26</v>
      </c>
      <c r="R175" s="3">
        <v>0</v>
      </c>
      <c r="S175" s="3" t="s">
        <v>156</v>
      </c>
      <c r="T175" s="3" t="s">
        <v>317</v>
      </c>
      <c r="U175" s="3">
        <v>0</v>
      </c>
      <c r="V175" s="3">
        <v>35</v>
      </c>
      <c r="W175" s="3">
        <v>44</v>
      </c>
    </row>
    <row r="176" spans="1:23" ht="11.25" customHeight="1" x14ac:dyDescent="0.25">
      <c r="A176" s="3" t="s">
        <v>21</v>
      </c>
      <c r="B176" s="3" t="s">
        <v>22</v>
      </c>
      <c r="C176" s="3" t="s">
        <v>37</v>
      </c>
      <c r="D176" s="3" t="s">
        <v>24</v>
      </c>
      <c r="E176" s="3" t="s">
        <v>24</v>
      </c>
      <c r="F176" s="3" t="s">
        <v>25</v>
      </c>
      <c r="G176" s="3" t="s">
        <v>25</v>
      </c>
      <c r="H176" s="3" t="s">
        <v>36</v>
      </c>
      <c r="I176" s="6">
        <v>44470</v>
      </c>
      <c r="J176" s="4">
        <v>0</v>
      </c>
      <c r="K176" s="4">
        <v>0</v>
      </c>
      <c r="L176" s="4">
        <v>1.2629999999999999</v>
      </c>
      <c r="M176" s="4">
        <v>1.2629999999999999</v>
      </c>
      <c r="N176" s="4">
        <v>1.2629999999999999</v>
      </c>
      <c r="O176" s="4">
        <v>1.2629999999999999</v>
      </c>
      <c r="P176" s="4">
        <v>0</v>
      </c>
      <c r="Q176" s="3" t="s">
        <v>26</v>
      </c>
      <c r="R176" s="3">
        <v>0</v>
      </c>
      <c r="S176" s="3" t="s">
        <v>157</v>
      </c>
      <c r="T176" s="3" t="s">
        <v>318</v>
      </c>
      <c r="U176" s="3">
        <v>0</v>
      </c>
      <c r="V176" s="3">
        <v>35</v>
      </c>
      <c r="W176" s="3">
        <v>44</v>
      </c>
    </row>
    <row r="177" spans="1:23" ht="11.25" customHeight="1" x14ac:dyDescent="0.25">
      <c r="A177" s="3" t="s">
        <v>21</v>
      </c>
      <c r="B177" s="3" t="s">
        <v>22</v>
      </c>
      <c r="C177" s="3" t="s">
        <v>37</v>
      </c>
      <c r="D177" s="3" t="s">
        <v>24</v>
      </c>
      <c r="E177" s="3" t="s">
        <v>24</v>
      </c>
      <c r="F177" s="3" t="s">
        <v>25</v>
      </c>
      <c r="G177" s="3" t="s">
        <v>25</v>
      </c>
      <c r="H177" s="3" t="s">
        <v>36</v>
      </c>
      <c r="I177" s="6">
        <v>44501</v>
      </c>
      <c r="J177" s="4">
        <v>0</v>
      </c>
      <c r="K177" s="4">
        <v>0</v>
      </c>
      <c r="L177" s="4">
        <v>1.226</v>
      </c>
      <c r="M177" s="4">
        <v>1.226</v>
      </c>
      <c r="N177" s="4">
        <v>1.226</v>
      </c>
      <c r="O177" s="4">
        <v>1.226</v>
      </c>
      <c r="P177" s="4">
        <v>0</v>
      </c>
      <c r="Q177" s="3" t="s">
        <v>26</v>
      </c>
      <c r="R177" s="3">
        <v>0</v>
      </c>
      <c r="S177" s="3" t="s">
        <v>158</v>
      </c>
      <c r="T177" s="3" t="s">
        <v>319</v>
      </c>
      <c r="U177" s="3">
        <v>0</v>
      </c>
      <c r="V177" s="3">
        <v>35</v>
      </c>
      <c r="W177" s="3">
        <v>44</v>
      </c>
    </row>
    <row r="178" spans="1:23" ht="11.25" customHeight="1" x14ac:dyDescent="0.25">
      <c r="A178" s="3" t="s">
        <v>21</v>
      </c>
      <c r="B178" s="3" t="s">
        <v>22</v>
      </c>
      <c r="C178" s="3" t="s">
        <v>37</v>
      </c>
      <c r="D178" s="3" t="s">
        <v>24</v>
      </c>
      <c r="E178" s="3" t="s">
        <v>24</v>
      </c>
      <c r="F178" s="3" t="s">
        <v>25</v>
      </c>
      <c r="G178" s="3" t="s">
        <v>25</v>
      </c>
      <c r="H178" s="3" t="s">
        <v>36</v>
      </c>
      <c r="I178" s="6">
        <v>44531</v>
      </c>
      <c r="J178" s="4">
        <v>0</v>
      </c>
      <c r="K178" s="4">
        <v>0</v>
      </c>
      <c r="L178" s="4">
        <v>1.002</v>
      </c>
      <c r="M178" s="4">
        <v>1.002</v>
      </c>
      <c r="N178" s="4">
        <v>1.002</v>
      </c>
      <c r="O178" s="4">
        <v>1.002</v>
      </c>
      <c r="P178" s="4">
        <v>0</v>
      </c>
      <c r="Q178" s="3" t="s">
        <v>26</v>
      </c>
      <c r="R178" s="3">
        <v>0</v>
      </c>
      <c r="S178" s="3" t="s">
        <v>159</v>
      </c>
      <c r="T178" s="3" t="s">
        <v>320</v>
      </c>
      <c r="U178" s="3">
        <v>0</v>
      </c>
      <c r="V178" s="3">
        <v>35</v>
      </c>
      <c r="W178" s="3">
        <v>44</v>
      </c>
    </row>
    <row r="179" spans="1:23" ht="11.25" customHeight="1" x14ac:dyDescent="0.25">
      <c r="A179" s="3" t="s">
        <v>28</v>
      </c>
      <c r="B179" s="3" t="s">
        <v>22</v>
      </c>
      <c r="C179" s="3" t="s">
        <v>37</v>
      </c>
      <c r="D179" s="3" t="s">
        <v>24</v>
      </c>
      <c r="E179" s="3" t="s">
        <v>24</v>
      </c>
      <c r="F179" s="3" t="s">
        <v>25</v>
      </c>
      <c r="G179" s="3" t="s">
        <v>25</v>
      </c>
      <c r="H179" s="3" t="s">
        <v>36</v>
      </c>
      <c r="I179" s="6">
        <v>44531</v>
      </c>
      <c r="J179" s="4">
        <v>0</v>
      </c>
      <c r="K179" s="4">
        <v>0</v>
      </c>
      <c r="L179" s="4">
        <v>0.247</v>
      </c>
      <c r="M179" s="4">
        <v>0.247</v>
      </c>
      <c r="N179" s="4">
        <v>0.247</v>
      </c>
      <c r="O179" s="4">
        <v>0.247</v>
      </c>
      <c r="P179" s="4">
        <v>0</v>
      </c>
      <c r="Q179" s="3" t="s">
        <v>26</v>
      </c>
      <c r="R179" s="3">
        <v>0</v>
      </c>
      <c r="S179" s="3" t="s">
        <v>159</v>
      </c>
      <c r="T179" s="3" t="s">
        <v>320</v>
      </c>
      <c r="U179" s="3">
        <v>0</v>
      </c>
      <c r="V179" s="3">
        <v>35</v>
      </c>
      <c r="W179" s="3">
        <v>44</v>
      </c>
    </row>
    <row r="180" spans="1:23" ht="11.25" customHeight="1" x14ac:dyDescent="0.25">
      <c r="A180" s="3" t="s">
        <v>21</v>
      </c>
      <c r="B180" s="3" t="s">
        <v>22</v>
      </c>
      <c r="C180" s="3" t="s">
        <v>37</v>
      </c>
      <c r="D180" s="3" t="s">
        <v>24</v>
      </c>
      <c r="E180" s="3" t="s">
        <v>24</v>
      </c>
      <c r="F180" s="3" t="s">
        <v>25</v>
      </c>
      <c r="G180" s="3" t="s">
        <v>25</v>
      </c>
      <c r="H180" s="3" t="s">
        <v>36</v>
      </c>
      <c r="I180" s="6">
        <v>44562</v>
      </c>
      <c r="J180" s="4">
        <v>0</v>
      </c>
      <c r="K180" s="4">
        <v>0</v>
      </c>
      <c r="L180" s="4">
        <v>1.147</v>
      </c>
      <c r="M180" s="4">
        <v>1.147</v>
      </c>
      <c r="N180" s="4">
        <v>1.147</v>
      </c>
      <c r="O180" s="4">
        <v>1.147</v>
      </c>
      <c r="P180" s="4">
        <v>0</v>
      </c>
      <c r="Q180" s="3" t="s">
        <v>26</v>
      </c>
      <c r="R180" s="3">
        <v>0</v>
      </c>
      <c r="S180" s="3" t="s">
        <v>160</v>
      </c>
      <c r="T180" s="3" t="s">
        <v>321</v>
      </c>
      <c r="U180" s="3">
        <v>0</v>
      </c>
      <c r="V180" s="3">
        <v>35</v>
      </c>
      <c r="W180" s="3">
        <v>44</v>
      </c>
    </row>
    <row r="181" spans="1:23" ht="11.25" customHeight="1" x14ac:dyDescent="0.25">
      <c r="A181" s="3" t="s">
        <v>28</v>
      </c>
      <c r="B181" s="3" t="s">
        <v>22</v>
      </c>
      <c r="C181" s="3" t="s">
        <v>37</v>
      </c>
      <c r="D181" s="3" t="s">
        <v>24</v>
      </c>
      <c r="E181" s="3" t="s">
        <v>24</v>
      </c>
      <c r="F181" s="3" t="s">
        <v>25</v>
      </c>
      <c r="G181" s="3" t="s">
        <v>25</v>
      </c>
      <c r="H181" s="3" t="s">
        <v>36</v>
      </c>
      <c r="I181" s="6">
        <v>44562</v>
      </c>
      <c r="J181" s="4">
        <v>0</v>
      </c>
      <c r="K181" s="4">
        <v>0</v>
      </c>
      <c r="L181" s="4">
        <v>7.0999999999999994E-2</v>
      </c>
      <c r="M181" s="4">
        <v>7.0999999999999994E-2</v>
      </c>
      <c r="N181" s="4">
        <v>7.0999999999999994E-2</v>
      </c>
      <c r="O181" s="4">
        <v>7.0999999999999994E-2</v>
      </c>
      <c r="P181" s="4">
        <v>0</v>
      </c>
      <c r="Q181" s="3" t="s">
        <v>26</v>
      </c>
      <c r="R181" s="3">
        <v>0</v>
      </c>
      <c r="S181" s="3" t="s">
        <v>160</v>
      </c>
      <c r="T181" s="3" t="s">
        <v>321</v>
      </c>
      <c r="U181" s="3">
        <v>0</v>
      </c>
      <c r="V181" s="3">
        <v>35</v>
      </c>
      <c r="W181" s="3">
        <v>44</v>
      </c>
    </row>
    <row r="182" spans="1:23" ht="11.25" customHeight="1" x14ac:dyDescent="0.25">
      <c r="A182" s="3" t="s">
        <v>21</v>
      </c>
      <c r="B182" s="3" t="s">
        <v>22</v>
      </c>
      <c r="C182" s="3" t="s">
        <v>37</v>
      </c>
      <c r="D182" s="3" t="s">
        <v>24</v>
      </c>
      <c r="E182" s="3" t="s">
        <v>24</v>
      </c>
      <c r="F182" s="3" t="s">
        <v>25</v>
      </c>
      <c r="G182" s="3" t="s">
        <v>25</v>
      </c>
      <c r="H182" s="3" t="s">
        <v>36</v>
      </c>
      <c r="I182" s="6">
        <v>44593</v>
      </c>
      <c r="J182" s="4">
        <v>0</v>
      </c>
      <c r="K182" s="4">
        <v>0</v>
      </c>
      <c r="L182" s="4">
        <v>1.31</v>
      </c>
      <c r="M182" s="4">
        <v>1.31</v>
      </c>
      <c r="N182" s="4">
        <v>1.31</v>
      </c>
      <c r="O182" s="4">
        <v>1.31</v>
      </c>
      <c r="P182" s="4">
        <v>0</v>
      </c>
      <c r="Q182" s="3" t="s">
        <v>26</v>
      </c>
      <c r="R182" s="3">
        <v>0</v>
      </c>
      <c r="S182" s="3" t="s">
        <v>161</v>
      </c>
      <c r="T182" s="3" t="s">
        <v>322</v>
      </c>
      <c r="U182" s="3">
        <v>0</v>
      </c>
      <c r="V182" s="3">
        <v>35</v>
      </c>
      <c r="W182" s="3">
        <v>44</v>
      </c>
    </row>
    <row r="183" spans="1:23" ht="11.25" customHeight="1" x14ac:dyDescent="0.25">
      <c r="A183" s="3" t="s">
        <v>21</v>
      </c>
      <c r="B183" s="3" t="s">
        <v>22</v>
      </c>
      <c r="C183" s="3" t="s">
        <v>37</v>
      </c>
      <c r="D183" s="3" t="s">
        <v>24</v>
      </c>
      <c r="E183" s="3" t="s">
        <v>24</v>
      </c>
      <c r="F183" s="3" t="s">
        <v>25</v>
      </c>
      <c r="G183" s="3" t="s">
        <v>25</v>
      </c>
      <c r="H183" s="3" t="s">
        <v>36</v>
      </c>
      <c r="I183" s="6">
        <v>44621</v>
      </c>
      <c r="J183" s="4">
        <v>0</v>
      </c>
      <c r="K183" s="4">
        <v>0</v>
      </c>
      <c r="L183" s="4">
        <v>1.2889999999999999</v>
      </c>
      <c r="M183" s="4">
        <v>1.2889999999999999</v>
      </c>
      <c r="N183" s="4">
        <v>1.2889999999999999</v>
      </c>
      <c r="O183" s="4">
        <v>1.2889999999999999</v>
      </c>
      <c r="P183" s="4">
        <v>0</v>
      </c>
      <c r="Q183" s="3" t="s">
        <v>26</v>
      </c>
      <c r="R183" s="3">
        <v>0</v>
      </c>
      <c r="S183" s="3" t="s">
        <v>162</v>
      </c>
      <c r="T183" s="3" t="s">
        <v>323</v>
      </c>
      <c r="U183" s="3">
        <v>0</v>
      </c>
      <c r="V183" s="3">
        <v>35</v>
      </c>
      <c r="W183" s="3">
        <v>44</v>
      </c>
    </row>
    <row r="184" spans="1:23" ht="11.25" customHeight="1" x14ac:dyDescent="0.25">
      <c r="A184" s="3" t="s">
        <v>21</v>
      </c>
      <c r="B184" s="3" t="s">
        <v>22</v>
      </c>
      <c r="C184" s="3" t="s">
        <v>37</v>
      </c>
      <c r="D184" s="3" t="s">
        <v>24</v>
      </c>
      <c r="E184" s="3" t="s">
        <v>24</v>
      </c>
      <c r="F184" s="3" t="s">
        <v>25</v>
      </c>
      <c r="G184" s="3" t="s">
        <v>25</v>
      </c>
      <c r="H184" s="3" t="s">
        <v>38</v>
      </c>
      <c r="I184" s="6">
        <v>44287</v>
      </c>
      <c r="J184" s="4">
        <v>0</v>
      </c>
      <c r="K184" s="4">
        <v>0</v>
      </c>
      <c r="L184" s="4">
        <v>0.11899999999999999</v>
      </c>
      <c r="M184" s="4">
        <v>0.11899999999999999</v>
      </c>
      <c r="N184" s="4">
        <v>0.11899999999999999</v>
      </c>
      <c r="O184" s="4">
        <v>0.11899999999999999</v>
      </c>
      <c r="P184" s="4">
        <v>0</v>
      </c>
      <c r="Q184" s="3" t="s">
        <v>26</v>
      </c>
      <c r="R184" s="3">
        <v>0</v>
      </c>
      <c r="S184" s="3" t="s">
        <v>163</v>
      </c>
      <c r="T184" s="3" t="s">
        <v>324</v>
      </c>
      <c r="U184" s="3">
        <v>0</v>
      </c>
      <c r="V184" s="3">
        <v>28</v>
      </c>
      <c r="W184" s="3">
        <v>43</v>
      </c>
    </row>
    <row r="185" spans="1:23" ht="11.25" customHeight="1" x14ac:dyDescent="0.25">
      <c r="A185" s="3" t="s">
        <v>21</v>
      </c>
      <c r="B185" s="3" t="s">
        <v>22</v>
      </c>
      <c r="C185" s="3" t="s">
        <v>37</v>
      </c>
      <c r="D185" s="3" t="s">
        <v>24</v>
      </c>
      <c r="E185" s="3" t="s">
        <v>24</v>
      </c>
      <c r="F185" s="3" t="s">
        <v>25</v>
      </c>
      <c r="G185" s="3" t="s">
        <v>25</v>
      </c>
      <c r="H185" s="3" t="s">
        <v>38</v>
      </c>
      <c r="I185" s="6">
        <v>44317</v>
      </c>
      <c r="J185" s="4">
        <v>0</v>
      </c>
      <c r="K185" s="4">
        <v>0</v>
      </c>
      <c r="L185" s="4">
        <v>0.105</v>
      </c>
      <c r="M185" s="4">
        <v>0.105</v>
      </c>
      <c r="N185" s="4">
        <v>0.105</v>
      </c>
      <c r="O185" s="4">
        <v>0.105</v>
      </c>
      <c r="P185" s="4">
        <v>0</v>
      </c>
      <c r="Q185" s="3" t="s">
        <v>26</v>
      </c>
      <c r="R185" s="3">
        <v>0</v>
      </c>
      <c r="S185" s="3" t="s">
        <v>164</v>
      </c>
      <c r="T185" s="3" t="s">
        <v>325</v>
      </c>
      <c r="U185" s="3">
        <v>0</v>
      </c>
      <c r="V185" s="3">
        <v>28</v>
      </c>
      <c r="W185" s="3">
        <v>43</v>
      </c>
    </row>
    <row r="186" spans="1:23" ht="11.25" customHeight="1" x14ac:dyDescent="0.25">
      <c r="A186" s="3" t="s">
        <v>21</v>
      </c>
      <c r="B186" s="3" t="s">
        <v>22</v>
      </c>
      <c r="C186" s="3" t="s">
        <v>37</v>
      </c>
      <c r="D186" s="3" t="s">
        <v>24</v>
      </c>
      <c r="E186" s="3" t="s">
        <v>24</v>
      </c>
      <c r="F186" s="3" t="s">
        <v>25</v>
      </c>
      <c r="G186" s="3" t="s">
        <v>25</v>
      </c>
      <c r="H186" s="3" t="s">
        <v>38</v>
      </c>
      <c r="I186" s="6">
        <v>44348</v>
      </c>
      <c r="J186" s="4">
        <v>0</v>
      </c>
      <c r="K186" s="4">
        <v>0</v>
      </c>
      <c r="L186" s="4">
        <v>9.6000000000000002E-2</v>
      </c>
      <c r="M186" s="4">
        <v>9.6000000000000002E-2</v>
      </c>
      <c r="N186" s="4">
        <v>9.6000000000000002E-2</v>
      </c>
      <c r="O186" s="4">
        <v>9.6000000000000002E-2</v>
      </c>
      <c r="P186" s="4">
        <v>0</v>
      </c>
      <c r="Q186" s="3" t="s">
        <v>26</v>
      </c>
      <c r="R186" s="3">
        <v>0</v>
      </c>
      <c r="S186" s="3" t="s">
        <v>165</v>
      </c>
      <c r="T186" s="3" t="s">
        <v>326</v>
      </c>
      <c r="U186" s="3">
        <v>0</v>
      </c>
      <c r="V186" s="3">
        <v>28</v>
      </c>
      <c r="W186" s="3">
        <v>43</v>
      </c>
    </row>
    <row r="187" spans="1:23" ht="11.25" customHeight="1" x14ac:dyDescent="0.25">
      <c r="A187" s="3" t="s">
        <v>21</v>
      </c>
      <c r="B187" s="3" t="s">
        <v>22</v>
      </c>
      <c r="C187" s="3" t="s">
        <v>37</v>
      </c>
      <c r="D187" s="3" t="s">
        <v>24</v>
      </c>
      <c r="E187" s="3" t="s">
        <v>24</v>
      </c>
      <c r="F187" s="3" t="s">
        <v>25</v>
      </c>
      <c r="G187" s="3" t="s">
        <v>25</v>
      </c>
      <c r="H187" s="3" t="s">
        <v>38</v>
      </c>
      <c r="I187" s="6">
        <v>44378</v>
      </c>
      <c r="J187" s="4">
        <v>0</v>
      </c>
      <c r="K187" s="4">
        <v>0</v>
      </c>
      <c r="L187" s="4">
        <v>0.107</v>
      </c>
      <c r="M187" s="4">
        <v>0.107</v>
      </c>
      <c r="N187" s="4">
        <v>0.107</v>
      </c>
      <c r="O187" s="4">
        <v>0.107</v>
      </c>
      <c r="P187" s="4">
        <v>0</v>
      </c>
      <c r="Q187" s="3" t="s">
        <v>26</v>
      </c>
      <c r="R187" s="3">
        <v>0</v>
      </c>
      <c r="S187" s="3" t="s">
        <v>166</v>
      </c>
      <c r="T187" s="3" t="s">
        <v>327</v>
      </c>
      <c r="U187" s="3">
        <v>0</v>
      </c>
      <c r="V187" s="3">
        <v>28</v>
      </c>
      <c r="W187" s="3">
        <v>43</v>
      </c>
    </row>
    <row r="188" spans="1:23" ht="11.25" customHeight="1" x14ac:dyDescent="0.25">
      <c r="A188" s="3" t="s">
        <v>21</v>
      </c>
      <c r="B188" s="3" t="s">
        <v>22</v>
      </c>
      <c r="C188" s="3" t="s">
        <v>37</v>
      </c>
      <c r="D188" s="3" t="s">
        <v>24</v>
      </c>
      <c r="E188" s="3" t="s">
        <v>24</v>
      </c>
      <c r="F188" s="3" t="s">
        <v>25</v>
      </c>
      <c r="G188" s="3" t="s">
        <v>25</v>
      </c>
      <c r="H188" s="3" t="s">
        <v>38</v>
      </c>
      <c r="I188" s="6">
        <v>44409</v>
      </c>
      <c r="J188" s="4">
        <v>0</v>
      </c>
      <c r="K188" s="4">
        <v>0</v>
      </c>
      <c r="L188" s="4">
        <v>9.4E-2</v>
      </c>
      <c r="M188" s="4">
        <v>9.4E-2</v>
      </c>
      <c r="N188" s="4">
        <v>9.4E-2</v>
      </c>
      <c r="O188" s="4">
        <v>9.4E-2</v>
      </c>
      <c r="P188" s="4">
        <v>0</v>
      </c>
      <c r="Q188" s="3" t="s">
        <v>26</v>
      </c>
      <c r="R188" s="3">
        <v>0</v>
      </c>
      <c r="S188" s="3" t="s">
        <v>167</v>
      </c>
      <c r="T188" s="3" t="s">
        <v>328</v>
      </c>
      <c r="U188" s="3">
        <v>0</v>
      </c>
      <c r="V188" s="3">
        <v>28</v>
      </c>
      <c r="W188" s="3">
        <v>43</v>
      </c>
    </row>
    <row r="189" spans="1:23" ht="11.25" customHeight="1" x14ac:dyDescent="0.25">
      <c r="A189" s="3" t="s">
        <v>21</v>
      </c>
      <c r="B189" s="3" t="s">
        <v>22</v>
      </c>
      <c r="C189" s="3" t="s">
        <v>37</v>
      </c>
      <c r="D189" s="3" t="s">
        <v>24</v>
      </c>
      <c r="E189" s="3" t="s">
        <v>24</v>
      </c>
      <c r="F189" s="3" t="s">
        <v>25</v>
      </c>
      <c r="G189" s="3" t="s">
        <v>25</v>
      </c>
      <c r="H189" s="3" t="s">
        <v>38</v>
      </c>
      <c r="I189" s="6">
        <v>44440</v>
      </c>
      <c r="J189" s="4">
        <v>0</v>
      </c>
      <c r="K189" s="4">
        <v>0</v>
      </c>
      <c r="L189" s="4">
        <v>0.11</v>
      </c>
      <c r="M189" s="4">
        <v>0.11</v>
      </c>
      <c r="N189" s="4">
        <v>0.11</v>
      </c>
      <c r="O189" s="4">
        <v>0.11</v>
      </c>
      <c r="P189" s="4">
        <v>0</v>
      </c>
      <c r="Q189" s="3" t="s">
        <v>26</v>
      </c>
      <c r="R189" s="3">
        <v>0</v>
      </c>
      <c r="S189" s="3" t="s">
        <v>168</v>
      </c>
      <c r="T189" s="3" t="s">
        <v>329</v>
      </c>
      <c r="U189" s="3">
        <v>0</v>
      </c>
      <c r="V189" s="3">
        <v>28</v>
      </c>
      <c r="W189" s="3">
        <v>43</v>
      </c>
    </row>
    <row r="190" spans="1:23" ht="11.25" customHeight="1" x14ac:dyDescent="0.25">
      <c r="A190" s="3" t="s">
        <v>21</v>
      </c>
      <c r="B190" s="3" t="s">
        <v>22</v>
      </c>
      <c r="C190" s="3" t="s">
        <v>37</v>
      </c>
      <c r="D190" s="3" t="s">
        <v>24</v>
      </c>
      <c r="E190" s="3" t="s">
        <v>24</v>
      </c>
      <c r="F190" s="3" t="s">
        <v>25</v>
      </c>
      <c r="G190" s="3" t="s">
        <v>25</v>
      </c>
      <c r="H190" s="3" t="s">
        <v>38</v>
      </c>
      <c r="I190" s="6">
        <v>44470</v>
      </c>
      <c r="J190" s="4">
        <v>0</v>
      </c>
      <c r="K190" s="4">
        <v>0</v>
      </c>
      <c r="L190" s="4">
        <v>8.6999999999999994E-2</v>
      </c>
      <c r="M190" s="4">
        <v>8.6999999999999994E-2</v>
      </c>
      <c r="N190" s="4">
        <v>8.6999999999999994E-2</v>
      </c>
      <c r="O190" s="4">
        <v>8.6999999999999994E-2</v>
      </c>
      <c r="P190" s="4">
        <v>0</v>
      </c>
      <c r="Q190" s="3" t="s">
        <v>26</v>
      </c>
      <c r="R190" s="3">
        <v>0</v>
      </c>
      <c r="S190" s="3" t="s">
        <v>169</v>
      </c>
      <c r="T190" s="3" t="s">
        <v>330</v>
      </c>
      <c r="U190" s="3">
        <v>0</v>
      </c>
      <c r="V190" s="3">
        <v>28</v>
      </c>
      <c r="W190" s="3">
        <v>43</v>
      </c>
    </row>
    <row r="191" spans="1:23" ht="11.25" customHeight="1" x14ac:dyDescent="0.25">
      <c r="A191" s="3" t="s">
        <v>21</v>
      </c>
      <c r="B191" s="3" t="s">
        <v>22</v>
      </c>
      <c r="C191" s="3" t="s">
        <v>37</v>
      </c>
      <c r="D191" s="3" t="s">
        <v>24</v>
      </c>
      <c r="E191" s="3" t="s">
        <v>24</v>
      </c>
      <c r="F191" s="3" t="s">
        <v>25</v>
      </c>
      <c r="G191" s="3" t="s">
        <v>25</v>
      </c>
      <c r="H191" s="3" t="s">
        <v>38</v>
      </c>
      <c r="I191" s="6">
        <v>44501</v>
      </c>
      <c r="J191" s="4">
        <v>0</v>
      </c>
      <c r="K191" s="4">
        <v>0</v>
      </c>
      <c r="L191" s="4">
        <v>0.123</v>
      </c>
      <c r="M191" s="4">
        <v>0.123</v>
      </c>
      <c r="N191" s="4">
        <v>0.123</v>
      </c>
      <c r="O191" s="4">
        <v>0.123</v>
      </c>
      <c r="P191" s="4">
        <v>0</v>
      </c>
      <c r="Q191" s="3" t="s">
        <v>26</v>
      </c>
      <c r="R191" s="3">
        <v>0</v>
      </c>
      <c r="S191" s="3" t="s">
        <v>170</v>
      </c>
      <c r="T191" s="3" t="s">
        <v>331</v>
      </c>
      <c r="U191" s="3">
        <v>0</v>
      </c>
      <c r="V191" s="3">
        <v>28</v>
      </c>
      <c r="W191" s="3">
        <v>43</v>
      </c>
    </row>
    <row r="192" spans="1:23" ht="11.25" customHeight="1" x14ac:dyDescent="0.25">
      <c r="A192" s="3" t="s">
        <v>21</v>
      </c>
      <c r="B192" s="3" t="s">
        <v>22</v>
      </c>
      <c r="C192" s="3" t="s">
        <v>37</v>
      </c>
      <c r="D192" s="3" t="s">
        <v>24</v>
      </c>
      <c r="E192" s="3" t="s">
        <v>24</v>
      </c>
      <c r="F192" s="3" t="s">
        <v>25</v>
      </c>
      <c r="G192" s="3" t="s">
        <v>25</v>
      </c>
      <c r="H192" s="3" t="s">
        <v>38</v>
      </c>
      <c r="I192" s="6">
        <v>44531</v>
      </c>
      <c r="J192" s="4">
        <v>0</v>
      </c>
      <c r="K192" s="4">
        <v>0</v>
      </c>
      <c r="L192" s="4">
        <v>7.5999999999999998E-2</v>
      </c>
      <c r="M192" s="4">
        <v>7.5999999999999998E-2</v>
      </c>
      <c r="N192" s="4">
        <v>7.5999999999999998E-2</v>
      </c>
      <c r="O192" s="4">
        <v>7.5999999999999998E-2</v>
      </c>
      <c r="P192" s="4">
        <v>0</v>
      </c>
      <c r="Q192" s="3" t="s">
        <v>26</v>
      </c>
      <c r="R192" s="3">
        <v>0</v>
      </c>
      <c r="S192" s="3" t="s">
        <v>171</v>
      </c>
      <c r="T192" s="3" t="s">
        <v>332</v>
      </c>
      <c r="U192" s="3">
        <v>0</v>
      </c>
      <c r="V192" s="3">
        <v>28</v>
      </c>
      <c r="W192" s="3">
        <v>43</v>
      </c>
    </row>
    <row r="193" spans="1:23" ht="11.25" customHeight="1" x14ac:dyDescent="0.25">
      <c r="A193" s="3" t="s">
        <v>28</v>
      </c>
      <c r="B193" s="3" t="s">
        <v>22</v>
      </c>
      <c r="C193" s="3" t="s">
        <v>37</v>
      </c>
      <c r="D193" s="3" t="s">
        <v>24</v>
      </c>
      <c r="E193" s="3" t="s">
        <v>24</v>
      </c>
      <c r="F193" s="3" t="s">
        <v>25</v>
      </c>
      <c r="G193" s="3" t="s">
        <v>25</v>
      </c>
      <c r="H193" s="3" t="s">
        <v>38</v>
      </c>
      <c r="I193" s="6">
        <v>44531</v>
      </c>
      <c r="J193" s="4">
        <v>0</v>
      </c>
      <c r="K193" s="4">
        <v>0</v>
      </c>
      <c r="L193" s="4">
        <v>3.1E-2</v>
      </c>
      <c r="M193" s="4">
        <v>3.1E-2</v>
      </c>
      <c r="N193" s="4">
        <v>3.1E-2</v>
      </c>
      <c r="O193" s="4">
        <v>3.1E-2</v>
      </c>
      <c r="P193" s="4">
        <v>0</v>
      </c>
      <c r="Q193" s="3" t="s">
        <v>26</v>
      </c>
      <c r="R193" s="3">
        <v>0</v>
      </c>
      <c r="S193" s="3" t="s">
        <v>171</v>
      </c>
      <c r="T193" s="3" t="s">
        <v>332</v>
      </c>
      <c r="U193" s="3">
        <v>0</v>
      </c>
      <c r="V193" s="3">
        <v>28</v>
      </c>
      <c r="W193" s="3">
        <v>43</v>
      </c>
    </row>
    <row r="194" spans="1:23" ht="11.25" customHeight="1" x14ac:dyDescent="0.25">
      <c r="A194" s="3" t="s">
        <v>21</v>
      </c>
      <c r="B194" s="3" t="s">
        <v>22</v>
      </c>
      <c r="C194" s="3" t="s">
        <v>37</v>
      </c>
      <c r="D194" s="3" t="s">
        <v>24</v>
      </c>
      <c r="E194" s="3" t="s">
        <v>24</v>
      </c>
      <c r="F194" s="3" t="s">
        <v>25</v>
      </c>
      <c r="G194" s="3" t="s">
        <v>25</v>
      </c>
      <c r="H194" s="3" t="s">
        <v>38</v>
      </c>
      <c r="I194" s="6">
        <v>44562</v>
      </c>
      <c r="J194" s="4">
        <v>0</v>
      </c>
      <c r="K194" s="4">
        <v>0</v>
      </c>
      <c r="L194" s="4">
        <v>8.5999999999999993E-2</v>
      </c>
      <c r="M194" s="4">
        <v>8.5999999999999993E-2</v>
      </c>
      <c r="N194" s="4">
        <v>8.5999999999999993E-2</v>
      </c>
      <c r="O194" s="4">
        <v>8.5999999999999993E-2</v>
      </c>
      <c r="P194" s="4">
        <v>0</v>
      </c>
      <c r="Q194" s="3" t="s">
        <v>26</v>
      </c>
      <c r="R194" s="3">
        <v>0</v>
      </c>
      <c r="S194" s="3" t="s">
        <v>172</v>
      </c>
      <c r="T194" s="3" t="s">
        <v>333</v>
      </c>
      <c r="U194" s="3">
        <v>0</v>
      </c>
      <c r="V194" s="3">
        <v>28</v>
      </c>
      <c r="W194" s="3">
        <v>43</v>
      </c>
    </row>
    <row r="195" spans="1:23" ht="11.25" customHeight="1" x14ac:dyDescent="0.25">
      <c r="A195" s="3" t="s">
        <v>21</v>
      </c>
      <c r="B195" s="3" t="s">
        <v>22</v>
      </c>
      <c r="C195" s="3" t="s">
        <v>37</v>
      </c>
      <c r="D195" s="3" t="s">
        <v>24</v>
      </c>
      <c r="E195" s="3" t="s">
        <v>24</v>
      </c>
      <c r="F195" s="3" t="s">
        <v>25</v>
      </c>
      <c r="G195" s="3" t="s">
        <v>25</v>
      </c>
      <c r="H195" s="3" t="s">
        <v>38</v>
      </c>
      <c r="I195" s="6">
        <v>44593</v>
      </c>
      <c r="J195" s="4">
        <v>0</v>
      </c>
      <c r="K195" s="4">
        <v>0</v>
      </c>
      <c r="L195" s="4">
        <v>8.8999999999999996E-2</v>
      </c>
      <c r="M195" s="4">
        <v>8.8999999999999996E-2</v>
      </c>
      <c r="N195" s="4">
        <v>8.8999999999999996E-2</v>
      </c>
      <c r="O195" s="4">
        <v>8.8999999999999996E-2</v>
      </c>
      <c r="P195" s="4">
        <v>0</v>
      </c>
      <c r="Q195" s="3" t="s">
        <v>26</v>
      </c>
      <c r="R195" s="3">
        <v>0</v>
      </c>
      <c r="S195" s="3" t="s">
        <v>173</v>
      </c>
      <c r="T195" s="3" t="s">
        <v>334</v>
      </c>
      <c r="U195" s="3">
        <v>0</v>
      </c>
      <c r="V195" s="3">
        <v>28</v>
      </c>
      <c r="W195" s="3">
        <v>43</v>
      </c>
    </row>
    <row r="196" spans="1:23" ht="11.25" customHeight="1" x14ac:dyDescent="0.25">
      <c r="A196" s="3" t="s">
        <v>21</v>
      </c>
      <c r="B196" s="3" t="s">
        <v>22</v>
      </c>
      <c r="C196" s="3" t="s">
        <v>37</v>
      </c>
      <c r="D196" s="3" t="s">
        <v>24</v>
      </c>
      <c r="E196" s="3" t="s">
        <v>24</v>
      </c>
      <c r="F196" s="3" t="s">
        <v>25</v>
      </c>
      <c r="G196" s="3" t="s">
        <v>25</v>
      </c>
      <c r="H196" s="3" t="s">
        <v>38</v>
      </c>
      <c r="I196" s="6">
        <v>44621</v>
      </c>
      <c r="J196" s="4">
        <v>0</v>
      </c>
      <c r="K196" s="4">
        <v>0</v>
      </c>
      <c r="L196" s="4">
        <v>0.1</v>
      </c>
      <c r="M196" s="4">
        <v>0.1</v>
      </c>
      <c r="N196" s="4">
        <v>0.1</v>
      </c>
      <c r="O196" s="4">
        <v>0.1</v>
      </c>
      <c r="P196" s="4">
        <v>0</v>
      </c>
      <c r="Q196" s="3" t="s">
        <v>26</v>
      </c>
      <c r="R196" s="3">
        <v>0</v>
      </c>
      <c r="S196" s="3" t="s">
        <v>174</v>
      </c>
      <c r="T196" s="3" t="s">
        <v>335</v>
      </c>
      <c r="U196" s="3">
        <v>0</v>
      </c>
      <c r="V196" s="3">
        <v>28</v>
      </c>
      <c r="W196" s="3">
        <v>43</v>
      </c>
    </row>
    <row r="197" spans="1:23" ht="11.25" customHeight="1" x14ac:dyDescent="0.25">
      <c r="A197" s="3" t="s">
        <v>21</v>
      </c>
      <c r="B197" s="3" t="s">
        <v>22</v>
      </c>
      <c r="C197" s="3" t="s">
        <v>37</v>
      </c>
      <c r="D197" s="3" t="s">
        <v>24</v>
      </c>
      <c r="E197" s="3" t="s">
        <v>24</v>
      </c>
      <c r="F197" s="3" t="s">
        <v>25</v>
      </c>
      <c r="G197" s="3" t="s">
        <v>25</v>
      </c>
      <c r="H197" s="3" t="s">
        <v>35</v>
      </c>
      <c r="I197" s="6">
        <v>44287</v>
      </c>
      <c r="J197" s="4">
        <v>0</v>
      </c>
      <c r="K197" s="4">
        <v>0</v>
      </c>
      <c r="L197" s="4">
        <v>0.182</v>
      </c>
      <c r="M197" s="4">
        <v>0.182</v>
      </c>
      <c r="N197" s="4">
        <v>0.182</v>
      </c>
      <c r="O197" s="4">
        <v>0.182</v>
      </c>
      <c r="P197" s="4">
        <v>0</v>
      </c>
      <c r="Q197" s="3" t="s">
        <v>26</v>
      </c>
      <c r="R197" s="3">
        <v>0</v>
      </c>
      <c r="S197" s="3" t="s">
        <v>175</v>
      </c>
      <c r="T197" s="3" t="s">
        <v>336</v>
      </c>
      <c r="U197" s="3">
        <v>0</v>
      </c>
      <c r="V197" s="3">
        <v>27</v>
      </c>
      <c r="W197" s="3">
        <v>42</v>
      </c>
    </row>
    <row r="198" spans="1:23" ht="11.25" customHeight="1" x14ac:dyDescent="0.25">
      <c r="A198" s="3" t="s">
        <v>21</v>
      </c>
      <c r="B198" s="3" t="s">
        <v>22</v>
      </c>
      <c r="C198" s="3" t="s">
        <v>37</v>
      </c>
      <c r="D198" s="3" t="s">
        <v>24</v>
      </c>
      <c r="E198" s="3" t="s">
        <v>24</v>
      </c>
      <c r="F198" s="3" t="s">
        <v>25</v>
      </c>
      <c r="G198" s="3" t="s">
        <v>25</v>
      </c>
      <c r="H198" s="3" t="s">
        <v>35</v>
      </c>
      <c r="I198" s="6">
        <v>44317</v>
      </c>
      <c r="J198" s="4">
        <v>0</v>
      </c>
      <c r="K198" s="4">
        <v>0</v>
      </c>
      <c r="L198" s="4">
        <v>0.16700000000000001</v>
      </c>
      <c r="M198" s="4">
        <v>0.16700000000000001</v>
      </c>
      <c r="N198" s="4">
        <v>0.16700000000000001</v>
      </c>
      <c r="O198" s="4">
        <v>0.16700000000000001</v>
      </c>
      <c r="P198" s="4">
        <v>0</v>
      </c>
      <c r="Q198" s="3" t="s">
        <v>26</v>
      </c>
      <c r="R198" s="3">
        <v>0</v>
      </c>
      <c r="S198" s="3" t="s">
        <v>176</v>
      </c>
      <c r="T198" s="3" t="s">
        <v>337</v>
      </c>
      <c r="U198" s="3">
        <v>0</v>
      </c>
      <c r="V198" s="3">
        <v>27</v>
      </c>
      <c r="W198" s="3">
        <v>42</v>
      </c>
    </row>
    <row r="199" spans="1:23" ht="11.25" customHeight="1" x14ac:dyDescent="0.25">
      <c r="A199" s="3" t="s">
        <v>21</v>
      </c>
      <c r="B199" s="3" t="s">
        <v>22</v>
      </c>
      <c r="C199" s="3" t="s">
        <v>37</v>
      </c>
      <c r="D199" s="3" t="s">
        <v>24</v>
      </c>
      <c r="E199" s="3" t="s">
        <v>24</v>
      </c>
      <c r="F199" s="3" t="s">
        <v>25</v>
      </c>
      <c r="G199" s="3" t="s">
        <v>25</v>
      </c>
      <c r="H199" s="3" t="s">
        <v>35</v>
      </c>
      <c r="I199" s="6">
        <v>44348</v>
      </c>
      <c r="J199" s="4">
        <v>0</v>
      </c>
      <c r="K199" s="4">
        <v>0</v>
      </c>
      <c r="L199" s="4">
        <v>0.16700000000000001</v>
      </c>
      <c r="M199" s="4">
        <v>0.16700000000000001</v>
      </c>
      <c r="N199" s="4">
        <v>0.16700000000000001</v>
      </c>
      <c r="O199" s="4">
        <v>0.16700000000000001</v>
      </c>
      <c r="P199" s="4">
        <v>0</v>
      </c>
      <c r="Q199" s="3" t="s">
        <v>26</v>
      </c>
      <c r="R199" s="3">
        <v>0</v>
      </c>
      <c r="S199" s="3" t="s">
        <v>177</v>
      </c>
      <c r="T199" s="3" t="s">
        <v>338</v>
      </c>
      <c r="U199" s="3">
        <v>0</v>
      </c>
      <c r="V199" s="3">
        <v>27</v>
      </c>
      <c r="W199" s="3">
        <v>42</v>
      </c>
    </row>
    <row r="200" spans="1:23" ht="11.25" customHeight="1" x14ac:dyDescent="0.25">
      <c r="A200" s="3" t="s">
        <v>21</v>
      </c>
      <c r="B200" s="3" t="s">
        <v>22</v>
      </c>
      <c r="C200" s="3" t="s">
        <v>37</v>
      </c>
      <c r="D200" s="3" t="s">
        <v>24</v>
      </c>
      <c r="E200" s="3" t="s">
        <v>24</v>
      </c>
      <c r="F200" s="3" t="s">
        <v>25</v>
      </c>
      <c r="G200" s="3" t="s">
        <v>25</v>
      </c>
      <c r="H200" s="3" t="s">
        <v>35</v>
      </c>
      <c r="I200" s="6">
        <v>44378</v>
      </c>
      <c r="J200" s="4">
        <v>0</v>
      </c>
      <c r="K200" s="4">
        <v>0</v>
      </c>
      <c r="L200" s="4">
        <v>0.154</v>
      </c>
      <c r="M200" s="4">
        <v>0.154</v>
      </c>
      <c r="N200" s="4">
        <v>0.154</v>
      </c>
      <c r="O200" s="4">
        <v>0.154</v>
      </c>
      <c r="P200" s="4">
        <v>0</v>
      </c>
      <c r="Q200" s="3" t="s">
        <v>26</v>
      </c>
      <c r="R200" s="3">
        <v>0</v>
      </c>
      <c r="S200" s="3" t="s">
        <v>178</v>
      </c>
      <c r="T200" s="3" t="s">
        <v>339</v>
      </c>
      <c r="U200" s="3">
        <v>0</v>
      </c>
      <c r="V200" s="3">
        <v>27</v>
      </c>
      <c r="W200" s="3">
        <v>42</v>
      </c>
    </row>
    <row r="201" spans="1:23" ht="11.25" customHeight="1" x14ac:dyDescent="0.25">
      <c r="A201" s="3" t="s">
        <v>21</v>
      </c>
      <c r="B201" s="3" t="s">
        <v>22</v>
      </c>
      <c r="C201" s="3" t="s">
        <v>37</v>
      </c>
      <c r="D201" s="3" t="s">
        <v>24</v>
      </c>
      <c r="E201" s="3" t="s">
        <v>24</v>
      </c>
      <c r="F201" s="3" t="s">
        <v>25</v>
      </c>
      <c r="G201" s="3" t="s">
        <v>25</v>
      </c>
      <c r="H201" s="3" t="s">
        <v>35</v>
      </c>
      <c r="I201" s="6">
        <v>44409</v>
      </c>
      <c r="J201" s="4">
        <v>0</v>
      </c>
      <c r="K201" s="4">
        <v>0</v>
      </c>
      <c r="L201" s="4">
        <v>0.16200000000000001</v>
      </c>
      <c r="M201" s="4">
        <v>0.16200000000000001</v>
      </c>
      <c r="N201" s="4">
        <v>0.16200000000000001</v>
      </c>
      <c r="O201" s="4">
        <v>0.16200000000000001</v>
      </c>
      <c r="P201" s="4">
        <v>0</v>
      </c>
      <c r="Q201" s="3" t="s">
        <v>26</v>
      </c>
      <c r="R201" s="3">
        <v>0</v>
      </c>
      <c r="S201" s="3" t="s">
        <v>179</v>
      </c>
      <c r="T201" s="3" t="s">
        <v>340</v>
      </c>
      <c r="U201" s="3">
        <v>0</v>
      </c>
      <c r="V201" s="3">
        <v>27</v>
      </c>
      <c r="W201" s="3">
        <v>42</v>
      </c>
    </row>
    <row r="202" spans="1:23" ht="11.25" customHeight="1" x14ac:dyDescent="0.25">
      <c r="A202" s="3" t="s">
        <v>21</v>
      </c>
      <c r="B202" s="3" t="s">
        <v>22</v>
      </c>
      <c r="C202" s="3" t="s">
        <v>37</v>
      </c>
      <c r="D202" s="3" t="s">
        <v>24</v>
      </c>
      <c r="E202" s="3" t="s">
        <v>24</v>
      </c>
      <c r="F202" s="3" t="s">
        <v>25</v>
      </c>
      <c r="G202" s="3" t="s">
        <v>25</v>
      </c>
      <c r="H202" s="3" t="s">
        <v>35</v>
      </c>
      <c r="I202" s="6">
        <v>44440</v>
      </c>
      <c r="J202" s="4">
        <v>0</v>
      </c>
      <c r="K202" s="4">
        <v>0</v>
      </c>
      <c r="L202" s="4">
        <v>0.17799999999999999</v>
      </c>
      <c r="M202" s="4">
        <v>0.17799999999999999</v>
      </c>
      <c r="N202" s="4">
        <v>0.17799999999999999</v>
      </c>
      <c r="O202" s="4">
        <v>0.17799999999999999</v>
      </c>
      <c r="P202" s="4">
        <v>0</v>
      </c>
      <c r="Q202" s="3" t="s">
        <v>26</v>
      </c>
      <c r="R202" s="3">
        <v>0</v>
      </c>
      <c r="S202" s="3" t="s">
        <v>180</v>
      </c>
      <c r="T202" s="3" t="s">
        <v>341</v>
      </c>
      <c r="U202" s="3">
        <v>0</v>
      </c>
      <c r="V202" s="3">
        <v>27</v>
      </c>
      <c r="W202" s="3">
        <v>42</v>
      </c>
    </row>
    <row r="203" spans="1:23" ht="11.25" customHeight="1" x14ac:dyDescent="0.25">
      <c r="A203" s="3" t="s">
        <v>21</v>
      </c>
      <c r="B203" s="3" t="s">
        <v>22</v>
      </c>
      <c r="C203" s="3" t="s">
        <v>37</v>
      </c>
      <c r="D203" s="3" t="s">
        <v>24</v>
      </c>
      <c r="E203" s="3" t="s">
        <v>24</v>
      </c>
      <c r="F203" s="3" t="s">
        <v>25</v>
      </c>
      <c r="G203" s="3" t="s">
        <v>25</v>
      </c>
      <c r="H203" s="3" t="s">
        <v>35</v>
      </c>
      <c r="I203" s="6">
        <v>44470</v>
      </c>
      <c r="J203" s="4">
        <v>0</v>
      </c>
      <c r="K203" s="4">
        <v>0</v>
      </c>
      <c r="L203" s="4">
        <v>0.13500000000000001</v>
      </c>
      <c r="M203" s="4">
        <v>0.13500000000000001</v>
      </c>
      <c r="N203" s="4">
        <v>0.13500000000000001</v>
      </c>
      <c r="O203" s="4">
        <v>0.13500000000000001</v>
      </c>
      <c r="P203" s="4">
        <v>0</v>
      </c>
      <c r="Q203" s="3" t="s">
        <v>26</v>
      </c>
      <c r="R203" s="3">
        <v>0</v>
      </c>
      <c r="S203" s="3" t="s">
        <v>181</v>
      </c>
      <c r="T203" s="3" t="s">
        <v>342</v>
      </c>
      <c r="U203" s="3">
        <v>0</v>
      </c>
      <c r="V203" s="3">
        <v>27</v>
      </c>
      <c r="W203" s="3">
        <v>42</v>
      </c>
    </row>
    <row r="204" spans="1:23" ht="11.25" customHeight="1" x14ac:dyDescent="0.25">
      <c r="A204" s="3" t="s">
        <v>21</v>
      </c>
      <c r="B204" s="3" t="s">
        <v>22</v>
      </c>
      <c r="C204" s="3" t="s">
        <v>37</v>
      </c>
      <c r="D204" s="3" t="s">
        <v>24</v>
      </c>
      <c r="E204" s="3" t="s">
        <v>24</v>
      </c>
      <c r="F204" s="3" t="s">
        <v>25</v>
      </c>
      <c r="G204" s="3" t="s">
        <v>25</v>
      </c>
      <c r="H204" s="3" t="s">
        <v>35</v>
      </c>
      <c r="I204" s="6">
        <v>44501</v>
      </c>
      <c r="J204" s="4">
        <v>0</v>
      </c>
      <c r="K204" s="4">
        <v>0</v>
      </c>
      <c r="L204" s="4">
        <v>0.56299999999999994</v>
      </c>
      <c r="M204" s="4">
        <v>0.56299999999999994</v>
      </c>
      <c r="N204" s="4">
        <v>0.56299999999999994</v>
      </c>
      <c r="O204" s="4">
        <v>0.56299999999999994</v>
      </c>
      <c r="P204" s="4">
        <v>0</v>
      </c>
      <c r="Q204" s="3" t="s">
        <v>26</v>
      </c>
      <c r="R204" s="3">
        <v>0</v>
      </c>
      <c r="S204" s="3" t="s">
        <v>182</v>
      </c>
      <c r="T204" s="3" t="s">
        <v>343</v>
      </c>
      <c r="U204" s="3">
        <v>0</v>
      </c>
      <c r="V204" s="3">
        <v>27</v>
      </c>
      <c r="W204" s="3">
        <v>42</v>
      </c>
    </row>
    <row r="205" spans="1:23" ht="11.25" customHeight="1" x14ac:dyDescent="0.25">
      <c r="A205" s="3" t="s">
        <v>21</v>
      </c>
      <c r="B205" s="3" t="s">
        <v>22</v>
      </c>
      <c r="C205" s="3" t="s">
        <v>37</v>
      </c>
      <c r="D205" s="3" t="s">
        <v>24</v>
      </c>
      <c r="E205" s="3" t="s">
        <v>24</v>
      </c>
      <c r="F205" s="3" t="s">
        <v>25</v>
      </c>
      <c r="G205" s="3" t="s">
        <v>25</v>
      </c>
      <c r="H205" s="3" t="s">
        <v>35</v>
      </c>
      <c r="I205" s="6">
        <v>44531</v>
      </c>
      <c r="J205" s="4">
        <v>0</v>
      </c>
      <c r="K205" s="4">
        <v>0</v>
      </c>
      <c r="L205" s="4">
        <v>0.115</v>
      </c>
      <c r="M205" s="4">
        <v>0.115</v>
      </c>
      <c r="N205" s="4">
        <v>0.115</v>
      </c>
      <c r="O205" s="4">
        <v>0.115</v>
      </c>
      <c r="P205" s="4">
        <v>0</v>
      </c>
      <c r="Q205" s="3" t="s">
        <v>26</v>
      </c>
      <c r="R205" s="3">
        <v>0</v>
      </c>
      <c r="S205" s="3" t="s">
        <v>183</v>
      </c>
      <c r="T205" s="3" t="s">
        <v>344</v>
      </c>
      <c r="U205" s="3">
        <v>0</v>
      </c>
      <c r="V205" s="3">
        <v>27</v>
      </c>
      <c r="W205" s="3">
        <v>42</v>
      </c>
    </row>
    <row r="206" spans="1:23" ht="11.25" customHeight="1" x14ac:dyDescent="0.25">
      <c r="A206" s="3" t="s">
        <v>28</v>
      </c>
      <c r="B206" s="3" t="s">
        <v>22</v>
      </c>
      <c r="C206" s="3" t="s">
        <v>37</v>
      </c>
      <c r="D206" s="3" t="s">
        <v>24</v>
      </c>
      <c r="E206" s="3" t="s">
        <v>24</v>
      </c>
      <c r="F206" s="3" t="s">
        <v>25</v>
      </c>
      <c r="G206" s="3" t="s">
        <v>25</v>
      </c>
      <c r="H206" s="3" t="s">
        <v>35</v>
      </c>
      <c r="I206" s="6">
        <v>44531</v>
      </c>
      <c r="J206" s="4">
        <v>0</v>
      </c>
      <c r="K206" s="4">
        <v>0</v>
      </c>
      <c r="L206" s="4">
        <v>4.1000000000000002E-2</v>
      </c>
      <c r="M206" s="4">
        <v>4.1000000000000002E-2</v>
      </c>
      <c r="N206" s="4">
        <v>4.1000000000000002E-2</v>
      </c>
      <c r="O206" s="4">
        <v>4.1000000000000002E-2</v>
      </c>
      <c r="P206" s="4">
        <v>0</v>
      </c>
      <c r="Q206" s="3" t="s">
        <v>26</v>
      </c>
      <c r="R206" s="3">
        <v>0</v>
      </c>
      <c r="S206" s="3" t="s">
        <v>183</v>
      </c>
      <c r="T206" s="3" t="s">
        <v>344</v>
      </c>
      <c r="U206" s="3">
        <v>0</v>
      </c>
      <c r="V206" s="3">
        <v>27</v>
      </c>
      <c r="W206" s="3">
        <v>42</v>
      </c>
    </row>
    <row r="207" spans="1:23" ht="11.25" customHeight="1" x14ac:dyDescent="0.25">
      <c r="A207" s="3" t="s">
        <v>21</v>
      </c>
      <c r="B207" s="3" t="s">
        <v>22</v>
      </c>
      <c r="C207" s="3" t="s">
        <v>37</v>
      </c>
      <c r="D207" s="3" t="s">
        <v>24</v>
      </c>
      <c r="E207" s="3" t="s">
        <v>24</v>
      </c>
      <c r="F207" s="3" t="s">
        <v>25</v>
      </c>
      <c r="G207" s="3" t="s">
        <v>25</v>
      </c>
      <c r="H207" s="3" t="s">
        <v>35</v>
      </c>
      <c r="I207" s="6">
        <v>44562</v>
      </c>
      <c r="J207" s="4">
        <v>0</v>
      </c>
      <c r="K207" s="4">
        <v>0</v>
      </c>
      <c r="L207" s="4">
        <v>0.158</v>
      </c>
      <c r="M207" s="4">
        <v>0.158</v>
      </c>
      <c r="N207" s="4">
        <v>0.158</v>
      </c>
      <c r="O207" s="4">
        <v>0.158</v>
      </c>
      <c r="P207" s="4">
        <v>0</v>
      </c>
      <c r="Q207" s="3" t="s">
        <v>26</v>
      </c>
      <c r="R207" s="3">
        <v>0</v>
      </c>
      <c r="S207" s="3" t="s">
        <v>184</v>
      </c>
      <c r="T207" s="3" t="s">
        <v>345</v>
      </c>
      <c r="U207" s="3">
        <v>0</v>
      </c>
      <c r="V207" s="3">
        <v>27</v>
      </c>
      <c r="W207" s="3">
        <v>42</v>
      </c>
    </row>
    <row r="208" spans="1:23" ht="11.25" customHeight="1" x14ac:dyDescent="0.25">
      <c r="A208" s="3" t="s">
        <v>21</v>
      </c>
      <c r="B208" s="3" t="s">
        <v>22</v>
      </c>
      <c r="C208" s="3" t="s">
        <v>37</v>
      </c>
      <c r="D208" s="3" t="s">
        <v>24</v>
      </c>
      <c r="E208" s="3" t="s">
        <v>24</v>
      </c>
      <c r="F208" s="3" t="s">
        <v>25</v>
      </c>
      <c r="G208" s="3" t="s">
        <v>25</v>
      </c>
      <c r="H208" s="3" t="s">
        <v>35</v>
      </c>
      <c r="I208" s="6">
        <v>44593</v>
      </c>
      <c r="J208" s="4">
        <v>0</v>
      </c>
      <c r="K208" s="4">
        <v>0</v>
      </c>
      <c r="L208" s="4">
        <v>0.129</v>
      </c>
      <c r="M208" s="4">
        <v>0.129</v>
      </c>
      <c r="N208" s="4">
        <v>0.129</v>
      </c>
      <c r="O208" s="4">
        <v>0.129</v>
      </c>
      <c r="P208" s="4">
        <v>0</v>
      </c>
      <c r="Q208" s="3" t="s">
        <v>26</v>
      </c>
      <c r="R208" s="3">
        <v>0</v>
      </c>
      <c r="S208" s="3" t="s">
        <v>185</v>
      </c>
      <c r="T208" s="3" t="s">
        <v>346</v>
      </c>
      <c r="U208" s="3">
        <v>0</v>
      </c>
      <c r="V208" s="3">
        <v>27</v>
      </c>
      <c r="W208" s="3">
        <v>42</v>
      </c>
    </row>
    <row r="209" spans="1:23" ht="11.25" customHeight="1" x14ac:dyDescent="0.25">
      <c r="A209" s="3" t="s">
        <v>21</v>
      </c>
      <c r="B209" s="3" t="s">
        <v>22</v>
      </c>
      <c r="C209" s="3" t="s">
        <v>37</v>
      </c>
      <c r="D209" s="3" t="s">
        <v>24</v>
      </c>
      <c r="E209" s="3" t="s">
        <v>24</v>
      </c>
      <c r="F209" s="3" t="s">
        <v>25</v>
      </c>
      <c r="G209" s="3" t="s">
        <v>25</v>
      </c>
      <c r="H209" s="3" t="s">
        <v>35</v>
      </c>
      <c r="I209" s="6">
        <v>44621</v>
      </c>
      <c r="J209" s="4">
        <v>0</v>
      </c>
      <c r="K209" s="4">
        <v>0</v>
      </c>
      <c r="L209" s="4">
        <v>0.16300000000000001</v>
      </c>
      <c r="M209" s="4">
        <v>0.16300000000000001</v>
      </c>
      <c r="N209" s="4">
        <v>0.16300000000000001</v>
      </c>
      <c r="O209" s="4">
        <v>0.16300000000000001</v>
      </c>
      <c r="P209" s="4">
        <v>0</v>
      </c>
      <c r="Q209" s="3" t="s">
        <v>26</v>
      </c>
      <c r="R209" s="3">
        <v>0</v>
      </c>
      <c r="S209" s="3" t="s">
        <v>186</v>
      </c>
      <c r="T209" s="3" t="s">
        <v>347</v>
      </c>
      <c r="U209" s="3">
        <v>0</v>
      </c>
      <c r="V209" s="3">
        <v>27</v>
      </c>
      <c r="W209" s="3">
        <v>42</v>
      </c>
    </row>
    <row r="210" spans="1:23" ht="11.25" customHeight="1" x14ac:dyDescent="0.25">
      <c r="A210" s="3" t="s">
        <v>21</v>
      </c>
      <c r="B210" s="3" t="s">
        <v>22</v>
      </c>
      <c r="C210" s="3" t="s">
        <v>23</v>
      </c>
      <c r="D210" s="3" t="s">
        <v>24</v>
      </c>
      <c r="E210" s="3" t="s">
        <v>24</v>
      </c>
      <c r="F210" s="3" t="s">
        <v>25</v>
      </c>
      <c r="G210" s="3" t="s">
        <v>25</v>
      </c>
      <c r="H210" s="3" t="s">
        <v>25</v>
      </c>
      <c r="I210" s="6">
        <v>44287</v>
      </c>
      <c r="J210" s="4">
        <v>0</v>
      </c>
      <c r="K210" s="4">
        <v>0</v>
      </c>
      <c r="L210" s="4">
        <v>2505.59</v>
      </c>
      <c r="M210" s="4">
        <v>2505.59</v>
      </c>
      <c r="N210" s="4">
        <v>2505.59</v>
      </c>
      <c r="O210" s="4">
        <v>2505.59</v>
      </c>
      <c r="P210" s="4">
        <v>14846</v>
      </c>
      <c r="Q210" s="3" t="s">
        <v>26</v>
      </c>
      <c r="R210" s="3">
        <v>0</v>
      </c>
      <c r="S210" s="3" t="s">
        <v>187</v>
      </c>
      <c r="T210" s="3" t="s">
        <v>348</v>
      </c>
      <c r="U210" s="3">
        <v>0</v>
      </c>
      <c r="V210" s="3">
        <v>36</v>
      </c>
      <c r="W210" s="3">
        <v>45</v>
      </c>
    </row>
    <row r="211" spans="1:23" ht="11.25" customHeight="1" x14ac:dyDescent="0.25">
      <c r="A211" s="3" t="s">
        <v>27</v>
      </c>
      <c r="B211" s="3" t="s">
        <v>22</v>
      </c>
      <c r="C211" s="3" t="s">
        <v>23</v>
      </c>
      <c r="D211" s="3" t="s">
        <v>24</v>
      </c>
      <c r="E211" s="3" t="s">
        <v>24</v>
      </c>
      <c r="F211" s="3" t="s">
        <v>25</v>
      </c>
      <c r="G211" s="3" t="s">
        <v>25</v>
      </c>
      <c r="H211" s="3" t="s">
        <v>25</v>
      </c>
      <c r="I211" s="6">
        <v>44287</v>
      </c>
      <c r="J211" s="4">
        <v>0</v>
      </c>
      <c r="K211" s="4">
        <v>0</v>
      </c>
      <c r="L211" s="4">
        <v>-1.494</v>
      </c>
      <c r="M211" s="4">
        <v>-1.494</v>
      </c>
      <c r="N211" s="4">
        <v>-1.494</v>
      </c>
      <c r="O211" s="4">
        <v>-1.494</v>
      </c>
      <c r="P211" s="4">
        <v>0</v>
      </c>
      <c r="Q211" s="3" t="s">
        <v>26</v>
      </c>
      <c r="R211" s="3">
        <v>0</v>
      </c>
      <c r="S211" s="3" t="s">
        <v>187</v>
      </c>
      <c r="T211" s="3" t="s">
        <v>348</v>
      </c>
      <c r="U211" s="3">
        <v>0</v>
      </c>
      <c r="V211" s="3">
        <v>36</v>
      </c>
      <c r="W211" s="3">
        <v>45</v>
      </c>
    </row>
    <row r="212" spans="1:23" ht="11.25" customHeight="1" x14ac:dyDescent="0.25">
      <c r="A212" s="3" t="s">
        <v>28</v>
      </c>
      <c r="B212" s="3" t="s">
        <v>22</v>
      </c>
      <c r="C212" s="3" t="s">
        <v>23</v>
      </c>
      <c r="D212" s="3" t="s">
        <v>24</v>
      </c>
      <c r="E212" s="3" t="s">
        <v>24</v>
      </c>
      <c r="F212" s="3" t="s">
        <v>25</v>
      </c>
      <c r="G212" s="3" t="s">
        <v>25</v>
      </c>
      <c r="H212" s="3" t="s">
        <v>25</v>
      </c>
      <c r="I212" s="6">
        <v>44287</v>
      </c>
      <c r="J212" s="4">
        <v>0</v>
      </c>
      <c r="K212" s="4">
        <v>0</v>
      </c>
      <c r="L212" s="4">
        <v>17.643999999999998</v>
      </c>
      <c r="M212" s="4">
        <v>17.643999999999998</v>
      </c>
      <c r="N212" s="4">
        <v>17.643999999999998</v>
      </c>
      <c r="O212" s="4">
        <v>17.643999999999998</v>
      </c>
      <c r="P212" s="4">
        <v>115</v>
      </c>
      <c r="Q212" s="3" t="s">
        <v>26</v>
      </c>
      <c r="R212" s="3">
        <v>0</v>
      </c>
      <c r="S212" s="3" t="s">
        <v>187</v>
      </c>
      <c r="T212" s="3" t="s">
        <v>348</v>
      </c>
      <c r="U212" s="3">
        <v>0</v>
      </c>
      <c r="V212" s="3">
        <v>36</v>
      </c>
      <c r="W212" s="3">
        <v>45</v>
      </c>
    </row>
    <row r="213" spans="1:23" ht="11.25" customHeight="1" x14ac:dyDescent="0.25">
      <c r="A213" s="3" t="s">
        <v>21</v>
      </c>
      <c r="B213" s="3" t="s">
        <v>22</v>
      </c>
      <c r="C213" s="3" t="s">
        <v>23</v>
      </c>
      <c r="D213" s="3" t="s">
        <v>24</v>
      </c>
      <c r="E213" s="3" t="s">
        <v>24</v>
      </c>
      <c r="F213" s="3" t="s">
        <v>25</v>
      </c>
      <c r="G213" s="3" t="s">
        <v>25</v>
      </c>
      <c r="H213" s="3" t="s">
        <v>25</v>
      </c>
      <c r="I213" s="6">
        <v>44317</v>
      </c>
      <c r="J213" s="4">
        <v>0</v>
      </c>
      <c r="K213" s="4">
        <v>0</v>
      </c>
      <c r="L213" s="4">
        <v>2147.9580000000001</v>
      </c>
      <c r="M213" s="4">
        <v>2147.9580000000001</v>
      </c>
      <c r="N213" s="4">
        <v>2147.9580000000001</v>
      </c>
      <c r="O213" s="4">
        <v>2147.9580000000001</v>
      </c>
      <c r="P213" s="4">
        <v>14895</v>
      </c>
      <c r="Q213" s="3" t="s">
        <v>26</v>
      </c>
      <c r="R213" s="3">
        <v>0</v>
      </c>
      <c r="S213" s="3" t="s">
        <v>188</v>
      </c>
      <c r="T213" s="3" t="s">
        <v>349</v>
      </c>
      <c r="U213" s="3">
        <v>0</v>
      </c>
      <c r="V213" s="3">
        <v>36</v>
      </c>
      <c r="W213" s="3">
        <v>45</v>
      </c>
    </row>
    <row r="214" spans="1:23" ht="11.25" customHeight="1" x14ac:dyDescent="0.25">
      <c r="A214" s="3" t="s">
        <v>27</v>
      </c>
      <c r="B214" s="3" t="s">
        <v>22</v>
      </c>
      <c r="C214" s="3" t="s">
        <v>23</v>
      </c>
      <c r="D214" s="3" t="s">
        <v>24</v>
      </c>
      <c r="E214" s="3" t="s">
        <v>24</v>
      </c>
      <c r="F214" s="3" t="s">
        <v>25</v>
      </c>
      <c r="G214" s="3" t="s">
        <v>25</v>
      </c>
      <c r="H214" s="3" t="s">
        <v>25</v>
      </c>
      <c r="I214" s="6">
        <v>44317</v>
      </c>
      <c r="J214" s="4">
        <v>0</v>
      </c>
      <c r="K214" s="4">
        <v>0</v>
      </c>
      <c r="L214" s="4">
        <v>-3.4980000000000002</v>
      </c>
      <c r="M214" s="4">
        <v>-3.4980000000000002</v>
      </c>
      <c r="N214" s="4">
        <v>-3.4980000000000002</v>
      </c>
      <c r="O214" s="4">
        <v>-3.4980000000000002</v>
      </c>
      <c r="P214" s="4">
        <v>0</v>
      </c>
      <c r="Q214" s="3" t="s">
        <v>26</v>
      </c>
      <c r="R214" s="3">
        <v>0</v>
      </c>
      <c r="S214" s="3" t="s">
        <v>188</v>
      </c>
      <c r="T214" s="3" t="s">
        <v>349</v>
      </c>
      <c r="U214" s="3">
        <v>0</v>
      </c>
      <c r="V214" s="3">
        <v>36</v>
      </c>
      <c r="W214" s="3">
        <v>45</v>
      </c>
    </row>
    <row r="215" spans="1:23" ht="11.25" customHeight="1" x14ac:dyDescent="0.25">
      <c r="A215" s="3" t="s">
        <v>28</v>
      </c>
      <c r="B215" s="3" t="s">
        <v>22</v>
      </c>
      <c r="C215" s="3" t="s">
        <v>23</v>
      </c>
      <c r="D215" s="3" t="s">
        <v>24</v>
      </c>
      <c r="E215" s="3" t="s">
        <v>24</v>
      </c>
      <c r="F215" s="3" t="s">
        <v>25</v>
      </c>
      <c r="G215" s="3" t="s">
        <v>25</v>
      </c>
      <c r="H215" s="3" t="s">
        <v>25</v>
      </c>
      <c r="I215" s="6">
        <v>44317</v>
      </c>
      <c r="J215" s="4">
        <v>0</v>
      </c>
      <c r="K215" s="4">
        <v>0</v>
      </c>
      <c r="L215" s="4">
        <v>16.823</v>
      </c>
      <c r="M215" s="4">
        <v>16.823</v>
      </c>
      <c r="N215" s="4">
        <v>16.823</v>
      </c>
      <c r="O215" s="4">
        <v>16.823</v>
      </c>
      <c r="P215" s="4">
        <v>122</v>
      </c>
      <c r="Q215" s="3" t="s">
        <v>26</v>
      </c>
      <c r="R215" s="3">
        <v>0</v>
      </c>
      <c r="S215" s="3" t="s">
        <v>188</v>
      </c>
      <c r="T215" s="3" t="s">
        <v>349</v>
      </c>
      <c r="U215" s="3">
        <v>0</v>
      </c>
      <c r="V215" s="3">
        <v>36</v>
      </c>
      <c r="W215" s="3">
        <v>45</v>
      </c>
    </row>
    <row r="216" spans="1:23" ht="11.25" customHeight="1" x14ac:dyDescent="0.25">
      <c r="A216" s="3" t="s">
        <v>21</v>
      </c>
      <c r="B216" s="3" t="s">
        <v>22</v>
      </c>
      <c r="C216" s="3" t="s">
        <v>23</v>
      </c>
      <c r="D216" s="3" t="s">
        <v>24</v>
      </c>
      <c r="E216" s="3" t="s">
        <v>24</v>
      </c>
      <c r="F216" s="3" t="s">
        <v>25</v>
      </c>
      <c r="G216" s="3" t="s">
        <v>25</v>
      </c>
      <c r="H216" s="3" t="s">
        <v>25</v>
      </c>
      <c r="I216" s="6">
        <v>44348</v>
      </c>
      <c r="J216" s="4">
        <v>0</v>
      </c>
      <c r="K216" s="4">
        <v>0</v>
      </c>
      <c r="L216" s="4">
        <v>2106.0639999999999</v>
      </c>
      <c r="M216" s="4">
        <v>2106.0639999999999</v>
      </c>
      <c r="N216" s="4">
        <v>2106.0639999999999</v>
      </c>
      <c r="O216" s="4">
        <v>2106.0639999999999</v>
      </c>
      <c r="P216" s="4">
        <v>14931</v>
      </c>
      <c r="Q216" s="3" t="s">
        <v>26</v>
      </c>
      <c r="R216" s="3">
        <v>0</v>
      </c>
      <c r="S216" s="3" t="s">
        <v>189</v>
      </c>
      <c r="T216" s="3" t="s">
        <v>350</v>
      </c>
      <c r="U216" s="3">
        <v>0</v>
      </c>
      <c r="V216" s="3">
        <v>36</v>
      </c>
      <c r="W216" s="3">
        <v>45</v>
      </c>
    </row>
    <row r="217" spans="1:23" ht="11.25" customHeight="1" x14ac:dyDescent="0.25">
      <c r="A217" s="3" t="s">
        <v>27</v>
      </c>
      <c r="B217" s="3" t="s">
        <v>22</v>
      </c>
      <c r="C217" s="3" t="s">
        <v>23</v>
      </c>
      <c r="D217" s="3" t="s">
        <v>24</v>
      </c>
      <c r="E217" s="3" t="s">
        <v>24</v>
      </c>
      <c r="F217" s="3" t="s">
        <v>25</v>
      </c>
      <c r="G217" s="3" t="s">
        <v>25</v>
      </c>
      <c r="H217" s="3" t="s">
        <v>25</v>
      </c>
      <c r="I217" s="6">
        <v>44348</v>
      </c>
      <c r="J217" s="4">
        <v>0</v>
      </c>
      <c r="K217" s="4">
        <v>0</v>
      </c>
      <c r="L217" s="4">
        <v>-6.3109999999999999</v>
      </c>
      <c r="M217" s="4">
        <v>-6.3109999999999999</v>
      </c>
      <c r="N217" s="4">
        <v>-6.3109999999999999</v>
      </c>
      <c r="O217" s="4">
        <v>-6.3109999999999999</v>
      </c>
      <c r="P217" s="4">
        <v>0</v>
      </c>
      <c r="Q217" s="3" t="s">
        <v>26</v>
      </c>
      <c r="R217" s="3">
        <v>0</v>
      </c>
      <c r="S217" s="3" t="s">
        <v>189</v>
      </c>
      <c r="T217" s="3" t="s">
        <v>350</v>
      </c>
      <c r="U217" s="3">
        <v>0</v>
      </c>
      <c r="V217" s="3">
        <v>36</v>
      </c>
      <c r="W217" s="3">
        <v>45</v>
      </c>
    </row>
    <row r="218" spans="1:23" ht="11.25" customHeight="1" x14ac:dyDescent="0.25">
      <c r="A218" s="3" t="s">
        <v>28</v>
      </c>
      <c r="B218" s="3" t="s">
        <v>22</v>
      </c>
      <c r="C218" s="3" t="s">
        <v>23</v>
      </c>
      <c r="D218" s="3" t="s">
        <v>24</v>
      </c>
      <c r="E218" s="3" t="s">
        <v>24</v>
      </c>
      <c r="F218" s="3" t="s">
        <v>25</v>
      </c>
      <c r="G218" s="3" t="s">
        <v>25</v>
      </c>
      <c r="H218" s="3" t="s">
        <v>25</v>
      </c>
      <c r="I218" s="6">
        <v>44348</v>
      </c>
      <c r="J218" s="4">
        <v>0</v>
      </c>
      <c r="K218" s="4">
        <v>0</v>
      </c>
      <c r="L218" s="4">
        <v>23.161000000000001</v>
      </c>
      <c r="M218" s="4">
        <v>23.161000000000001</v>
      </c>
      <c r="N218" s="4">
        <v>23.161000000000001</v>
      </c>
      <c r="O218" s="4">
        <v>23.161000000000001</v>
      </c>
      <c r="P218" s="4">
        <v>131</v>
      </c>
      <c r="Q218" s="3" t="s">
        <v>26</v>
      </c>
      <c r="R218" s="3">
        <v>0</v>
      </c>
      <c r="S218" s="3" t="s">
        <v>189</v>
      </c>
      <c r="T218" s="3" t="s">
        <v>350</v>
      </c>
      <c r="U218" s="3">
        <v>0</v>
      </c>
      <c r="V218" s="3">
        <v>36</v>
      </c>
      <c r="W218" s="3">
        <v>45</v>
      </c>
    </row>
    <row r="219" spans="1:23" ht="11.25" customHeight="1" x14ac:dyDescent="0.25">
      <c r="A219" s="3" t="s">
        <v>21</v>
      </c>
      <c r="B219" s="3" t="s">
        <v>22</v>
      </c>
      <c r="C219" s="3" t="s">
        <v>23</v>
      </c>
      <c r="D219" s="3" t="s">
        <v>24</v>
      </c>
      <c r="E219" s="3" t="s">
        <v>24</v>
      </c>
      <c r="F219" s="3" t="s">
        <v>25</v>
      </c>
      <c r="G219" s="3" t="s">
        <v>25</v>
      </c>
      <c r="H219" s="3" t="s">
        <v>25</v>
      </c>
      <c r="I219" s="6">
        <v>44378</v>
      </c>
      <c r="J219" s="4">
        <v>0</v>
      </c>
      <c r="K219" s="4">
        <v>0</v>
      </c>
      <c r="L219" s="4">
        <v>1875.779</v>
      </c>
      <c r="M219" s="4">
        <v>1875.779</v>
      </c>
      <c r="N219" s="4">
        <v>1875.779</v>
      </c>
      <c r="O219" s="4">
        <v>1875.779</v>
      </c>
      <c r="P219" s="4">
        <v>14931</v>
      </c>
      <c r="Q219" s="3" t="s">
        <v>26</v>
      </c>
      <c r="R219" s="3">
        <v>0</v>
      </c>
      <c r="S219" s="3" t="s">
        <v>190</v>
      </c>
      <c r="T219" s="3" t="s">
        <v>351</v>
      </c>
      <c r="U219" s="3">
        <v>0</v>
      </c>
      <c r="V219" s="3">
        <v>36</v>
      </c>
      <c r="W219" s="3">
        <v>45</v>
      </c>
    </row>
    <row r="220" spans="1:23" ht="11.25" customHeight="1" x14ac:dyDescent="0.25">
      <c r="A220" s="3" t="s">
        <v>27</v>
      </c>
      <c r="B220" s="3" t="s">
        <v>22</v>
      </c>
      <c r="C220" s="3" t="s">
        <v>23</v>
      </c>
      <c r="D220" s="3" t="s">
        <v>24</v>
      </c>
      <c r="E220" s="3" t="s">
        <v>24</v>
      </c>
      <c r="F220" s="3" t="s">
        <v>25</v>
      </c>
      <c r="G220" s="3" t="s">
        <v>25</v>
      </c>
      <c r="H220" s="3" t="s">
        <v>25</v>
      </c>
      <c r="I220" s="6">
        <v>44378</v>
      </c>
      <c r="J220" s="4">
        <v>0</v>
      </c>
      <c r="K220" s="4">
        <v>0</v>
      </c>
      <c r="L220" s="4">
        <v>-2.4430000000000001</v>
      </c>
      <c r="M220" s="4">
        <v>-2.4430000000000001</v>
      </c>
      <c r="N220" s="4">
        <v>-2.4430000000000001</v>
      </c>
      <c r="O220" s="4">
        <v>-2.4430000000000001</v>
      </c>
      <c r="P220" s="4">
        <v>0</v>
      </c>
      <c r="Q220" s="3" t="s">
        <v>26</v>
      </c>
      <c r="R220" s="3">
        <v>0</v>
      </c>
      <c r="S220" s="3" t="s">
        <v>190</v>
      </c>
      <c r="T220" s="3" t="s">
        <v>351</v>
      </c>
      <c r="U220" s="3">
        <v>0</v>
      </c>
      <c r="V220" s="3">
        <v>36</v>
      </c>
      <c r="W220" s="3">
        <v>45</v>
      </c>
    </row>
    <row r="221" spans="1:23" ht="11.25" customHeight="1" x14ac:dyDescent="0.25">
      <c r="A221" s="3" t="s">
        <v>28</v>
      </c>
      <c r="B221" s="3" t="s">
        <v>22</v>
      </c>
      <c r="C221" s="3" t="s">
        <v>23</v>
      </c>
      <c r="D221" s="3" t="s">
        <v>24</v>
      </c>
      <c r="E221" s="3" t="s">
        <v>24</v>
      </c>
      <c r="F221" s="3" t="s">
        <v>25</v>
      </c>
      <c r="G221" s="3" t="s">
        <v>25</v>
      </c>
      <c r="H221" s="3" t="s">
        <v>25</v>
      </c>
      <c r="I221" s="6">
        <v>44378</v>
      </c>
      <c r="J221" s="4">
        <v>0</v>
      </c>
      <c r="K221" s="4">
        <v>0</v>
      </c>
      <c r="L221" s="4">
        <v>22.52</v>
      </c>
      <c r="M221" s="4">
        <v>22.52</v>
      </c>
      <c r="N221" s="4">
        <v>22.52</v>
      </c>
      <c r="O221" s="4">
        <v>22.52</v>
      </c>
      <c r="P221" s="4">
        <v>141</v>
      </c>
      <c r="Q221" s="3" t="s">
        <v>26</v>
      </c>
      <c r="R221" s="3">
        <v>0</v>
      </c>
      <c r="S221" s="3" t="s">
        <v>190</v>
      </c>
      <c r="T221" s="3" t="s">
        <v>351</v>
      </c>
      <c r="U221" s="3">
        <v>0</v>
      </c>
      <c r="V221" s="3">
        <v>36</v>
      </c>
      <c r="W221" s="3">
        <v>45</v>
      </c>
    </row>
    <row r="222" spans="1:23" ht="11.25" customHeight="1" x14ac:dyDescent="0.25">
      <c r="A222" s="3" t="s">
        <v>21</v>
      </c>
      <c r="B222" s="3" t="s">
        <v>22</v>
      </c>
      <c r="C222" s="3" t="s">
        <v>23</v>
      </c>
      <c r="D222" s="3" t="s">
        <v>24</v>
      </c>
      <c r="E222" s="3" t="s">
        <v>24</v>
      </c>
      <c r="F222" s="3" t="s">
        <v>25</v>
      </c>
      <c r="G222" s="3" t="s">
        <v>25</v>
      </c>
      <c r="H222" s="3" t="s">
        <v>25</v>
      </c>
      <c r="I222" s="6">
        <v>44409</v>
      </c>
      <c r="J222" s="4">
        <v>0</v>
      </c>
      <c r="K222" s="4">
        <v>0</v>
      </c>
      <c r="L222" s="4">
        <v>1879.2909999999999</v>
      </c>
      <c r="M222" s="4">
        <v>1879.2909999999999</v>
      </c>
      <c r="N222" s="4">
        <v>1879.2909999999999</v>
      </c>
      <c r="O222" s="4">
        <v>1879.2909999999999</v>
      </c>
      <c r="P222" s="4">
        <v>14910</v>
      </c>
      <c r="Q222" s="3" t="s">
        <v>26</v>
      </c>
      <c r="R222" s="3">
        <v>0</v>
      </c>
      <c r="S222" s="3" t="s">
        <v>191</v>
      </c>
      <c r="T222" s="3" t="s">
        <v>352</v>
      </c>
      <c r="U222" s="3">
        <v>0</v>
      </c>
      <c r="V222" s="3">
        <v>36</v>
      </c>
      <c r="W222" s="3">
        <v>45</v>
      </c>
    </row>
    <row r="223" spans="1:23" ht="11.25" customHeight="1" x14ac:dyDescent="0.25">
      <c r="A223" s="3" t="s">
        <v>27</v>
      </c>
      <c r="B223" s="3" t="s">
        <v>22</v>
      </c>
      <c r="C223" s="3" t="s">
        <v>23</v>
      </c>
      <c r="D223" s="3" t="s">
        <v>24</v>
      </c>
      <c r="E223" s="3" t="s">
        <v>24</v>
      </c>
      <c r="F223" s="3" t="s">
        <v>25</v>
      </c>
      <c r="G223" s="3" t="s">
        <v>25</v>
      </c>
      <c r="H223" s="3" t="s">
        <v>25</v>
      </c>
      <c r="I223" s="6">
        <v>44409</v>
      </c>
      <c r="J223" s="4">
        <v>0</v>
      </c>
      <c r="K223" s="4">
        <v>0</v>
      </c>
      <c r="L223" s="4">
        <v>-1.458</v>
      </c>
      <c r="M223" s="4">
        <v>-1.458</v>
      </c>
      <c r="N223" s="4">
        <v>-1.458</v>
      </c>
      <c r="O223" s="4">
        <v>-1.458</v>
      </c>
      <c r="P223" s="4">
        <v>0</v>
      </c>
      <c r="Q223" s="3" t="s">
        <v>26</v>
      </c>
      <c r="R223" s="3">
        <v>0</v>
      </c>
      <c r="S223" s="3" t="s">
        <v>191</v>
      </c>
      <c r="T223" s="3" t="s">
        <v>352</v>
      </c>
      <c r="U223" s="3">
        <v>0</v>
      </c>
      <c r="V223" s="3">
        <v>36</v>
      </c>
      <c r="W223" s="3">
        <v>45</v>
      </c>
    </row>
    <row r="224" spans="1:23" ht="11.25" customHeight="1" x14ac:dyDescent="0.25">
      <c r="A224" s="3" t="s">
        <v>28</v>
      </c>
      <c r="B224" s="3" t="s">
        <v>22</v>
      </c>
      <c r="C224" s="3" t="s">
        <v>23</v>
      </c>
      <c r="D224" s="3" t="s">
        <v>24</v>
      </c>
      <c r="E224" s="3" t="s">
        <v>24</v>
      </c>
      <c r="F224" s="3" t="s">
        <v>25</v>
      </c>
      <c r="G224" s="3" t="s">
        <v>25</v>
      </c>
      <c r="H224" s="3" t="s">
        <v>25</v>
      </c>
      <c r="I224" s="6">
        <v>44409</v>
      </c>
      <c r="J224" s="4">
        <v>0</v>
      </c>
      <c r="K224" s="4">
        <v>0</v>
      </c>
      <c r="L224" s="4">
        <v>22.29</v>
      </c>
      <c r="M224" s="4">
        <v>22.29</v>
      </c>
      <c r="N224" s="4">
        <v>22.29</v>
      </c>
      <c r="O224" s="4">
        <v>22.29</v>
      </c>
      <c r="P224" s="4">
        <v>157</v>
      </c>
      <c r="Q224" s="3" t="s">
        <v>26</v>
      </c>
      <c r="R224" s="3">
        <v>0</v>
      </c>
      <c r="S224" s="3" t="s">
        <v>191</v>
      </c>
      <c r="T224" s="3" t="s">
        <v>352</v>
      </c>
      <c r="U224" s="3">
        <v>0</v>
      </c>
      <c r="V224" s="3">
        <v>36</v>
      </c>
      <c r="W224" s="3">
        <v>45</v>
      </c>
    </row>
    <row r="225" spans="1:23" ht="11.25" customHeight="1" x14ac:dyDescent="0.25">
      <c r="A225" s="3" t="s">
        <v>21</v>
      </c>
      <c r="B225" s="3" t="s">
        <v>22</v>
      </c>
      <c r="C225" s="3" t="s">
        <v>23</v>
      </c>
      <c r="D225" s="3" t="s">
        <v>24</v>
      </c>
      <c r="E225" s="3" t="s">
        <v>24</v>
      </c>
      <c r="F225" s="3" t="s">
        <v>25</v>
      </c>
      <c r="G225" s="3" t="s">
        <v>25</v>
      </c>
      <c r="H225" s="3" t="s">
        <v>25</v>
      </c>
      <c r="I225" s="6">
        <v>44440</v>
      </c>
      <c r="J225" s="4">
        <v>0</v>
      </c>
      <c r="K225" s="4">
        <v>0</v>
      </c>
      <c r="L225" s="4">
        <v>2177.0700000000002</v>
      </c>
      <c r="M225" s="4">
        <v>2177.0700000000002</v>
      </c>
      <c r="N225" s="4">
        <v>2177.0700000000002</v>
      </c>
      <c r="O225" s="4">
        <v>2177.0700000000002</v>
      </c>
      <c r="P225" s="4">
        <v>14981</v>
      </c>
      <c r="Q225" s="3" t="s">
        <v>26</v>
      </c>
      <c r="R225" s="3">
        <v>0</v>
      </c>
      <c r="S225" s="3" t="s">
        <v>192</v>
      </c>
      <c r="T225" s="3" t="s">
        <v>353</v>
      </c>
      <c r="U225" s="3">
        <v>0</v>
      </c>
      <c r="V225" s="3">
        <v>36</v>
      </c>
      <c r="W225" s="3">
        <v>45</v>
      </c>
    </row>
    <row r="226" spans="1:23" ht="11.25" customHeight="1" x14ac:dyDescent="0.25">
      <c r="A226" s="3" t="s">
        <v>27</v>
      </c>
      <c r="B226" s="3" t="s">
        <v>22</v>
      </c>
      <c r="C226" s="3" t="s">
        <v>23</v>
      </c>
      <c r="D226" s="3" t="s">
        <v>24</v>
      </c>
      <c r="E226" s="3" t="s">
        <v>24</v>
      </c>
      <c r="F226" s="3" t="s">
        <v>25</v>
      </c>
      <c r="G226" s="3" t="s">
        <v>25</v>
      </c>
      <c r="H226" s="3" t="s">
        <v>25</v>
      </c>
      <c r="I226" s="6">
        <v>44440</v>
      </c>
      <c r="J226" s="4">
        <v>0</v>
      </c>
      <c r="K226" s="4">
        <v>0</v>
      </c>
      <c r="L226" s="4">
        <v>-1.1859999999999999</v>
      </c>
      <c r="M226" s="4">
        <v>-1.1859999999999999</v>
      </c>
      <c r="N226" s="4">
        <v>-1.1859999999999999</v>
      </c>
      <c r="O226" s="4">
        <v>-1.1859999999999999</v>
      </c>
      <c r="P226" s="4">
        <v>0</v>
      </c>
      <c r="Q226" s="3" t="s">
        <v>26</v>
      </c>
      <c r="R226" s="3">
        <v>0</v>
      </c>
      <c r="S226" s="3" t="s">
        <v>192</v>
      </c>
      <c r="T226" s="3" t="s">
        <v>353</v>
      </c>
      <c r="U226" s="3">
        <v>0</v>
      </c>
      <c r="V226" s="3">
        <v>36</v>
      </c>
      <c r="W226" s="3">
        <v>45</v>
      </c>
    </row>
    <row r="227" spans="1:23" ht="11.25" customHeight="1" x14ac:dyDescent="0.25">
      <c r="A227" s="3" t="s">
        <v>28</v>
      </c>
      <c r="B227" s="3" t="s">
        <v>22</v>
      </c>
      <c r="C227" s="3" t="s">
        <v>23</v>
      </c>
      <c r="D227" s="3" t="s">
        <v>24</v>
      </c>
      <c r="E227" s="3" t="s">
        <v>24</v>
      </c>
      <c r="F227" s="3" t="s">
        <v>25</v>
      </c>
      <c r="G227" s="3" t="s">
        <v>25</v>
      </c>
      <c r="H227" s="3" t="s">
        <v>25</v>
      </c>
      <c r="I227" s="6">
        <v>44440</v>
      </c>
      <c r="J227" s="4">
        <v>0</v>
      </c>
      <c r="K227" s="4">
        <v>0</v>
      </c>
      <c r="L227" s="4">
        <v>22.503</v>
      </c>
      <c r="M227" s="4">
        <v>22.503</v>
      </c>
      <c r="N227" s="4">
        <v>22.503</v>
      </c>
      <c r="O227" s="4">
        <v>22.503</v>
      </c>
      <c r="P227" s="4">
        <v>170</v>
      </c>
      <c r="Q227" s="3" t="s">
        <v>26</v>
      </c>
      <c r="R227" s="3">
        <v>0</v>
      </c>
      <c r="S227" s="3" t="s">
        <v>192</v>
      </c>
      <c r="T227" s="3" t="s">
        <v>353</v>
      </c>
      <c r="U227" s="3">
        <v>0</v>
      </c>
      <c r="V227" s="3">
        <v>36</v>
      </c>
      <c r="W227" s="3">
        <v>45</v>
      </c>
    </row>
    <row r="228" spans="1:23" ht="11.25" customHeight="1" x14ac:dyDescent="0.25">
      <c r="A228" s="3" t="s">
        <v>28</v>
      </c>
      <c r="B228" s="3" t="s">
        <v>22</v>
      </c>
      <c r="C228" s="3" t="s">
        <v>23</v>
      </c>
      <c r="D228" s="3" t="s">
        <v>24</v>
      </c>
      <c r="E228" s="3" t="s">
        <v>24</v>
      </c>
      <c r="F228" s="3" t="s">
        <v>25</v>
      </c>
      <c r="G228" s="3" t="s">
        <v>25</v>
      </c>
      <c r="H228" s="3" t="s">
        <v>25</v>
      </c>
      <c r="I228" s="6">
        <v>44440</v>
      </c>
      <c r="J228" s="4">
        <v>0</v>
      </c>
      <c r="K228" s="4">
        <v>0</v>
      </c>
      <c r="L228" s="4">
        <v>0.72299999999999998</v>
      </c>
      <c r="M228" s="4">
        <v>0.72299999999999998</v>
      </c>
      <c r="N228" s="4">
        <v>0.72299999999999998</v>
      </c>
      <c r="O228" s="4">
        <v>0.72299999999999998</v>
      </c>
      <c r="P228" s="4">
        <v>1</v>
      </c>
      <c r="Q228" s="3" t="s">
        <v>26</v>
      </c>
      <c r="R228" s="3">
        <v>0</v>
      </c>
      <c r="S228" s="3" t="s">
        <v>192</v>
      </c>
      <c r="T228" s="3" t="s">
        <v>353</v>
      </c>
      <c r="U228" s="3">
        <v>0</v>
      </c>
      <c r="V228" s="3">
        <v>36</v>
      </c>
      <c r="W228" s="3">
        <v>45</v>
      </c>
    </row>
    <row r="229" spans="1:23" ht="11.25" customHeight="1" x14ac:dyDescent="0.25">
      <c r="A229" s="3" t="s">
        <v>21</v>
      </c>
      <c r="B229" s="3" t="s">
        <v>22</v>
      </c>
      <c r="C229" s="3" t="s">
        <v>23</v>
      </c>
      <c r="D229" s="3" t="s">
        <v>24</v>
      </c>
      <c r="E229" s="3" t="s">
        <v>24</v>
      </c>
      <c r="F229" s="3" t="s">
        <v>25</v>
      </c>
      <c r="G229" s="3" t="s">
        <v>25</v>
      </c>
      <c r="H229" s="3" t="s">
        <v>25</v>
      </c>
      <c r="I229" s="6">
        <v>44470</v>
      </c>
      <c r="J229" s="4">
        <v>0</v>
      </c>
      <c r="K229" s="4">
        <v>0</v>
      </c>
      <c r="L229" s="4">
        <v>2061.8270000000002</v>
      </c>
      <c r="M229" s="4">
        <v>2061.8270000000002</v>
      </c>
      <c r="N229" s="4">
        <v>2061.8270000000002</v>
      </c>
      <c r="O229" s="4">
        <v>2061.8270000000002</v>
      </c>
      <c r="P229" s="4">
        <v>14921</v>
      </c>
      <c r="Q229" s="3" t="s">
        <v>26</v>
      </c>
      <c r="R229" s="3">
        <v>0</v>
      </c>
      <c r="S229" s="3" t="s">
        <v>193</v>
      </c>
      <c r="T229" s="3" t="s">
        <v>354</v>
      </c>
      <c r="U229" s="3">
        <v>0</v>
      </c>
      <c r="V229" s="3">
        <v>36</v>
      </c>
      <c r="W229" s="3">
        <v>45</v>
      </c>
    </row>
    <row r="230" spans="1:23" ht="11.25" customHeight="1" x14ac:dyDescent="0.25">
      <c r="A230" s="3" t="s">
        <v>27</v>
      </c>
      <c r="B230" s="3" t="s">
        <v>22</v>
      </c>
      <c r="C230" s="3" t="s">
        <v>23</v>
      </c>
      <c r="D230" s="3" t="s">
        <v>24</v>
      </c>
      <c r="E230" s="3" t="s">
        <v>24</v>
      </c>
      <c r="F230" s="3" t="s">
        <v>25</v>
      </c>
      <c r="G230" s="3" t="s">
        <v>25</v>
      </c>
      <c r="H230" s="3" t="s">
        <v>25</v>
      </c>
      <c r="I230" s="6">
        <v>44470</v>
      </c>
      <c r="J230" s="4">
        <v>0</v>
      </c>
      <c r="K230" s="4">
        <v>0</v>
      </c>
      <c r="L230" s="4">
        <v>-1.9179999999999999</v>
      </c>
      <c r="M230" s="4">
        <v>-1.9179999999999999</v>
      </c>
      <c r="N230" s="4">
        <v>-1.9179999999999999</v>
      </c>
      <c r="O230" s="4">
        <v>-1.9179999999999999</v>
      </c>
      <c r="P230" s="4">
        <v>0</v>
      </c>
      <c r="Q230" s="3" t="s">
        <v>26</v>
      </c>
      <c r="R230" s="3">
        <v>0</v>
      </c>
      <c r="S230" s="3" t="s">
        <v>193</v>
      </c>
      <c r="T230" s="3" t="s">
        <v>354</v>
      </c>
      <c r="U230" s="3">
        <v>0</v>
      </c>
      <c r="V230" s="3">
        <v>36</v>
      </c>
      <c r="W230" s="3">
        <v>45</v>
      </c>
    </row>
    <row r="231" spans="1:23" ht="11.25" customHeight="1" x14ac:dyDescent="0.25">
      <c r="A231" s="3" t="s">
        <v>28</v>
      </c>
      <c r="B231" s="3" t="s">
        <v>22</v>
      </c>
      <c r="C231" s="3" t="s">
        <v>23</v>
      </c>
      <c r="D231" s="3" t="s">
        <v>24</v>
      </c>
      <c r="E231" s="3" t="s">
        <v>24</v>
      </c>
      <c r="F231" s="3" t="s">
        <v>25</v>
      </c>
      <c r="G231" s="3" t="s">
        <v>25</v>
      </c>
      <c r="H231" s="3" t="s">
        <v>25</v>
      </c>
      <c r="I231" s="6">
        <v>44470</v>
      </c>
      <c r="J231" s="4">
        <v>0</v>
      </c>
      <c r="K231" s="4">
        <v>0</v>
      </c>
      <c r="L231" s="4">
        <v>24.122</v>
      </c>
      <c r="M231" s="4">
        <v>24.122</v>
      </c>
      <c r="N231" s="4">
        <v>24.122</v>
      </c>
      <c r="O231" s="4">
        <v>24.122</v>
      </c>
      <c r="P231" s="4">
        <v>179</v>
      </c>
      <c r="Q231" s="3" t="s">
        <v>26</v>
      </c>
      <c r="R231" s="3">
        <v>0</v>
      </c>
      <c r="S231" s="3" t="s">
        <v>193</v>
      </c>
      <c r="T231" s="3" t="s">
        <v>354</v>
      </c>
      <c r="U231" s="3">
        <v>0</v>
      </c>
      <c r="V231" s="3">
        <v>36</v>
      </c>
      <c r="W231" s="3">
        <v>45</v>
      </c>
    </row>
    <row r="232" spans="1:23" ht="11.25" customHeight="1" x14ac:dyDescent="0.25">
      <c r="A232" s="3" t="s">
        <v>21</v>
      </c>
      <c r="B232" s="3" t="s">
        <v>22</v>
      </c>
      <c r="C232" s="3" t="s">
        <v>23</v>
      </c>
      <c r="D232" s="3" t="s">
        <v>24</v>
      </c>
      <c r="E232" s="3" t="s">
        <v>24</v>
      </c>
      <c r="F232" s="3" t="s">
        <v>25</v>
      </c>
      <c r="G232" s="3" t="s">
        <v>25</v>
      </c>
      <c r="H232" s="3" t="s">
        <v>25</v>
      </c>
      <c r="I232" s="6">
        <v>44501</v>
      </c>
      <c r="J232" s="4">
        <v>0</v>
      </c>
      <c r="K232" s="4">
        <v>0</v>
      </c>
      <c r="L232" s="4">
        <v>2043.135</v>
      </c>
      <c r="M232" s="4">
        <v>2043.135</v>
      </c>
      <c r="N232" s="4">
        <v>2043.135</v>
      </c>
      <c r="O232" s="4">
        <v>2043.135</v>
      </c>
      <c r="P232" s="4">
        <v>14898</v>
      </c>
      <c r="Q232" s="3" t="s">
        <v>26</v>
      </c>
      <c r="R232" s="3">
        <v>0</v>
      </c>
      <c r="S232" s="3" t="s">
        <v>194</v>
      </c>
      <c r="T232" s="3" t="s">
        <v>355</v>
      </c>
      <c r="U232" s="3">
        <v>0</v>
      </c>
      <c r="V232" s="3">
        <v>36</v>
      </c>
      <c r="W232" s="3">
        <v>45</v>
      </c>
    </row>
    <row r="233" spans="1:23" ht="11.25" customHeight="1" x14ac:dyDescent="0.25">
      <c r="A233" s="3" t="s">
        <v>27</v>
      </c>
      <c r="B233" s="3" t="s">
        <v>22</v>
      </c>
      <c r="C233" s="3" t="s">
        <v>23</v>
      </c>
      <c r="D233" s="3" t="s">
        <v>24</v>
      </c>
      <c r="E233" s="3" t="s">
        <v>24</v>
      </c>
      <c r="F233" s="3" t="s">
        <v>25</v>
      </c>
      <c r="G233" s="3" t="s">
        <v>25</v>
      </c>
      <c r="H233" s="3" t="s">
        <v>25</v>
      </c>
      <c r="I233" s="6">
        <v>44501</v>
      </c>
      <c r="J233" s="4">
        <v>0</v>
      </c>
      <c r="K233" s="4">
        <v>0</v>
      </c>
      <c r="L233" s="4">
        <v>-6.23</v>
      </c>
      <c r="M233" s="4">
        <v>-6.23</v>
      </c>
      <c r="N233" s="4">
        <v>-6.23</v>
      </c>
      <c r="O233" s="4">
        <v>-6.23</v>
      </c>
      <c r="P233" s="4">
        <v>0</v>
      </c>
      <c r="Q233" s="3" t="s">
        <v>26</v>
      </c>
      <c r="R233" s="3">
        <v>0</v>
      </c>
      <c r="S233" s="3" t="s">
        <v>194</v>
      </c>
      <c r="T233" s="3" t="s">
        <v>355</v>
      </c>
      <c r="U233" s="3">
        <v>0</v>
      </c>
      <c r="V233" s="3">
        <v>36</v>
      </c>
      <c r="W233" s="3">
        <v>45</v>
      </c>
    </row>
    <row r="234" spans="1:23" ht="11.25" customHeight="1" x14ac:dyDescent="0.25">
      <c r="A234" s="3" t="s">
        <v>28</v>
      </c>
      <c r="B234" s="3" t="s">
        <v>22</v>
      </c>
      <c r="C234" s="3" t="s">
        <v>23</v>
      </c>
      <c r="D234" s="3" t="s">
        <v>24</v>
      </c>
      <c r="E234" s="3" t="s">
        <v>24</v>
      </c>
      <c r="F234" s="3" t="s">
        <v>25</v>
      </c>
      <c r="G234" s="3" t="s">
        <v>25</v>
      </c>
      <c r="H234" s="3" t="s">
        <v>25</v>
      </c>
      <c r="I234" s="6">
        <v>44501</v>
      </c>
      <c r="J234" s="4">
        <v>0</v>
      </c>
      <c r="K234" s="4">
        <v>0</v>
      </c>
      <c r="L234" s="4">
        <v>24.597000000000001</v>
      </c>
      <c r="M234" s="4">
        <v>24.597000000000001</v>
      </c>
      <c r="N234" s="4">
        <v>24.597000000000001</v>
      </c>
      <c r="O234" s="4">
        <v>24.597000000000001</v>
      </c>
      <c r="P234" s="4">
        <v>193</v>
      </c>
      <c r="Q234" s="3" t="s">
        <v>26</v>
      </c>
      <c r="R234" s="3">
        <v>0</v>
      </c>
      <c r="S234" s="3" t="s">
        <v>194</v>
      </c>
      <c r="T234" s="3" t="s">
        <v>355</v>
      </c>
      <c r="U234" s="3">
        <v>0</v>
      </c>
      <c r="V234" s="3">
        <v>36</v>
      </c>
      <c r="W234" s="3">
        <v>45</v>
      </c>
    </row>
    <row r="235" spans="1:23" ht="11.25" customHeight="1" x14ac:dyDescent="0.25">
      <c r="A235" s="3" t="s">
        <v>21</v>
      </c>
      <c r="B235" s="3" t="s">
        <v>22</v>
      </c>
      <c r="C235" s="3" t="s">
        <v>23</v>
      </c>
      <c r="D235" s="3" t="s">
        <v>24</v>
      </c>
      <c r="E235" s="3" t="s">
        <v>24</v>
      </c>
      <c r="F235" s="3" t="s">
        <v>25</v>
      </c>
      <c r="G235" s="3" t="s">
        <v>25</v>
      </c>
      <c r="H235" s="3" t="s">
        <v>25</v>
      </c>
      <c r="I235" s="6">
        <v>44531</v>
      </c>
      <c r="J235" s="4">
        <v>0</v>
      </c>
      <c r="K235" s="4">
        <v>0</v>
      </c>
      <c r="L235" s="4">
        <v>2159.143</v>
      </c>
      <c r="M235" s="4">
        <v>2159.143</v>
      </c>
      <c r="N235" s="4">
        <v>2159.143</v>
      </c>
      <c r="O235" s="4">
        <v>2159.143</v>
      </c>
      <c r="P235" s="4">
        <v>14900</v>
      </c>
      <c r="Q235" s="3" t="s">
        <v>26</v>
      </c>
      <c r="R235" s="3">
        <v>0</v>
      </c>
      <c r="S235" s="3" t="s">
        <v>195</v>
      </c>
      <c r="T235" s="3" t="s">
        <v>356</v>
      </c>
      <c r="U235" s="3">
        <v>0</v>
      </c>
      <c r="V235" s="3">
        <v>36</v>
      </c>
      <c r="W235" s="3">
        <v>45</v>
      </c>
    </row>
    <row r="236" spans="1:23" ht="11.25" customHeight="1" x14ac:dyDescent="0.25">
      <c r="A236" s="3" t="s">
        <v>27</v>
      </c>
      <c r="B236" s="3" t="s">
        <v>22</v>
      </c>
      <c r="C236" s="3" t="s">
        <v>23</v>
      </c>
      <c r="D236" s="3" t="s">
        <v>24</v>
      </c>
      <c r="E236" s="3" t="s">
        <v>24</v>
      </c>
      <c r="F236" s="3" t="s">
        <v>25</v>
      </c>
      <c r="G236" s="3" t="s">
        <v>25</v>
      </c>
      <c r="H236" s="3" t="s">
        <v>25</v>
      </c>
      <c r="I236" s="6">
        <v>44531</v>
      </c>
      <c r="J236" s="4">
        <v>0</v>
      </c>
      <c r="K236" s="4">
        <v>0</v>
      </c>
      <c r="L236" s="4">
        <v>-2.7770000000000001</v>
      </c>
      <c r="M236" s="4">
        <v>-2.7770000000000001</v>
      </c>
      <c r="N236" s="4">
        <v>-2.7770000000000001</v>
      </c>
      <c r="O236" s="4">
        <v>-2.7770000000000001</v>
      </c>
      <c r="P236" s="4">
        <v>0</v>
      </c>
      <c r="Q236" s="3" t="s">
        <v>26</v>
      </c>
      <c r="R236" s="3">
        <v>0</v>
      </c>
      <c r="S236" s="3" t="s">
        <v>195</v>
      </c>
      <c r="T236" s="3" t="s">
        <v>356</v>
      </c>
      <c r="U236" s="3">
        <v>0</v>
      </c>
      <c r="V236" s="3">
        <v>36</v>
      </c>
      <c r="W236" s="3">
        <v>45</v>
      </c>
    </row>
    <row r="237" spans="1:23" ht="11.25" customHeight="1" x14ac:dyDescent="0.25">
      <c r="A237" s="3" t="s">
        <v>28</v>
      </c>
      <c r="B237" s="3" t="s">
        <v>22</v>
      </c>
      <c r="C237" s="3" t="s">
        <v>23</v>
      </c>
      <c r="D237" s="3" t="s">
        <v>24</v>
      </c>
      <c r="E237" s="3" t="s">
        <v>24</v>
      </c>
      <c r="F237" s="3" t="s">
        <v>25</v>
      </c>
      <c r="G237" s="3" t="s">
        <v>25</v>
      </c>
      <c r="H237" s="3" t="s">
        <v>25</v>
      </c>
      <c r="I237" s="6">
        <v>44531</v>
      </c>
      <c r="J237" s="4">
        <v>0</v>
      </c>
      <c r="K237" s="4">
        <v>0</v>
      </c>
      <c r="L237" s="4">
        <v>24.524000000000001</v>
      </c>
      <c r="M237" s="4">
        <v>24.524000000000001</v>
      </c>
      <c r="N237" s="4">
        <v>24.524000000000001</v>
      </c>
      <c r="O237" s="4">
        <v>24.524000000000001</v>
      </c>
      <c r="P237" s="4">
        <v>210</v>
      </c>
      <c r="Q237" s="3" t="s">
        <v>26</v>
      </c>
      <c r="R237" s="3">
        <v>0</v>
      </c>
      <c r="S237" s="3" t="s">
        <v>195</v>
      </c>
      <c r="T237" s="3" t="s">
        <v>356</v>
      </c>
      <c r="U237" s="3">
        <v>0</v>
      </c>
      <c r="V237" s="3">
        <v>36</v>
      </c>
      <c r="W237" s="3">
        <v>45</v>
      </c>
    </row>
    <row r="238" spans="1:23" ht="11.25" customHeight="1" x14ac:dyDescent="0.25">
      <c r="A238" s="3" t="s">
        <v>21</v>
      </c>
      <c r="B238" s="3" t="s">
        <v>22</v>
      </c>
      <c r="C238" s="3" t="s">
        <v>23</v>
      </c>
      <c r="D238" s="3" t="s">
        <v>24</v>
      </c>
      <c r="E238" s="3" t="s">
        <v>24</v>
      </c>
      <c r="F238" s="3" t="s">
        <v>25</v>
      </c>
      <c r="G238" s="3" t="s">
        <v>25</v>
      </c>
      <c r="H238" s="3" t="s">
        <v>25</v>
      </c>
      <c r="I238" s="6">
        <v>44562</v>
      </c>
      <c r="J238" s="4">
        <v>0</v>
      </c>
      <c r="K238" s="4">
        <v>0</v>
      </c>
      <c r="L238" s="4">
        <v>2359.4070000000002</v>
      </c>
      <c r="M238" s="4">
        <v>2359.4070000000002</v>
      </c>
      <c r="N238" s="4">
        <v>2359.4070000000002</v>
      </c>
      <c r="O238" s="4">
        <v>2359.4070000000002</v>
      </c>
      <c r="P238" s="4">
        <v>14891</v>
      </c>
      <c r="Q238" s="3" t="s">
        <v>26</v>
      </c>
      <c r="R238" s="3">
        <v>0</v>
      </c>
      <c r="S238" s="3" t="s">
        <v>196</v>
      </c>
      <c r="T238" s="3" t="s">
        <v>357</v>
      </c>
      <c r="U238" s="3">
        <v>0</v>
      </c>
      <c r="V238" s="3">
        <v>36</v>
      </c>
      <c r="W238" s="3">
        <v>45</v>
      </c>
    </row>
    <row r="239" spans="1:23" ht="11.25" customHeight="1" x14ac:dyDescent="0.25">
      <c r="A239" s="3" t="s">
        <v>27</v>
      </c>
      <c r="B239" s="3" t="s">
        <v>22</v>
      </c>
      <c r="C239" s="3" t="s">
        <v>23</v>
      </c>
      <c r="D239" s="3" t="s">
        <v>24</v>
      </c>
      <c r="E239" s="3" t="s">
        <v>24</v>
      </c>
      <c r="F239" s="3" t="s">
        <v>25</v>
      </c>
      <c r="G239" s="3" t="s">
        <v>25</v>
      </c>
      <c r="H239" s="3" t="s">
        <v>25</v>
      </c>
      <c r="I239" s="6">
        <v>44562</v>
      </c>
      <c r="J239" s="4">
        <v>0</v>
      </c>
      <c r="K239" s="4">
        <v>0</v>
      </c>
      <c r="L239" s="4">
        <v>-5.7320000000000002</v>
      </c>
      <c r="M239" s="4">
        <v>-5.7320000000000002</v>
      </c>
      <c r="N239" s="4">
        <v>-5.7320000000000002</v>
      </c>
      <c r="O239" s="4">
        <v>-5.7320000000000002</v>
      </c>
      <c r="P239" s="4">
        <v>0</v>
      </c>
      <c r="Q239" s="3" t="s">
        <v>26</v>
      </c>
      <c r="R239" s="3">
        <v>0</v>
      </c>
      <c r="S239" s="3" t="s">
        <v>196</v>
      </c>
      <c r="T239" s="3" t="s">
        <v>357</v>
      </c>
      <c r="U239" s="3">
        <v>0</v>
      </c>
      <c r="V239" s="3">
        <v>36</v>
      </c>
      <c r="W239" s="3">
        <v>45</v>
      </c>
    </row>
    <row r="240" spans="1:23" ht="11.25" customHeight="1" x14ac:dyDescent="0.25">
      <c r="A240" s="3" t="s">
        <v>28</v>
      </c>
      <c r="B240" s="3" t="s">
        <v>22</v>
      </c>
      <c r="C240" s="3" t="s">
        <v>23</v>
      </c>
      <c r="D240" s="3" t="s">
        <v>24</v>
      </c>
      <c r="E240" s="3" t="s">
        <v>24</v>
      </c>
      <c r="F240" s="3" t="s">
        <v>25</v>
      </c>
      <c r="G240" s="3" t="s">
        <v>25</v>
      </c>
      <c r="H240" s="3" t="s">
        <v>25</v>
      </c>
      <c r="I240" s="6">
        <v>44562</v>
      </c>
      <c r="J240" s="4">
        <v>0</v>
      </c>
      <c r="K240" s="4">
        <v>0</v>
      </c>
      <c r="L240" s="4">
        <v>31.800999999999998</v>
      </c>
      <c r="M240" s="4">
        <v>31.800999999999998</v>
      </c>
      <c r="N240" s="4">
        <v>31.800999999999998</v>
      </c>
      <c r="O240" s="4">
        <v>31.800999999999998</v>
      </c>
      <c r="P240" s="4">
        <v>217</v>
      </c>
      <c r="Q240" s="3" t="s">
        <v>26</v>
      </c>
      <c r="R240" s="3">
        <v>0</v>
      </c>
      <c r="S240" s="3" t="s">
        <v>196</v>
      </c>
      <c r="T240" s="3" t="s">
        <v>357</v>
      </c>
      <c r="U240" s="3">
        <v>0</v>
      </c>
      <c r="V240" s="3">
        <v>36</v>
      </c>
      <c r="W240" s="3">
        <v>45</v>
      </c>
    </row>
    <row r="241" spans="1:23" ht="11.25" customHeight="1" x14ac:dyDescent="0.25">
      <c r="A241" s="3" t="s">
        <v>21</v>
      </c>
      <c r="B241" s="3" t="s">
        <v>22</v>
      </c>
      <c r="C241" s="3" t="s">
        <v>23</v>
      </c>
      <c r="D241" s="3" t="s">
        <v>24</v>
      </c>
      <c r="E241" s="3" t="s">
        <v>24</v>
      </c>
      <c r="F241" s="3" t="s">
        <v>25</v>
      </c>
      <c r="G241" s="3" t="s">
        <v>25</v>
      </c>
      <c r="H241" s="3" t="s">
        <v>25</v>
      </c>
      <c r="I241" s="6">
        <v>44593</v>
      </c>
      <c r="J241" s="4">
        <v>0</v>
      </c>
      <c r="K241" s="4">
        <v>0</v>
      </c>
      <c r="L241" s="4">
        <v>2520.4279999999999</v>
      </c>
      <c r="M241" s="4">
        <v>2520.4279999999999</v>
      </c>
      <c r="N241" s="4">
        <v>2520.4279999999999</v>
      </c>
      <c r="O241" s="4">
        <v>2520.4279999999999</v>
      </c>
      <c r="P241" s="4">
        <v>14872</v>
      </c>
      <c r="Q241" s="3" t="s">
        <v>26</v>
      </c>
      <c r="R241" s="3">
        <v>0</v>
      </c>
      <c r="S241" s="3" t="s">
        <v>197</v>
      </c>
      <c r="T241" s="3" t="s">
        <v>358</v>
      </c>
      <c r="U241" s="3">
        <v>0</v>
      </c>
      <c r="V241" s="3">
        <v>36</v>
      </c>
      <c r="W241" s="3">
        <v>45</v>
      </c>
    </row>
    <row r="242" spans="1:23" ht="11.25" customHeight="1" x14ac:dyDescent="0.25">
      <c r="A242" s="3" t="s">
        <v>27</v>
      </c>
      <c r="B242" s="3" t="s">
        <v>22</v>
      </c>
      <c r="C242" s="3" t="s">
        <v>23</v>
      </c>
      <c r="D242" s="3" t="s">
        <v>24</v>
      </c>
      <c r="E242" s="3" t="s">
        <v>24</v>
      </c>
      <c r="F242" s="3" t="s">
        <v>25</v>
      </c>
      <c r="G242" s="3" t="s">
        <v>25</v>
      </c>
      <c r="H242" s="3" t="s">
        <v>25</v>
      </c>
      <c r="I242" s="6">
        <v>44593</v>
      </c>
      <c r="J242" s="4">
        <v>0</v>
      </c>
      <c r="K242" s="4">
        <v>0</v>
      </c>
      <c r="L242" s="4">
        <v>0.23400000000000001</v>
      </c>
      <c r="M242" s="4">
        <v>0.23400000000000001</v>
      </c>
      <c r="N242" s="4">
        <v>0.23400000000000001</v>
      </c>
      <c r="O242" s="4">
        <v>0.23400000000000001</v>
      </c>
      <c r="P242" s="4">
        <v>0</v>
      </c>
      <c r="Q242" s="3" t="s">
        <v>26</v>
      </c>
      <c r="R242" s="3">
        <v>0</v>
      </c>
      <c r="S242" s="3" t="s">
        <v>197</v>
      </c>
      <c r="T242" s="3" t="s">
        <v>358</v>
      </c>
      <c r="U242" s="3">
        <v>0</v>
      </c>
      <c r="V242" s="3">
        <v>36</v>
      </c>
      <c r="W242" s="3">
        <v>45</v>
      </c>
    </row>
    <row r="243" spans="1:23" ht="11.25" customHeight="1" x14ac:dyDescent="0.25">
      <c r="A243" s="3" t="s">
        <v>28</v>
      </c>
      <c r="B243" s="3" t="s">
        <v>22</v>
      </c>
      <c r="C243" s="3" t="s">
        <v>23</v>
      </c>
      <c r="D243" s="3" t="s">
        <v>24</v>
      </c>
      <c r="E243" s="3" t="s">
        <v>24</v>
      </c>
      <c r="F243" s="3" t="s">
        <v>25</v>
      </c>
      <c r="G243" s="3" t="s">
        <v>25</v>
      </c>
      <c r="H243" s="3" t="s">
        <v>25</v>
      </c>
      <c r="I243" s="6">
        <v>44593</v>
      </c>
      <c r="J243" s="4">
        <v>0</v>
      </c>
      <c r="K243" s="4">
        <v>0</v>
      </c>
      <c r="L243" s="4">
        <v>38.475999999999999</v>
      </c>
      <c r="M243" s="4">
        <v>38.475999999999999</v>
      </c>
      <c r="N243" s="4">
        <v>38.475999999999999</v>
      </c>
      <c r="O243" s="4">
        <v>38.475999999999999</v>
      </c>
      <c r="P243" s="4">
        <v>230</v>
      </c>
      <c r="Q243" s="3" t="s">
        <v>26</v>
      </c>
      <c r="R243" s="3">
        <v>0</v>
      </c>
      <c r="S243" s="3" t="s">
        <v>197</v>
      </c>
      <c r="T243" s="3" t="s">
        <v>358</v>
      </c>
      <c r="U243" s="3">
        <v>0</v>
      </c>
      <c r="V243" s="3">
        <v>36</v>
      </c>
      <c r="W243" s="3">
        <v>45</v>
      </c>
    </row>
    <row r="244" spans="1:23" ht="11.25" customHeight="1" x14ac:dyDescent="0.25">
      <c r="A244" s="3" t="s">
        <v>21</v>
      </c>
      <c r="B244" s="3" t="s">
        <v>22</v>
      </c>
      <c r="C244" s="3" t="s">
        <v>23</v>
      </c>
      <c r="D244" s="3" t="s">
        <v>24</v>
      </c>
      <c r="E244" s="3" t="s">
        <v>24</v>
      </c>
      <c r="F244" s="3" t="s">
        <v>25</v>
      </c>
      <c r="G244" s="3" t="s">
        <v>25</v>
      </c>
      <c r="H244" s="3" t="s">
        <v>25</v>
      </c>
      <c r="I244" s="6">
        <v>44621</v>
      </c>
      <c r="J244" s="4">
        <v>0</v>
      </c>
      <c r="K244" s="4">
        <v>0</v>
      </c>
      <c r="L244" s="4">
        <v>2401.373</v>
      </c>
      <c r="M244" s="4">
        <v>2401.373</v>
      </c>
      <c r="N244" s="4">
        <v>2401.373</v>
      </c>
      <c r="O244" s="4">
        <v>2401.373</v>
      </c>
      <c r="P244" s="4">
        <v>14119</v>
      </c>
      <c r="Q244" s="3" t="s">
        <v>26</v>
      </c>
      <c r="R244" s="3">
        <v>0</v>
      </c>
      <c r="S244" s="3" t="s">
        <v>198</v>
      </c>
      <c r="T244" s="3" t="s">
        <v>359</v>
      </c>
      <c r="U244" s="3">
        <v>0</v>
      </c>
      <c r="V244" s="3">
        <v>36</v>
      </c>
      <c r="W244" s="3">
        <v>45</v>
      </c>
    </row>
    <row r="245" spans="1:23" ht="11.25" customHeight="1" x14ac:dyDescent="0.25">
      <c r="A245" s="3" t="s">
        <v>27</v>
      </c>
      <c r="B245" s="3" t="s">
        <v>22</v>
      </c>
      <c r="C245" s="3" t="s">
        <v>23</v>
      </c>
      <c r="D245" s="3" t="s">
        <v>24</v>
      </c>
      <c r="E245" s="3" t="s">
        <v>24</v>
      </c>
      <c r="F245" s="3" t="s">
        <v>25</v>
      </c>
      <c r="G245" s="3" t="s">
        <v>25</v>
      </c>
      <c r="H245" s="3" t="s">
        <v>25</v>
      </c>
      <c r="I245" s="6">
        <v>44621</v>
      </c>
      <c r="J245" s="4">
        <v>0</v>
      </c>
      <c r="K245" s="4">
        <v>0</v>
      </c>
      <c r="L245" s="4">
        <v>-0.41899999999999998</v>
      </c>
      <c r="M245" s="4">
        <v>-0.41899999999999998</v>
      </c>
      <c r="N245" s="4">
        <v>-0.41899999999999998</v>
      </c>
      <c r="O245" s="4">
        <v>-0.41899999999999998</v>
      </c>
      <c r="P245" s="4">
        <v>0</v>
      </c>
      <c r="Q245" s="3" t="s">
        <v>26</v>
      </c>
      <c r="R245" s="3">
        <v>0</v>
      </c>
      <c r="S245" s="3" t="s">
        <v>198</v>
      </c>
      <c r="T245" s="3" t="s">
        <v>359</v>
      </c>
      <c r="U245" s="3">
        <v>0</v>
      </c>
      <c r="V245" s="3">
        <v>36</v>
      </c>
      <c r="W245" s="3">
        <v>45</v>
      </c>
    </row>
    <row r="246" spans="1:23" ht="11.25" customHeight="1" x14ac:dyDescent="0.25">
      <c r="A246" s="3" t="s">
        <v>28</v>
      </c>
      <c r="B246" s="3" t="s">
        <v>22</v>
      </c>
      <c r="C246" s="3" t="s">
        <v>23</v>
      </c>
      <c r="D246" s="3" t="s">
        <v>24</v>
      </c>
      <c r="E246" s="3" t="s">
        <v>24</v>
      </c>
      <c r="F246" s="3" t="s">
        <v>25</v>
      </c>
      <c r="G246" s="3" t="s">
        <v>25</v>
      </c>
      <c r="H246" s="3" t="s">
        <v>25</v>
      </c>
      <c r="I246" s="6">
        <v>44621</v>
      </c>
      <c r="J246" s="4">
        <v>0</v>
      </c>
      <c r="K246" s="4">
        <v>0</v>
      </c>
      <c r="L246" s="4">
        <v>37.073999999999998</v>
      </c>
      <c r="M246" s="4">
        <v>37.073999999999998</v>
      </c>
      <c r="N246" s="4">
        <v>37.073999999999998</v>
      </c>
      <c r="O246" s="4">
        <v>37.073999999999998</v>
      </c>
      <c r="P246" s="4">
        <v>234</v>
      </c>
      <c r="Q246" s="3" t="s">
        <v>26</v>
      </c>
      <c r="R246" s="3">
        <v>0</v>
      </c>
      <c r="S246" s="3" t="s">
        <v>198</v>
      </c>
      <c r="T246" s="3" t="s">
        <v>359</v>
      </c>
      <c r="U246" s="3">
        <v>0</v>
      </c>
      <c r="V246" s="3">
        <v>36</v>
      </c>
      <c r="W246" s="3">
        <v>45</v>
      </c>
    </row>
    <row r="247" spans="1:23" ht="11.25" customHeight="1" x14ac:dyDescent="0.25">
      <c r="A247" s="3" t="s">
        <v>21</v>
      </c>
      <c r="B247" s="3" t="s">
        <v>22</v>
      </c>
      <c r="C247" s="3" t="s">
        <v>23</v>
      </c>
      <c r="D247" s="3" t="s">
        <v>24</v>
      </c>
      <c r="E247" s="3" t="s">
        <v>29</v>
      </c>
      <c r="F247" s="3" t="s">
        <v>25</v>
      </c>
      <c r="G247" s="3" t="s">
        <v>25</v>
      </c>
      <c r="H247" s="3" t="s">
        <v>25</v>
      </c>
      <c r="I247" s="6">
        <v>44287</v>
      </c>
      <c r="J247" s="4">
        <v>0</v>
      </c>
      <c r="K247" s="4">
        <v>0</v>
      </c>
      <c r="L247" s="4">
        <v>12.57</v>
      </c>
      <c r="M247" s="4">
        <v>12.57</v>
      </c>
      <c r="N247" s="4">
        <v>12.57</v>
      </c>
      <c r="O247" s="4">
        <v>12.57</v>
      </c>
      <c r="P247" s="4">
        <v>15</v>
      </c>
      <c r="Q247" s="3" t="s">
        <v>26</v>
      </c>
      <c r="R247" s="3">
        <v>0</v>
      </c>
      <c r="S247" s="3" t="s">
        <v>199</v>
      </c>
      <c r="T247" s="3" t="s">
        <v>360</v>
      </c>
      <c r="U247" s="3">
        <v>0</v>
      </c>
      <c r="V247" s="3">
        <v>29</v>
      </c>
      <c r="W247" s="3">
        <v>50</v>
      </c>
    </row>
    <row r="248" spans="1:23" ht="11.25" customHeight="1" x14ac:dyDescent="0.25">
      <c r="A248" s="3" t="s">
        <v>21</v>
      </c>
      <c r="B248" s="3" t="s">
        <v>22</v>
      </c>
      <c r="C248" s="3" t="s">
        <v>23</v>
      </c>
      <c r="D248" s="3" t="s">
        <v>24</v>
      </c>
      <c r="E248" s="3" t="s">
        <v>29</v>
      </c>
      <c r="F248" s="3" t="s">
        <v>25</v>
      </c>
      <c r="G248" s="3" t="s">
        <v>25</v>
      </c>
      <c r="H248" s="3" t="s">
        <v>25</v>
      </c>
      <c r="I248" s="6">
        <v>44317</v>
      </c>
      <c r="J248" s="4">
        <v>0</v>
      </c>
      <c r="K248" s="4">
        <v>0</v>
      </c>
      <c r="L248" s="4">
        <v>20.033999999999999</v>
      </c>
      <c r="M248" s="4">
        <v>20.033999999999999</v>
      </c>
      <c r="N248" s="4">
        <v>20.033999999999999</v>
      </c>
      <c r="O248" s="4">
        <v>20.033999999999999</v>
      </c>
      <c r="P248" s="4">
        <v>68</v>
      </c>
      <c r="Q248" s="3" t="s">
        <v>26</v>
      </c>
      <c r="R248" s="3">
        <v>0</v>
      </c>
      <c r="S248" s="3" t="s">
        <v>200</v>
      </c>
      <c r="T248" s="3" t="s">
        <v>361</v>
      </c>
      <c r="U248" s="3">
        <v>0</v>
      </c>
      <c r="V248" s="3">
        <v>29</v>
      </c>
      <c r="W248" s="3">
        <v>50</v>
      </c>
    </row>
    <row r="249" spans="1:23" ht="11.25" customHeight="1" x14ac:dyDescent="0.25">
      <c r="A249" s="3" t="s">
        <v>27</v>
      </c>
      <c r="B249" s="3" t="s">
        <v>22</v>
      </c>
      <c r="C249" s="3" t="s">
        <v>23</v>
      </c>
      <c r="D249" s="3" t="s">
        <v>24</v>
      </c>
      <c r="E249" s="3" t="s">
        <v>29</v>
      </c>
      <c r="F249" s="3" t="s">
        <v>25</v>
      </c>
      <c r="G249" s="3" t="s">
        <v>25</v>
      </c>
      <c r="H249" s="3" t="s">
        <v>25</v>
      </c>
      <c r="I249" s="6">
        <v>44317</v>
      </c>
      <c r="J249" s="4">
        <v>0</v>
      </c>
      <c r="K249" s="4">
        <v>0</v>
      </c>
      <c r="L249" s="4">
        <v>-5.1070000000000002</v>
      </c>
      <c r="M249" s="4">
        <v>-5.1070000000000002</v>
      </c>
      <c r="N249" s="4">
        <v>-5.1070000000000002</v>
      </c>
      <c r="O249" s="4">
        <v>-5.1070000000000002</v>
      </c>
      <c r="P249" s="4">
        <v>0</v>
      </c>
      <c r="Q249" s="3" t="s">
        <v>26</v>
      </c>
      <c r="R249" s="3">
        <v>0</v>
      </c>
      <c r="S249" s="3" t="s">
        <v>200</v>
      </c>
      <c r="T249" s="3" t="s">
        <v>361</v>
      </c>
      <c r="U249" s="3">
        <v>0</v>
      </c>
      <c r="V249" s="3">
        <v>29</v>
      </c>
      <c r="W249" s="3">
        <v>50</v>
      </c>
    </row>
    <row r="250" spans="1:23" ht="11.25" customHeight="1" x14ac:dyDescent="0.25">
      <c r="A250" s="3" t="s">
        <v>28</v>
      </c>
      <c r="B250" s="3" t="s">
        <v>22</v>
      </c>
      <c r="C250" s="3" t="s">
        <v>23</v>
      </c>
      <c r="D250" s="3" t="s">
        <v>24</v>
      </c>
      <c r="E250" s="3" t="s">
        <v>29</v>
      </c>
      <c r="F250" s="3" t="s">
        <v>25</v>
      </c>
      <c r="G250" s="3" t="s">
        <v>25</v>
      </c>
      <c r="H250" s="3" t="s">
        <v>25</v>
      </c>
      <c r="I250" s="6">
        <v>44317</v>
      </c>
      <c r="J250" s="4">
        <v>0</v>
      </c>
      <c r="K250" s="4">
        <v>0</v>
      </c>
      <c r="L250" s="4">
        <v>0.03</v>
      </c>
      <c r="M250" s="4">
        <v>1.0500000000000001E-2</v>
      </c>
      <c r="N250" s="4">
        <v>0.03</v>
      </c>
      <c r="O250" s="4">
        <v>1.0500000000000001E-2</v>
      </c>
      <c r="P250" s="4">
        <v>1</v>
      </c>
      <c r="Q250" s="3" t="s">
        <v>26</v>
      </c>
      <c r="R250" s="3">
        <v>0</v>
      </c>
      <c r="S250" s="3" t="s">
        <v>200</v>
      </c>
      <c r="T250" s="3" t="s">
        <v>361</v>
      </c>
      <c r="U250" s="3">
        <v>0</v>
      </c>
      <c r="V250" s="3">
        <v>29</v>
      </c>
      <c r="W250" s="3">
        <v>50</v>
      </c>
    </row>
    <row r="251" spans="1:23" ht="11.25" customHeight="1" x14ac:dyDescent="0.25">
      <c r="A251" s="3" t="s">
        <v>21</v>
      </c>
      <c r="B251" s="3" t="s">
        <v>22</v>
      </c>
      <c r="C251" s="3" t="s">
        <v>23</v>
      </c>
      <c r="D251" s="3" t="s">
        <v>24</v>
      </c>
      <c r="E251" s="3" t="s">
        <v>29</v>
      </c>
      <c r="F251" s="3" t="s">
        <v>25</v>
      </c>
      <c r="G251" s="3" t="s">
        <v>25</v>
      </c>
      <c r="H251" s="3" t="s">
        <v>25</v>
      </c>
      <c r="I251" s="6">
        <v>44348</v>
      </c>
      <c r="J251" s="4">
        <v>0</v>
      </c>
      <c r="K251" s="4">
        <v>0</v>
      </c>
      <c r="L251" s="4">
        <v>14.04</v>
      </c>
      <c r="M251" s="4">
        <v>14.04</v>
      </c>
      <c r="N251" s="4">
        <v>14.04</v>
      </c>
      <c r="O251" s="4">
        <v>14.04</v>
      </c>
      <c r="P251" s="4">
        <v>18</v>
      </c>
      <c r="Q251" s="3" t="s">
        <v>26</v>
      </c>
      <c r="R251" s="3">
        <v>0</v>
      </c>
      <c r="S251" s="3" t="s">
        <v>201</v>
      </c>
      <c r="T251" s="3" t="s">
        <v>362</v>
      </c>
      <c r="U251" s="3">
        <v>0</v>
      </c>
      <c r="V251" s="3">
        <v>29</v>
      </c>
      <c r="W251" s="3">
        <v>50</v>
      </c>
    </row>
    <row r="252" spans="1:23" ht="11.25" customHeight="1" x14ac:dyDescent="0.25">
      <c r="A252" s="3" t="s">
        <v>27</v>
      </c>
      <c r="B252" s="3" t="s">
        <v>22</v>
      </c>
      <c r="C252" s="3" t="s">
        <v>23</v>
      </c>
      <c r="D252" s="3" t="s">
        <v>24</v>
      </c>
      <c r="E252" s="3" t="s">
        <v>29</v>
      </c>
      <c r="F252" s="3" t="s">
        <v>25</v>
      </c>
      <c r="G252" s="3" t="s">
        <v>25</v>
      </c>
      <c r="H252" s="3" t="s">
        <v>25</v>
      </c>
      <c r="I252" s="6">
        <v>44348</v>
      </c>
      <c r="J252" s="4">
        <v>0</v>
      </c>
      <c r="K252" s="4">
        <v>0</v>
      </c>
      <c r="L252" s="4">
        <v>-1.528</v>
      </c>
      <c r="M252" s="4">
        <v>-1.528</v>
      </c>
      <c r="N252" s="4">
        <v>-1.528</v>
      </c>
      <c r="O252" s="4">
        <v>-1.528</v>
      </c>
      <c r="P252" s="4">
        <v>0</v>
      </c>
      <c r="Q252" s="3" t="s">
        <v>26</v>
      </c>
      <c r="R252" s="3">
        <v>0</v>
      </c>
      <c r="S252" s="3" t="s">
        <v>201</v>
      </c>
      <c r="T252" s="3" t="s">
        <v>362</v>
      </c>
      <c r="U252" s="3">
        <v>0</v>
      </c>
      <c r="V252" s="3">
        <v>29</v>
      </c>
      <c r="W252" s="3">
        <v>50</v>
      </c>
    </row>
    <row r="253" spans="1:23" ht="11.25" customHeight="1" x14ac:dyDescent="0.25">
      <c r="A253" s="3" t="s">
        <v>28</v>
      </c>
      <c r="B253" s="3" t="s">
        <v>22</v>
      </c>
      <c r="C253" s="3" t="s">
        <v>23</v>
      </c>
      <c r="D253" s="3" t="s">
        <v>24</v>
      </c>
      <c r="E253" s="3" t="s">
        <v>29</v>
      </c>
      <c r="F253" s="3" t="s">
        <v>25</v>
      </c>
      <c r="G253" s="3" t="s">
        <v>25</v>
      </c>
      <c r="H253" s="3" t="s">
        <v>25</v>
      </c>
      <c r="I253" s="6">
        <v>44348</v>
      </c>
      <c r="J253" s="4">
        <v>0</v>
      </c>
      <c r="K253" s="4">
        <v>0</v>
      </c>
      <c r="L253" s="4">
        <v>0.03</v>
      </c>
      <c r="M253" s="4">
        <v>1.0500000000000001E-2</v>
      </c>
      <c r="N253" s="4">
        <v>0.03</v>
      </c>
      <c r="O253" s="4">
        <v>1.0500000000000001E-2</v>
      </c>
      <c r="P253" s="4">
        <v>1</v>
      </c>
      <c r="Q253" s="3" t="s">
        <v>26</v>
      </c>
      <c r="R253" s="3">
        <v>0</v>
      </c>
      <c r="S253" s="3" t="s">
        <v>201</v>
      </c>
      <c r="T253" s="3" t="s">
        <v>362</v>
      </c>
      <c r="U253" s="3">
        <v>0</v>
      </c>
      <c r="V253" s="3">
        <v>29</v>
      </c>
      <c r="W253" s="3">
        <v>50</v>
      </c>
    </row>
    <row r="254" spans="1:23" ht="11.25" customHeight="1" x14ac:dyDescent="0.25">
      <c r="A254" s="3" t="s">
        <v>21</v>
      </c>
      <c r="B254" s="3" t="s">
        <v>22</v>
      </c>
      <c r="C254" s="3" t="s">
        <v>23</v>
      </c>
      <c r="D254" s="3" t="s">
        <v>24</v>
      </c>
      <c r="E254" s="3" t="s">
        <v>29</v>
      </c>
      <c r="F254" s="3" t="s">
        <v>25</v>
      </c>
      <c r="G254" s="3" t="s">
        <v>25</v>
      </c>
      <c r="H254" s="3" t="s">
        <v>25</v>
      </c>
      <c r="I254" s="6">
        <v>44378</v>
      </c>
      <c r="J254" s="4">
        <v>0</v>
      </c>
      <c r="K254" s="4">
        <v>0</v>
      </c>
      <c r="L254" s="4">
        <v>14.82</v>
      </c>
      <c r="M254" s="4">
        <v>14.82</v>
      </c>
      <c r="N254" s="4">
        <v>14.82</v>
      </c>
      <c r="O254" s="4">
        <v>14.82</v>
      </c>
      <c r="P254" s="4">
        <v>23</v>
      </c>
      <c r="Q254" s="3" t="s">
        <v>26</v>
      </c>
      <c r="R254" s="3">
        <v>0</v>
      </c>
      <c r="S254" s="3" t="s">
        <v>202</v>
      </c>
      <c r="T254" s="3" t="s">
        <v>363</v>
      </c>
      <c r="U254" s="3">
        <v>0</v>
      </c>
      <c r="V254" s="3">
        <v>29</v>
      </c>
      <c r="W254" s="3">
        <v>50</v>
      </c>
    </row>
    <row r="255" spans="1:23" ht="11.25" customHeight="1" x14ac:dyDescent="0.25">
      <c r="A255" s="3" t="s">
        <v>28</v>
      </c>
      <c r="B255" s="3" t="s">
        <v>22</v>
      </c>
      <c r="C255" s="3" t="s">
        <v>23</v>
      </c>
      <c r="D255" s="3" t="s">
        <v>24</v>
      </c>
      <c r="E255" s="3" t="s">
        <v>29</v>
      </c>
      <c r="F255" s="3" t="s">
        <v>25</v>
      </c>
      <c r="G255" s="3" t="s">
        <v>25</v>
      </c>
      <c r="H255" s="3" t="s">
        <v>25</v>
      </c>
      <c r="I255" s="6">
        <v>44378</v>
      </c>
      <c r="J255" s="4">
        <v>0</v>
      </c>
      <c r="K255" s="4">
        <v>0</v>
      </c>
      <c r="L255" s="4">
        <v>0.03</v>
      </c>
      <c r="M255" s="4">
        <v>1.0500000000000001E-2</v>
      </c>
      <c r="N255" s="4">
        <v>0.03</v>
      </c>
      <c r="O255" s="4">
        <v>1.0500000000000001E-2</v>
      </c>
      <c r="P255" s="4">
        <v>1</v>
      </c>
      <c r="Q255" s="3" t="s">
        <v>26</v>
      </c>
      <c r="R255" s="3">
        <v>0</v>
      </c>
      <c r="S255" s="3" t="s">
        <v>202</v>
      </c>
      <c r="T255" s="3" t="s">
        <v>363</v>
      </c>
      <c r="U255" s="3">
        <v>0</v>
      </c>
      <c r="V255" s="3">
        <v>29</v>
      </c>
      <c r="W255" s="3">
        <v>50</v>
      </c>
    </row>
    <row r="256" spans="1:23" ht="11.25" customHeight="1" x14ac:dyDescent="0.25">
      <c r="A256" s="3" t="s">
        <v>21</v>
      </c>
      <c r="B256" s="3" t="s">
        <v>22</v>
      </c>
      <c r="C256" s="3" t="s">
        <v>23</v>
      </c>
      <c r="D256" s="3" t="s">
        <v>24</v>
      </c>
      <c r="E256" s="3" t="s">
        <v>29</v>
      </c>
      <c r="F256" s="3" t="s">
        <v>25</v>
      </c>
      <c r="G256" s="3" t="s">
        <v>25</v>
      </c>
      <c r="H256" s="3" t="s">
        <v>25</v>
      </c>
      <c r="I256" s="6">
        <v>44409</v>
      </c>
      <c r="J256" s="4">
        <v>0</v>
      </c>
      <c r="K256" s="4">
        <v>0</v>
      </c>
      <c r="L256" s="4">
        <v>15.33</v>
      </c>
      <c r="M256" s="4">
        <v>15.33</v>
      </c>
      <c r="N256" s="4">
        <v>15.33</v>
      </c>
      <c r="O256" s="4">
        <v>15.33</v>
      </c>
      <c r="P256" s="4">
        <v>26</v>
      </c>
      <c r="Q256" s="3" t="s">
        <v>26</v>
      </c>
      <c r="R256" s="3">
        <v>0</v>
      </c>
      <c r="S256" s="3" t="s">
        <v>203</v>
      </c>
      <c r="T256" s="3" t="s">
        <v>364</v>
      </c>
      <c r="U256" s="3">
        <v>0</v>
      </c>
      <c r="V256" s="3">
        <v>29</v>
      </c>
      <c r="W256" s="3">
        <v>50</v>
      </c>
    </row>
    <row r="257" spans="1:23" ht="11.25" customHeight="1" x14ac:dyDescent="0.25">
      <c r="A257" s="3" t="s">
        <v>28</v>
      </c>
      <c r="B257" s="3" t="s">
        <v>22</v>
      </c>
      <c r="C257" s="3" t="s">
        <v>23</v>
      </c>
      <c r="D257" s="3" t="s">
        <v>24</v>
      </c>
      <c r="E257" s="3" t="s">
        <v>29</v>
      </c>
      <c r="F257" s="3" t="s">
        <v>25</v>
      </c>
      <c r="G257" s="3" t="s">
        <v>25</v>
      </c>
      <c r="H257" s="3" t="s">
        <v>25</v>
      </c>
      <c r="I257" s="6">
        <v>44409</v>
      </c>
      <c r="J257" s="4">
        <v>0</v>
      </c>
      <c r="K257" s="4">
        <v>0</v>
      </c>
      <c r="L257" s="4">
        <v>0.03</v>
      </c>
      <c r="M257" s="4">
        <v>1.0500000000000001E-2</v>
      </c>
      <c r="N257" s="4">
        <v>0.03</v>
      </c>
      <c r="O257" s="4">
        <v>1.0500000000000001E-2</v>
      </c>
      <c r="P257" s="4">
        <v>1</v>
      </c>
      <c r="Q257" s="3" t="s">
        <v>26</v>
      </c>
      <c r="R257" s="3">
        <v>0</v>
      </c>
      <c r="S257" s="3" t="s">
        <v>203</v>
      </c>
      <c r="T257" s="3" t="s">
        <v>364</v>
      </c>
      <c r="U257" s="3">
        <v>0</v>
      </c>
      <c r="V257" s="3">
        <v>29</v>
      </c>
      <c r="W257" s="3">
        <v>50</v>
      </c>
    </row>
    <row r="258" spans="1:23" ht="11.25" customHeight="1" x14ac:dyDescent="0.25">
      <c r="A258" s="3" t="s">
        <v>21</v>
      </c>
      <c r="B258" s="3" t="s">
        <v>22</v>
      </c>
      <c r="C258" s="3" t="s">
        <v>23</v>
      </c>
      <c r="D258" s="3" t="s">
        <v>24</v>
      </c>
      <c r="E258" s="3" t="s">
        <v>29</v>
      </c>
      <c r="F258" s="3" t="s">
        <v>25</v>
      </c>
      <c r="G258" s="3" t="s">
        <v>25</v>
      </c>
      <c r="H258" s="3" t="s">
        <v>25</v>
      </c>
      <c r="I258" s="6">
        <v>44440</v>
      </c>
      <c r="J258" s="4">
        <v>0</v>
      </c>
      <c r="K258" s="4">
        <v>0</v>
      </c>
      <c r="L258" s="4">
        <v>15.45</v>
      </c>
      <c r="M258" s="4">
        <v>15.45</v>
      </c>
      <c r="N258" s="4">
        <v>15.45</v>
      </c>
      <c r="O258" s="4">
        <v>15.45</v>
      </c>
      <c r="P258" s="4">
        <v>18</v>
      </c>
      <c r="Q258" s="3" t="s">
        <v>26</v>
      </c>
      <c r="R258" s="3">
        <v>0</v>
      </c>
      <c r="S258" s="3" t="s">
        <v>204</v>
      </c>
      <c r="T258" s="3" t="s">
        <v>365</v>
      </c>
      <c r="U258" s="3">
        <v>0</v>
      </c>
      <c r="V258" s="3">
        <v>29</v>
      </c>
      <c r="W258" s="3">
        <v>50</v>
      </c>
    </row>
    <row r="259" spans="1:23" ht="11.25" customHeight="1" x14ac:dyDescent="0.25">
      <c r="A259" s="3" t="s">
        <v>28</v>
      </c>
      <c r="B259" s="3" t="s">
        <v>22</v>
      </c>
      <c r="C259" s="3" t="s">
        <v>23</v>
      </c>
      <c r="D259" s="3" t="s">
        <v>24</v>
      </c>
      <c r="E259" s="3" t="s">
        <v>29</v>
      </c>
      <c r="F259" s="3" t="s">
        <v>25</v>
      </c>
      <c r="G259" s="3" t="s">
        <v>25</v>
      </c>
      <c r="H259" s="3" t="s">
        <v>25</v>
      </c>
      <c r="I259" s="6">
        <v>44440</v>
      </c>
      <c r="J259" s="4">
        <v>0</v>
      </c>
      <c r="K259" s="4">
        <v>0</v>
      </c>
      <c r="L259" s="4">
        <v>0.03</v>
      </c>
      <c r="M259" s="4">
        <v>1.0500000000000001E-2</v>
      </c>
      <c r="N259" s="4">
        <v>0.03</v>
      </c>
      <c r="O259" s="4">
        <v>1.0500000000000001E-2</v>
      </c>
      <c r="P259" s="4">
        <v>1</v>
      </c>
      <c r="Q259" s="3" t="s">
        <v>26</v>
      </c>
      <c r="R259" s="3">
        <v>0</v>
      </c>
      <c r="S259" s="3" t="s">
        <v>204</v>
      </c>
      <c r="T259" s="3" t="s">
        <v>365</v>
      </c>
      <c r="U259" s="3">
        <v>0</v>
      </c>
      <c r="V259" s="3">
        <v>29</v>
      </c>
      <c r="W259" s="3">
        <v>50</v>
      </c>
    </row>
    <row r="260" spans="1:23" ht="11.25" customHeight="1" x14ac:dyDescent="0.25">
      <c r="A260" s="3" t="s">
        <v>21</v>
      </c>
      <c r="B260" s="3" t="s">
        <v>22</v>
      </c>
      <c r="C260" s="3" t="s">
        <v>23</v>
      </c>
      <c r="D260" s="3" t="s">
        <v>24</v>
      </c>
      <c r="E260" s="3" t="s">
        <v>29</v>
      </c>
      <c r="F260" s="3" t="s">
        <v>25</v>
      </c>
      <c r="G260" s="3" t="s">
        <v>25</v>
      </c>
      <c r="H260" s="3" t="s">
        <v>25</v>
      </c>
      <c r="I260" s="6">
        <v>44470</v>
      </c>
      <c r="J260" s="4">
        <v>0</v>
      </c>
      <c r="K260" s="4">
        <v>0</v>
      </c>
      <c r="L260" s="4">
        <v>17.07</v>
      </c>
      <c r="M260" s="4">
        <v>17.07</v>
      </c>
      <c r="N260" s="4">
        <v>17.07</v>
      </c>
      <c r="O260" s="4">
        <v>17.07</v>
      </c>
      <c r="P260" s="4">
        <v>20</v>
      </c>
      <c r="Q260" s="3" t="s">
        <v>26</v>
      </c>
      <c r="R260" s="3">
        <v>0</v>
      </c>
      <c r="S260" s="3" t="s">
        <v>205</v>
      </c>
      <c r="T260" s="3" t="s">
        <v>366</v>
      </c>
      <c r="U260" s="3">
        <v>0</v>
      </c>
      <c r="V260" s="3">
        <v>29</v>
      </c>
      <c r="W260" s="3">
        <v>50</v>
      </c>
    </row>
    <row r="261" spans="1:23" ht="11.25" customHeight="1" x14ac:dyDescent="0.25">
      <c r="A261" s="3" t="s">
        <v>28</v>
      </c>
      <c r="B261" s="3" t="s">
        <v>22</v>
      </c>
      <c r="C261" s="3" t="s">
        <v>23</v>
      </c>
      <c r="D261" s="3" t="s">
        <v>24</v>
      </c>
      <c r="E261" s="3" t="s">
        <v>29</v>
      </c>
      <c r="F261" s="3" t="s">
        <v>25</v>
      </c>
      <c r="G261" s="3" t="s">
        <v>25</v>
      </c>
      <c r="H261" s="3" t="s">
        <v>25</v>
      </c>
      <c r="I261" s="6">
        <v>44470</v>
      </c>
      <c r="J261" s="4">
        <v>0</v>
      </c>
      <c r="K261" s="4">
        <v>0</v>
      </c>
      <c r="L261" s="4">
        <v>0.03</v>
      </c>
      <c r="M261" s="4">
        <v>1.0500000000000001E-2</v>
      </c>
      <c r="N261" s="4">
        <v>0.03</v>
      </c>
      <c r="O261" s="4">
        <v>1.0500000000000001E-2</v>
      </c>
      <c r="P261" s="4">
        <v>1</v>
      </c>
      <c r="Q261" s="3" t="s">
        <v>26</v>
      </c>
      <c r="R261" s="3">
        <v>0</v>
      </c>
      <c r="S261" s="3" t="s">
        <v>205</v>
      </c>
      <c r="T261" s="3" t="s">
        <v>366</v>
      </c>
      <c r="U261" s="3">
        <v>0</v>
      </c>
      <c r="V261" s="3">
        <v>29</v>
      </c>
      <c r="W261" s="3">
        <v>50</v>
      </c>
    </row>
    <row r="262" spans="1:23" ht="11.25" customHeight="1" x14ac:dyDescent="0.25">
      <c r="A262" s="3" t="s">
        <v>21</v>
      </c>
      <c r="B262" s="3" t="s">
        <v>22</v>
      </c>
      <c r="C262" s="3" t="s">
        <v>23</v>
      </c>
      <c r="D262" s="3" t="s">
        <v>24</v>
      </c>
      <c r="E262" s="3" t="s">
        <v>29</v>
      </c>
      <c r="F262" s="3" t="s">
        <v>25</v>
      </c>
      <c r="G262" s="3" t="s">
        <v>25</v>
      </c>
      <c r="H262" s="3" t="s">
        <v>25</v>
      </c>
      <c r="I262" s="6">
        <v>44501</v>
      </c>
      <c r="J262" s="4">
        <v>0</v>
      </c>
      <c r="K262" s="4">
        <v>0</v>
      </c>
      <c r="L262" s="4">
        <v>18.035</v>
      </c>
      <c r="M262" s="4">
        <v>18.035</v>
      </c>
      <c r="N262" s="4">
        <v>18.035</v>
      </c>
      <c r="O262" s="4">
        <v>18.035</v>
      </c>
      <c r="P262" s="4">
        <v>18</v>
      </c>
      <c r="Q262" s="3" t="s">
        <v>26</v>
      </c>
      <c r="R262" s="3">
        <v>0</v>
      </c>
      <c r="S262" s="3" t="s">
        <v>206</v>
      </c>
      <c r="T262" s="3" t="s">
        <v>367</v>
      </c>
      <c r="U262" s="3">
        <v>0</v>
      </c>
      <c r="V262" s="3">
        <v>29</v>
      </c>
      <c r="W262" s="3">
        <v>50</v>
      </c>
    </row>
    <row r="263" spans="1:23" ht="11.25" customHeight="1" x14ac:dyDescent="0.25">
      <c r="A263" s="3" t="s">
        <v>28</v>
      </c>
      <c r="B263" s="3" t="s">
        <v>22</v>
      </c>
      <c r="C263" s="3" t="s">
        <v>23</v>
      </c>
      <c r="D263" s="3" t="s">
        <v>24</v>
      </c>
      <c r="E263" s="3" t="s">
        <v>29</v>
      </c>
      <c r="F263" s="3" t="s">
        <v>25</v>
      </c>
      <c r="G263" s="3" t="s">
        <v>25</v>
      </c>
      <c r="H263" s="3" t="s">
        <v>25</v>
      </c>
      <c r="I263" s="6">
        <v>44501</v>
      </c>
      <c r="J263" s="4">
        <v>0</v>
      </c>
      <c r="K263" s="4">
        <v>0</v>
      </c>
      <c r="L263" s="4">
        <v>0.06</v>
      </c>
      <c r="M263" s="4">
        <v>2.1000000000000001E-2</v>
      </c>
      <c r="N263" s="4">
        <v>0.06</v>
      </c>
      <c r="O263" s="4">
        <v>2.1000000000000001E-2</v>
      </c>
      <c r="P263" s="4">
        <v>1</v>
      </c>
      <c r="Q263" s="3" t="s">
        <v>26</v>
      </c>
      <c r="R263" s="3">
        <v>0</v>
      </c>
      <c r="S263" s="3" t="s">
        <v>206</v>
      </c>
      <c r="T263" s="3" t="s">
        <v>367</v>
      </c>
      <c r="U263" s="3">
        <v>0</v>
      </c>
      <c r="V263" s="3">
        <v>29</v>
      </c>
      <c r="W263" s="3">
        <v>50</v>
      </c>
    </row>
    <row r="264" spans="1:23" ht="11.25" customHeight="1" x14ac:dyDescent="0.25">
      <c r="A264" s="3" t="s">
        <v>21</v>
      </c>
      <c r="B264" s="3" t="s">
        <v>22</v>
      </c>
      <c r="C264" s="3" t="s">
        <v>23</v>
      </c>
      <c r="D264" s="3" t="s">
        <v>24</v>
      </c>
      <c r="E264" s="3" t="s">
        <v>29</v>
      </c>
      <c r="F264" s="3" t="s">
        <v>25</v>
      </c>
      <c r="G264" s="3" t="s">
        <v>25</v>
      </c>
      <c r="H264" s="3" t="s">
        <v>25</v>
      </c>
      <c r="I264" s="6">
        <v>44531</v>
      </c>
      <c r="J264" s="4">
        <v>0</v>
      </c>
      <c r="K264" s="4">
        <v>0</v>
      </c>
      <c r="L264" s="4">
        <v>18.78</v>
      </c>
      <c r="M264" s="4">
        <v>18.78</v>
      </c>
      <c r="N264" s="4">
        <v>18.78</v>
      </c>
      <c r="O264" s="4">
        <v>18.78</v>
      </c>
      <c r="P264" s="4">
        <v>18</v>
      </c>
      <c r="Q264" s="3" t="s">
        <v>26</v>
      </c>
      <c r="R264" s="3">
        <v>0</v>
      </c>
      <c r="S264" s="3" t="s">
        <v>207</v>
      </c>
      <c r="T264" s="3" t="s">
        <v>368</v>
      </c>
      <c r="U264" s="3">
        <v>0</v>
      </c>
      <c r="V264" s="3">
        <v>29</v>
      </c>
      <c r="W264" s="3">
        <v>50</v>
      </c>
    </row>
    <row r="265" spans="1:23" ht="11.25" customHeight="1" x14ac:dyDescent="0.25">
      <c r="A265" s="3" t="s">
        <v>28</v>
      </c>
      <c r="B265" s="3" t="s">
        <v>22</v>
      </c>
      <c r="C265" s="3" t="s">
        <v>23</v>
      </c>
      <c r="D265" s="3" t="s">
        <v>24</v>
      </c>
      <c r="E265" s="3" t="s">
        <v>29</v>
      </c>
      <c r="F265" s="3" t="s">
        <v>25</v>
      </c>
      <c r="G265" s="3" t="s">
        <v>25</v>
      </c>
      <c r="H265" s="3" t="s">
        <v>25</v>
      </c>
      <c r="I265" s="6">
        <v>44531</v>
      </c>
      <c r="J265" s="4">
        <v>0</v>
      </c>
      <c r="K265" s="4">
        <v>0</v>
      </c>
      <c r="L265" s="4">
        <v>0.06</v>
      </c>
      <c r="M265" s="4">
        <v>2.1000000000000001E-2</v>
      </c>
      <c r="N265" s="4">
        <v>0.06</v>
      </c>
      <c r="O265" s="4">
        <v>2.1000000000000001E-2</v>
      </c>
      <c r="P265" s="4">
        <v>1</v>
      </c>
      <c r="Q265" s="3" t="s">
        <v>26</v>
      </c>
      <c r="R265" s="3">
        <v>0</v>
      </c>
      <c r="S265" s="3" t="s">
        <v>207</v>
      </c>
      <c r="T265" s="3" t="s">
        <v>368</v>
      </c>
      <c r="U265" s="3">
        <v>0</v>
      </c>
      <c r="V265" s="3">
        <v>29</v>
      </c>
      <c r="W265" s="3">
        <v>50</v>
      </c>
    </row>
    <row r="266" spans="1:23" ht="11.25" customHeight="1" x14ac:dyDescent="0.25">
      <c r="A266" s="3" t="s">
        <v>21</v>
      </c>
      <c r="B266" s="3" t="s">
        <v>22</v>
      </c>
      <c r="C266" s="3" t="s">
        <v>23</v>
      </c>
      <c r="D266" s="3" t="s">
        <v>24</v>
      </c>
      <c r="E266" s="3" t="s">
        <v>29</v>
      </c>
      <c r="F266" s="3" t="s">
        <v>25</v>
      </c>
      <c r="G266" s="3" t="s">
        <v>25</v>
      </c>
      <c r="H266" s="3" t="s">
        <v>25</v>
      </c>
      <c r="I266" s="6">
        <v>44562</v>
      </c>
      <c r="J266" s="4">
        <v>0</v>
      </c>
      <c r="K266" s="4">
        <v>0</v>
      </c>
      <c r="L266" s="4">
        <v>19.559999999999999</v>
      </c>
      <c r="M266" s="4">
        <v>19.559999999999999</v>
      </c>
      <c r="N266" s="4">
        <v>19.559999999999999</v>
      </c>
      <c r="O266" s="4">
        <v>19.559999999999999</v>
      </c>
      <c r="P266" s="4">
        <v>16</v>
      </c>
      <c r="Q266" s="3" t="s">
        <v>26</v>
      </c>
      <c r="R266" s="3">
        <v>0</v>
      </c>
      <c r="S266" s="3" t="s">
        <v>208</v>
      </c>
      <c r="T266" s="3" t="s">
        <v>369</v>
      </c>
      <c r="U266" s="3">
        <v>0</v>
      </c>
      <c r="V266" s="3">
        <v>29</v>
      </c>
      <c r="W266" s="3">
        <v>50</v>
      </c>
    </row>
    <row r="267" spans="1:23" ht="11.25" customHeight="1" x14ac:dyDescent="0.25">
      <c r="A267" s="3" t="s">
        <v>28</v>
      </c>
      <c r="B267" s="3" t="s">
        <v>22</v>
      </c>
      <c r="C267" s="3" t="s">
        <v>23</v>
      </c>
      <c r="D267" s="3" t="s">
        <v>24</v>
      </c>
      <c r="E267" s="3" t="s">
        <v>29</v>
      </c>
      <c r="F267" s="3" t="s">
        <v>25</v>
      </c>
      <c r="G267" s="3" t="s">
        <v>25</v>
      </c>
      <c r="H267" s="3" t="s">
        <v>25</v>
      </c>
      <c r="I267" s="6">
        <v>44562</v>
      </c>
      <c r="J267" s="4">
        <v>0</v>
      </c>
      <c r="K267" s="4">
        <v>0</v>
      </c>
      <c r="L267" s="4">
        <v>0.06</v>
      </c>
      <c r="M267" s="4">
        <v>2.1000000000000001E-2</v>
      </c>
      <c r="N267" s="4">
        <v>0.06</v>
      </c>
      <c r="O267" s="4">
        <v>2.1000000000000001E-2</v>
      </c>
      <c r="P267" s="4">
        <v>1</v>
      </c>
      <c r="Q267" s="3" t="s">
        <v>26</v>
      </c>
      <c r="R267" s="3">
        <v>0</v>
      </c>
      <c r="S267" s="3" t="s">
        <v>208</v>
      </c>
      <c r="T267" s="3" t="s">
        <v>369</v>
      </c>
      <c r="U267" s="3">
        <v>0</v>
      </c>
      <c r="V267" s="3">
        <v>29</v>
      </c>
      <c r="W267" s="3">
        <v>50</v>
      </c>
    </row>
    <row r="268" spans="1:23" ht="11.25" customHeight="1" x14ac:dyDescent="0.25">
      <c r="A268" s="3" t="s">
        <v>21</v>
      </c>
      <c r="B268" s="3" t="s">
        <v>22</v>
      </c>
      <c r="C268" s="3" t="s">
        <v>23</v>
      </c>
      <c r="D268" s="3" t="s">
        <v>24</v>
      </c>
      <c r="E268" s="3" t="s">
        <v>29</v>
      </c>
      <c r="F268" s="3" t="s">
        <v>25</v>
      </c>
      <c r="G268" s="3" t="s">
        <v>25</v>
      </c>
      <c r="H268" s="3" t="s">
        <v>25</v>
      </c>
      <c r="I268" s="6">
        <v>44593</v>
      </c>
      <c r="J268" s="4">
        <v>0</v>
      </c>
      <c r="K268" s="4">
        <v>0</v>
      </c>
      <c r="L268" s="4">
        <v>20.58</v>
      </c>
      <c r="M268" s="4">
        <v>20.58</v>
      </c>
      <c r="N268" s="4">
        <v>20.58</v>
      </c>
      <c r="O268" s="4">
        <v>20.58</v>
      </c>
      <c r="P268" s="4">
        <v>18</v>
      </c>
      <c r="Q268" s="3" t="s">
        <v>26</v>
      </c>
      <c r="R268" s="3">
        <v>0</v>
      </c>
      <c r="S268" s="3" t="s">
        <v>209</v>
      </c>
      <c r="T268" s="3" t="s">
        <v>370</v>
      </c>
      <c r="U268" s="3">
        <v>0</v>
      </c>
      <c r="V268" s="3">
        <v>29</v>
      </c>
      <c r="W268" s="3">
        <v>50</v>
      </c>
    </row>
    <row r="269" spans="1:23" ht="11.25" customHeight="1" x14ac:dyDescent="0.25">
      <c r="A269" s="3" t="s">
        <v>28</v>
      </c>
      <c r="B269" s="3" t="s">
        <v>22</v>
      </c>
      <c r="C269" s="3" t="s">
        <v>23</v>
      </c>
      <c r="D269" s="3" t="s">
        <v>24</v>
      </c>
      <c r="E269" s="3" t="s">
        <v>29</v>
      </c>
      <c r="F269" s="3" t="s">
        <v>25</v>
      </c>
      <c r="G269" s="3" t="s">
        <v>25</v>
      </c>
      <c r="H269" s="3" t="s">
        <v>25</v>
      </c>
      <c r="I269" s="6">
        <v>44593</v>
      </c>
      <c r="J269" s="4">
        <v>0</v>
      </c>
      <c r="K269" s="4">
        <v>0</v>
      </c>
      <c r="L269" s="4">
        <v>0.03</v>
      </c>
      <c r="M269" s="4">
        <v>-8.9999999999999993E-3</v>
      </c>
      <c r="N269" s="4">
        <v>0.03</v>
      </c>
      <c r="O269" s="4">
        <v>-8.9999999999999993E-3</v>
      </c>
      <c r="P269" s="4">
        <v>0</v>
      </c>
      <c r="Q269" s="3" t="s">
        <v>26</v>
      </c>
      <c r="R269" s="3">
        <v>0</v>
      </c>
      <c r="S269" s="3" t="s">
        <v>209</v>
      </c>
      <c r="T269" s="3" t="s">
        <v>370</v>
      </c>
      <c r="U269" s="3">
        <v>0</v>
      </c>
      <c r="V269" s="3">
        <v>29</v>
      </c>
      <c r="W269" s="3">
        <v>50</v>
      </c>
    </row>
    <row r="270" spans="1:23" ht="11.25" customHeight="1" x14ac:dyDescent="0.25">
      <c r="A270" s="3" t="s">
        <v>21</v>
      </c>
      <c r="B270" s="3" t="s">
        <v>22</v>
      </c>
      <c r="C270" s="3" t="s">
        <v>23</v>
      </c>
      <c r="D270" s="3" t="s">
        <v>24</v>
      </c>
      <c r="E270" s="3" t="s">
        <v>29</v>
      </c>
      <c r="F270" s="3" t="s">
        <v>25</v>
      </c>
      <c r="G270" s="3" t="s">
        <v>25</v>
      </c>
      <c r="H270" s="3" t="s">
        <v>25</v>
      </c>
      <c r="I270" s="6">
        <v>44621</v>
      </c>
      <c r="J270" s="4">
        <v>0</v>
      </c>
      <c r="K270" s="4">
        <v>0</v>
      </c>
      <c r="L270" s="4">
        <v>44.7</v>
      </c>
      <c r="M270" s="4">
        <v>44.7</v>
      </c>
      <c r="N270" s="4">
        <v>44.7</v>
      </c>
      <c r="O270" s="4">
        <v>44.7</v>
      </c>
      <c r="P270" s="4">
        <v>79</v>
      </c>
      <c r="Q270" s="3" t="s">
        <v>26</v>
      </c>
      <c r="R270" s="3">
        <v>0</v>
      </c>
      <c r="S270" s="3" t="s">
        <v>210</v>
      </c>
      <c r="T270" s="3" t="s">
        <v>371</v>
      </c>
      <c r="U270" s="3">
        <v>0</v>
      </c>
      <c r="V270" s="3">
        <v>29</v>
      </c>
      <c r="W270" s="3">
        <v>50</v>
      </c>
    </row>
    <row r="271" spans="1:23" ht="11.25" customHeight="1" x14ac:dyDescent="0.25">
      <c r="A271" s="3" t="s">
        <v>28</v>
      </c>
      <c r="B271" s="3" t="s">
        <v>22</v>
      </c>
      <c r="C271" s="3" t="s">
        <v>23</v>
      </c>
      <c r="D271" s="3" t="s">
        <v>24</v>
      </c>
      <c r="E271" s="3" t="s">
        <v>29</v>
      </c>
      <c r="F271" s="3" t="s">
        <v>25</v>
      </c>
      <c r="G271" s="3" t="s">
        <v>25</v>
      </c>
      <c r="H271" s="3" t="s">
        <v>25</v>
      </c>
      <c r="I271" s="6">
        <v>44621</v>
      </c>
      <c r="J271" s="4">
        <v>0</v>
      </c>
      <c r="K271" s="4">
        <v>0</v>
      </c>
      <c r="L271" s="4">
        <v>3.0000000000000001E-3</v>
      </c>
      <c r="M271" s="4">
        <v>-8.6999999999999994E-3</v>
      </c>
      <c r="N271" s="4">
        <v>3.0000000000000001E-3</v>
      </c>
      <c r="O271" s="4">
        <v>-8.6999999999999994E-3</v>
      </c>
      <c r="P271" s="4">
        <v>0</v>
      </c>
      <c r="Q271" s="3" t="s">
        <v>26</v>
      </c>
      <c r="R271" s="3">
        <v>0</v>
      </c>
      <c r="S271" s="3" t="s">
        <v>210</v>
      </c>
      <c r="T271" s="3" t="s">
        <v>371</v>
      </c>
      <c r="U271" s="3">
        <v>0</v>
      </c>
      <c r="V271" s="3">
        <v>29</v>
      </c>
      <c r="W271" s="3">
        <v>50</v>
      </c>
    </row>
    <row r="272" spans="1:23" ht="11.25" customHeight="1" x14ac:dyDescent="0.25">
      <c r="A272" s="3" t="s">
        <v>21</v>
      </c>
      <c r="B272" s="3" t="s">
        <v>22</v>
      </c>
      <c r="C272" s="3" t="s">
        <v>23</v>
      </c>
      <c r="D272" s="3" t="s">
        <v>24</v>
      </c>
      <c r="E272" s="3" t="s">
        <v>30</v>
      </c>
      <c r="F272" s="3" t="s">
        <v>25</v>
      </c>
      <c r="G272" s="3" t="s">
        <v>25</v>
      </c>
      <c r="H272" s="3" t="s">
        <v>25</v>
      </c>
      <c r="I272" s="6">
        <v>44287</v>
      </c>
      <c r="J272" s="4">
        <v>0</v>
      </c>
      <c r="K272" s="4">
        <v>0</v>
      </c>
      <c r="L272" s="4">
        <v>26.719000000000001</v>
      </c>
      <c r="M272" s="4">
        <v>26.719000000000001</v>
      </c>
      <c r="N272" s="4">
        <v>26.719000000000001</v>
      </c>
      <c r="O272" s="4">
        <v>26.719000000000001</v>
      </c>
      <c r="P272" s="4">
        <v>71</v>
      </c>
      <c r="Q272" s="3" t="s">
        <v>26</v>
      </c>
      <c r="R272" s="3">
        <v>0</v>
      </c>
      <c r="S272" s="3" t="s">
        <v>211</v>
      </c>
      <c r="T272" s="3" t="s">
        <v>372</v>
      </c>
      <c r="U272" s="3">
        <v>0</v>
      </c>
      <c r="V272" s="3">
        <v>30</v>
      </c>
      <c r="W272" s="3">
        <v>51</v>
      </c>
    </row>
    <row r="273" spans="1:23" ht="11.25" customHeight="1" x14ac:dyDescent="0.25">
      <c r="A273" s="3" t="s">
        <v>21</v>
      </c>
      <c r="B273" s="3" t="s">
        <v>22</v>
      </c>
      <c r="C273" s="3" t="s">
        <v>23</v>
      </c>
      <c r="D273" s="3" t="s">
        <v>24</v>
      </c>
      <c r="E273" s="3" t="s">
        <v>30</v>
      </c>
      <c r="F273" s="3" t="s">
        <v>25</v>
      </c>
      <c r="G273" s="3" t="s">
        <v>25</v>
      </c>
      <c r="H273" s="3" t="s">
        <v>25</v>
      </c>
      <c r="I273" s="6">
        <v>44317</v>
      </c>
      <c r="J273" s="4">
        <v>0</v>
      </c>
      <c r="K273" s="4">
        <v>0</v>
      </c>
      <c r="L273" s="4">
        <v>23.943999999999999</v>
      </c>
      <c r="M273" s="4">
        <v>23.943999999999999</v>
      </c>
      <c r="N273" s="4">
        <v>23.943999999999999</v>
      </c>
      <c r="O273" s="4">
        <v>23.943999999999999</v>
      </c>
      <c r="P273" s="4">
        <v>91</v>
      </c>
      <c r="Q273" s="3" t="s">
        <v>26</v>
      </c>
      <c r="R273" s="3">
        <v>0</v>
      </c>
      <c r="S273" s="3" t="s">
        <v>212</v>
      </c>
      <c r="T273" s="3" t="s">
        <v>373</v>
      </c>
      <c r="U273" s="3">
        <v>0</v>
      </c>
      <c r="V273" s="3">
        <v>30</v>
      </c>
      <c r="W273" s="3">
        <v>51</v>
      </c>
    </row>
    <row r="274" spans="1:23" ht="11.25" customHeight="1" x14ac:dyDescent="0.25">
      <c r="A274" s="3" t="s">
        <v>27</v>
      </c>
      <c r="B274" s="3" t="s">
        <v>22</v>
      </c>
      <c r="C274" s="3" t="s">
        <v>23</v>
      </c>
      <c r="D274" s="3" t="s">
        <v>24</v>
      </c>
      <c r="E274" s="3" t="s">
        <v>30</v>
      </c>
      <c r="F274" s="3" t="s">
        <v>25</v>
      </c>
      <c r="G274" s="3" t="s">
        <v>25</v>
      </c>
      <c r="H274" s="3" t="s">
        <v>25</v>
      </c>
      <c r="I274" s="6">
        <v>44317</v>
      </c>
      <c r="J274" s="4">
        <v>0</v>
      </c>
      <c r="K274" s="4">
        <v>0</v>
      </c>
      <c r="L274" s="4">
        <v>2.4630000000000001</v>
      </c>
      <c r="M274" s="4">
        <v>2.4630000000000001</v>
      </c>
      <c r="N274" s="4">
        <v>2.4630000000000001</v>
      </c>
      <c r="O274" s="4">
        <v>2.4630000000000001</v>
      </c>
      <c r="P274" s="4">
        <v>0</v>
      </c>
      <c r="Q274" s="3" t="s">
        <v>26</v>
      </c>
      <c r="R274" s="3">
        <v>0</v>
      </c>
      <c r="S274" s="3" t="s">
        <v>212</v>
      </c>
      <c r="T274" s="3" t="s">
        <v>373</v>
      </c>
      <c r="U274" s="3">
        <v>0</v>
      </c>
      <c r="V274" s="3">
        <v>30</v>
      </c>
      <c r="W274" s="3">
        <v>51</v>
      </c>
    </row>
    <row r="275" spans="1:23" ht="11.25" customHeight="1" x14ac:dyDescent="0.25">
      <c r="A275" s="3" t="s">
        <v>21</v>
      </c>
      <c r="B275" s="3" t="s">
        <v>22</v>
      </c>
      <c r="C275" s="3" t="s">
        <v>23</v>
      </c>
      <c r="D275" s="3" t="s">
        <v>24</v>
      </c>
      <c r="E275" s="3" t="s">
        <v>30</v>
      </c>
      <c r="F275" s="3" t="s">
        <v>25</v>
      </c>
      <c r="G275" s="3" t="s">
        <v>25</v>
      </c>
      <c r="H275" s="3" t="s">
        <v>25</v>
      </c>
      <c r="I275" s="6">
        <v>44348</v>
      </c>
      <c r="J275" s="4">
        <v>0</v>
      </c>
      <c r="K275" s="4">
        <v>0</v>
      </c>
      <c r="L275" s="4">
        <v>28.617999999999999</v>
      </c>
      <c r="M275" s="4">
        <v>28.617999999999999</v>
      </c>
      <c r="N275" s="4">
        <v>28.617999999999999</v>
      </c>
      <c r="O275" s="4">
        <v>28.617999999999999</v>
      </c>
      <c r="P275" s="4">
        <v>113</v>
      </c>
      <c r="Q275" s="3" t="s">
        <v>26</v>
      </c>
      <c r="R275" s="3">
        <v>0</v>
      </c>
      <c r="S275" s="3" t="s">
        <v>213</v>
      </c>
      <c r="T275" s="3" t="s">
        <v>374</v>
      </c>
      <c r="U275" s="3">
        <v>0</v>
      </c>
      <c r="V275" s="3">
        <v>30</v>
      </c>
      <c r="W275" s="3">
        <v>51</v>
      </c>
    </row>
    <row r="276" spans="1:23" ht="11.25" customHeight="1" x14ac:dyDescent="0.25">
      <c r="A276" s="3" t="s">
        <v>27</v>
      </c>
      <c r="B276" s="3" t="s">
        <v>22</v>
      </c>
      <c r="C276" s="3" t="s">
        <v>23</v>
      </c>
      <c r="D276" s="3" t="s">
        <v>24</v>
      </c>
      <c r="E276" s="3" t="s">
        <v>30</v>
      </c>
      <c r="F276" s="3" t="s">
        <v>25</v>
      </c>
      <c r="G276" s="3" t="s">
        <v>25</v>
      </c>
      <c r="H276" s="3" t="s">
        <v>25</v>
      </c>
      <c r="I276" s="6">
        <v>44348</v>
      </c>
      <c r="J276" s="4">
        <v>0</v>
      </c>
      <c r="K276" s="4">
        <v>0</v>
      </c>
      <c r="L276" s="4">
        <v>0.66700000000000004</v>
      </c>
      <c r="M276" s="4">
        <v>0.66700000000000004</v>
      </c>
      <c r="N276" s="4">
        <v>0.66700000000000004</v>
      </c>
      <c r="O276" s="4">
        <v>0.66700000000000004</v>
      </c>
      <c r="P276" s="4">
        <v>0</v>
      </c>
      <c r="Q276" s="3" t="s">
        <v>26</v>
      </c>
      <c r="R276" s="3">
        <v>0</v>
      </c>
      <c r="S276" s="3" t="s">
        <v>213</v>
      </c>
      <c r="T276" s="3" t="s">
        <v>374</v>
      </c>
      <c r="U276" s="3">
        <v>0</v>
      </c>
      <c r="V276" s="3">
        <v>30</v>
      </c>
      <c r="W276" s="3">
        <v>51</v>
      </c>
    </row>
    <row r="277" spans="1:23" ht="11.25" customHeight="1" x14ac:dyDescent="0.25">
      <c r="A277" s="3" t="s">
        <v>21</v>
      </c>
      <c r="B277" s="3" t="s">
        <v>22</v>
      </c>
      <c r="C277" s="3" t="s">
        <v>23</v>
      </c>
      <c r="D277" s="3" t="s">
        <v>24</v>
      </c>
      <c r="E277" s="3" t="s">
        <v>30</v>
      </c>
      <c r="F277" s="3" t="s">
        <v>25</v>
      </c>
      <c r="G277" s="3" t="s">
        <v>25</v>
      </c>
      <c r="H277" s="3" t="s">
        <v>25</v>
      </c>
      <c r="I277" s="6">
        <v>44378</v>
      </c>
      <c r="J277" s="4">
        <v>0</v>
      </c>
      <c r="K277" s="4">
        <v>0</v>
      </c>
      <c r="L277" s="4">
        <v>28.423999999999999</v>
      </c>
      <c r="M277" s="4">
        <v>28.423999999999999</v>
      </c>
      <c r="N277" s="4">
        <v>28.423999999999999</v>
      </c>
      <c r="O277" s="4">
        <v>28.423999999999999</v>
      </c>
      <c r="P277" s="4">
        <v>169</v>
      </c>
      <c r="Q277" s="3" t="s">
        <v>26</v>
      </c>
      <c r="R277" s="3">
        <v>0</v>
      </c>
      <c r="S277" s="3" t="s">
        <v>214</v>
      </c>
      <c r="T277" s="3" t="s">
        <v>375</v>
      </c>
      <c r="U277" s="3">
        <v>0</v>
      </c>
      <c r="V277" s="3">
        <v>30</v>
      </c>
      <c r="W277" s="3">
        <v>51</v>
      </c>
    </row>
    <row r="278" spans="1:23" ht="11.25" customHeight="1" x14ac:dyDescent="0.25">
      <c r="A278" s="3" t="s">
        <v>21</v>
      </c>
      <c r="B278" s="3" t="s">
        <v>22</v>
      </c>
      <c r="C278" s="3" t="s">
        <v>23</v>
      </c>
      <c r="D278" s="3" t="s">
        <v>24</v>
      </c>
      <c r="E278" s="3" t="s">
        <v>30</v>
      </c>
      <c r="F278" s="3" t="s">
        <v>25</v>
      </c>
      <c r="G278" s="3" t="s">
        <v>25</v>
      </c>
      <c r="H278" s="3" t="s">
        <v>25</v>
      </c>
      <c r="I278" s="6">
        <v>44409</v>
      </c>
      <c r="J278" s="4">
        <v>0</v>
      </c>
      <c r="K278" s="4">
        <v>0</v>
      </c>
      <c r="L278" s="4">
        <v>29.297999999999998</v>
      </c>
      <c r="M278" s="4">
        <v>29.297999999999998</v>
      </c>
      <c r="N278" s="4">
        <v>29.297999999999998</v>
      </c>
      <c r="O278" s="4">
        <v>29.297999999999998</v>
      </c>
      <c r="P278" s="4">
        <v>179</v>
      </c>
      <c r="Q278" s="3" t="s">
        <v>26</v>
      </c>
      <c r="R278" s="3">
        <v>0</v>
      </c>
      <c r="S278" s="3" t="s">
        <v>215</v>
      </c>
      <c r="T278" s="3" t="s">
        <v>376</v>
      </c>
      <c r="U278" s="3">
        <v>0</v>
      </c>
      <c r="V278" s="3">
        <v>30</v>
      </c>
      <c r="W278" s="3">
        <v>51</v>
      </c>
    </row>
    <row r="279" spans="1:23" ht="11.25" customHeight="1" x14ac:dyDescent="0.25">
      <c r="A279" s="3" t="s">
        <v>21</v>
      </c>
      <c r="B279" s="3" t="s">
        <v>22</v>
      </c>
      <c r="C279" s="3" t="s">
        <v>23</v>
      </c>
      <c r="D279" s="3" t="s">
        <v>24</v>
      </c>
      <c r="E279" s="3" t="s">
        <v>30</v>
      </c>
      <c r="F279" s="3" t="s">
        <v>25</v>
      </c>
      <c r="G279" s="3" t="s">
        <v>25</v>
      </c>
      <c r="H279" s="3" t="s">
        <v>25</v>
      </c>
      <c r="I279" s="6">
        <v>44440</v>
      </c>
      <c r="J279" s="4">
        <v>0</v>
      </c>
      <c r="K279" s="4">
        <v>0</v>
      </c>
      <c r="L279" s="4">
        <v>31.83</v>
      </c>
      <c r="M279" s="4">
        <v>31.83</v>
      </c>
      <c r="N279" s="4">
        <v>31.83</v>
      </c>
      <c r="O279" s="4">
        <v>31.83</v>
      </c>
      <c r="P279" s="4">
        <v>110</v>
      </c>
      <c r="Q279" s="3" t="s">
        <v>26</v>
      </c>
      <c r="R279" s="3">
        <v>0</v>
      </c>
      <c r="S279" s="3" t="s">
        <v>216</v>
      </c>
      <c r="T279" s="3" t="s">
        <v>377</v>
      </c>
      <c r="U279" s="3">
        <v>0</v>
      </c>
      <c r="V279" s="3">
        <v>30</v>
      </c>
      <c r="W279" s="3">
        <v>51</v>
      </c>
    </row>
    <row r="280" spans="1:23" ht="11.25" customHeight="1" x14ac:dyDescent="0.25">
      <c r="A280" s="3" t="s">
        <v>21</v>
      </c>
      <c r="B280" s="3" t="s">
        <v>22</v>
      </c>
      <c r="C280" s="3" t="s">
        <v>23</v>
      </c>
      <c r="D280" s="3" t="s">
        <v>24</v>
      </c>
      <c r="E280" s="3" t="s">
        <v>30</v>
      </c>
      <c r="F280" s="3" t="s">
        <v>25</v>
      </c>
      <c r="G280" s="3" t="s">
        <v>25</v>
      </c>
      <c r="H280" s="3" t="s">
        <v>25</v>
      </c>
      <c r="I280" s="6">
        <v>44470</v>
      </c>
      <c r="J280" s="4">
        <v>0</v>
      </c>
      <c r="K280" s="4">
        <v>0</v>
      </c>
      <c r="L280" s="4">
        <v>34.856999999999999</v>
      </c>
      <c r="M280" s="4">
        <v>34.856999999999999</v>
      </c>
      <c r="N280" s="4">
        <v>34.856999999999999</v>
      </c>
      <c r="O280" s="4">
        <v>34.856999999999999</v>
      </c>
      <c r="P280" s="4">
        <v>135</v>
      </c>
      <c r="Q280" s="3" t="s">
        <v>26</v>
      </c>
      <c r="R280" s="3">
        <v>0</v>
      </c>
      <c r="S280" s="3" t="s">
        <v>217</v>
      </c>
      <c r="T280" s="3" t="s">
        <v>378</v>
      </c>
      <c r="U280" s="3">
        <v>0</v>
      </c>
      <c r="V280" s="3">
        <v>30</v>
      </c>
      <c r="W280" s="3">
        <v>51</v>
      </c>
    </row>
    <row r="281" spans="1:23" ht="11.25" customHeight="1" x14ac:dyDescent="0.25">
      <c r="A281" s="3" t="s">
        <v>21</v>
      </c>
      <c r="B281" s="3" t="s">
        <v>22</v>
      </c>
      <c r="C281" s="3" t="s">
        <v>23</v>
      </c>
      <c r="D281" s="3" t="s">
        <v>24</v>
      </c>
      <c r="E281" s="3" t="s">
        <v>30</v>
      </c>
      <c r="F281" s="3" t="s">
        <v>25</v>
      </c>
      <c r="G281" s="3" t="s">
        <v>25</v>
      </c>
      <c r="H281" s="3" t="s">
        <v>25</v>
      </c>
      <c r="I281" s="6">
        <v>44501</v>
      </c>
      <c r="J281" s="4">
        <v>0</v>
      </c>
      <c r="K281" s="4">
        <v>0</v>
      </c>
      <c r="L281" s="4">
        <v>36.473999999999997</v>
      </c>
      <c r="M281" s="4">
        <v>36.473999999999997</v>
      </c>
      <c r="N281" s="4">
        <v>36.473999999999997</v>
      </c>
      <c r="O281" s="4">
        <v>36.473999999999997</v>
      </c>
      <c r="P281" s="4">
        <v>141</v>
      </c>
      <c r="Q281" s="3" t="s">
        <v>26</v>
      </c>
      <c r="R281" s="3">
        <v>0</v>
      </c>
      <c r="S281" s="3" t="s">
        <v>218</v>
      </c>
      <c r="T281" s="3" t="s">
        <v>379</v>
      </c>
      <c r="U281" s="3">
        <v>0</v>
      </c>
      <c r="V281" s="3">
        <v>30</v>
      </c>
      <c r="W281" s="3">
        <v>51</v>
      </c>
    </row>
    <row r="282" spans="1:23" ht="11.25" customHeight="1" x14ac:dyDescent="0.25">
      <c r="A282" s="3" t="s">
        <v>28</v>
      </c>
      <c r="B282" s="3" t="s">
        <v>22</v>
      </c>
      <c r="C282" s="3" t="s">
        <v>23</v>
      </c>
      <c r="D282" s="3" t="s">
        <v>24</v>
      </c>
      <c r="E282" s="3" t="s">
        <v>30</v>
      </c>
      <c r="F282" s="3" t="s">
        <v>25</v>
      </c>
      <c r="G282" s="3" t="s">
        <v>25</v>
      </c>
      <c r="H282" s="3" t="s">
        <v>25</v>
      </c>
      <c r="I282" s="6">
        <v>44501</v>
      </c>
      <c r="J282" s="4">
        <v>0</v>
      </c>
      <c r="K282" s="4">
        <v>0</v>
      </c>
      <c r="L282" s="4">
        <v>3.7999999999999999E-2</v>
      </c>
      <c r="M282" s="4">
        <v>2.2800000000000001E-2</v>
      </c>
      <c r="N282" s="4">
        <v>3.7999999999999999E-2</v>
      </c>
      <c r="O282" s="4">
        <v>2.2800000000000001E-2</v>
      </c>
      <c r="P282" s="4">
        <v>1</v>
      </c>
      <c r="Q282" s="3" t="s">
        <v>26</v>
      </c>
      <c r="R282" s="3">
        <v>0</v>
      </c>
      <c r="S282" s="3" t="s">
        <v>218</v>
      </c>
      <c r="T282" s="3" t="s">
        <v>379</v>
      </c>
      <c r="U282" s="3">
        <v>0</v>
      </c>
      <c r="V282" s="3">
        <v>30</v>
      </c>
      <c r="W282" s="3">
        <v>51</v>
      </c>
    </row>
    <row r="283" spans="1:23" ht="11.25" customHeight="1" x14ac:dyDescent="0.25">
      <c r="A283" s="3" t="s">
        <v>21</v>
      </c>
      <c r="B283" s="3" t="s">
        <v>22</v>
      </c>
      <c r="C283" s="3" t="s">
        <v>23</v>
      </c>
      <c r="D283" s="3" t="s">
        <v>24</v>
      </c>
      <c r="E283" s="3" t="s">
        <v>30</v>
      </c>
      <c r="F283" s="3" t="s">
        <v>25</v>
      </c>
      <c r="G283" s="3" t="s">
        <v>25</v>
      </c>
      <c r="H283" s="3" t="s">
        <v>25</v>
      </c>
      <c r="I283" s="6">
        <v>44531</v>
      </c>
      <c r="J283" s="4">
        <v>0</v>
      </c>
      <c r="K283" s="4">
        <v>0</v>
      </c>
      <c r="L283" s="4">
        <v>39.247999999999998</v>
      </c>
      <c r="M283" s="4">
        <v>39.247999999999998</v>
      </c>
      <c r="N283" s="4">
        <v>39.247999999999998</v>
      </c>
      <c r="O283" s="4">
        <v>39.247999999999998</v>
      </c>
      <c r="P283" s="4">
        <v>129</v>
      </c>
      <c r="Q283" s="3" t="s">
        <v>26</v>
      </c>
      <c r="R283" s="3">
        <v>0</v>
      </c>
      <c r="S283" s="3" t="s">
        <v>219</v>
      </c>
      <c r="T283" s="3" t="s">
        <v>380</v>
      </c>
      <c r="U283" s="3">
        <v>0</v>
      </c>
      <c r="V283" s="3">
        <v>30</v>
      </c>
      <c r="W283" s="3">
        <v>51</v>
      </c>
    </row>
    <row r="284" spans="1:23" ht="11.25" customHeight="1" x14ac:dyDescent="0.25">
      <c r="A284" s="3" t="s">
        <v>28</v>
      </c>
      <c r="B284" s="3" t="s">
        <v>22</v>
      </c>
      <c r="C284" s="3" t="s">
        <v>23</v>
      </c>
      <c r="D284" s="3" t="s">
        <v>24</v>
      </c>
      <c r="E284" s="3" t="s">
        <v>30</v>
      </c>
      <c r="F284" s="3" t="s">
        <v>25</v>
      </c>
      <c r="G284" s="3" t="s">
        <v>25</v>
      </c>
      <c r="H284" s="3" t="s">
        <v>25</v>
      </c>
      <c r="I284" s="6">
        <v>44531</v>
      </c>
      <c r="J284" s="4">
        <v>0</v>
      </c>
      <c r="K284" s="4">
        <v>0</v>
      </c>
      <c r="L284" s="4">
        <v>0.02</v>
      </c>
      <c r="M284" s="4">
        <v>1.2E-2</v>
      </c>
      <c r="N284" s="4">
        <v>0.02</v>
      </c>
      <c r="O284" s="4">
        <v>1.2E-2</v>
      </c>
      <c r="P284" s="4">
        <v>1</v>
      </c>
      <c r="Q284" s="3" t="s">
        <v>26</v>
      </c>
      <c r="R284" s="3">
        <v>0</v>
      </c>
      <c r="S284" s="3" t="s">
        <v>219</v>
      </c>
      <c r="T284" s="3" t="s">
        <v>380</v>
      </c>
      <c r="U284" s="3">
        <v>0</v>
      </c>
      <c r="V284" s="3">
        <v>30</v>
      </c>
      <c r="W284" s="3">
        <v>51</v>
      </c>
    </row>
    <row r="285" spans="1:23" ht="11.25" customHeight="1" x14ac:dyDescent="0.25">
      <c r="A285" s="3" t="s">
        <v>21</v>
      </c>
      <c r="B285" s="3" t="s">
        <v>22</v>
      </c>
      <c r="C285" s="3" t="s">
        <v>23</v>
      </c>
      <c r="D285" s="3" t="s">
        <v>24</v>
      </c>
      <c r="E285" s="3" t="s">
        <v>30</v>
      </c>
      <c r="F285" s="3" t="s">
        <v>25</v>
      </c>
      <c r="G285" s="3" t="s">
        <v>25</v>
      </c>
      <c r="H285" s="3" t="s">
        <v>25</v>
      </c>
      <c r="I285" s="6">
        <v>44562</v>
      </c>
      <c r="J285" s="4">
        <v>0</v>
      </c>
      <c r="K285" s="4">
        <v>0</v>
      </c>
      <c r="L285" s="4">
        <v>41.478000000000002</v>
      </c>
      <c r="M285" s="4">
        <v>41.478000000000002</v>
      </c>
      <c r="N285" s="4">
        <v>41.478000000000002</v>
      </c>
      <c r="O285" s="4">
        <v>41.478000000000002</v>
      </c>
      <c r="P285" s="4">
        <v>113</v>
      </c>
      <c r="Q285" s="3" t="s">
        <v>26</v>
      </c>
      <c r="R285" s="3">
        <v>0</v>
      </c>
      <c r="S285" s="3" t="s">
        <v>220</v>
      </c>
      <c r="T285" s="3" t="s">
        <v>381</v>
      </c>
      <c r="U285" s="3">
        <v>0</v>
      </c>
      <c r="V285" s="3">
        <v>30</v>
      </c>
      <c r="W285" s="3">
        <v>51</v>
      </c>
    </row>
    <row r="286" spans="1:23" ht="11.25" customHeight="1" x14ac:dyDescent="0.25">
      <c r="A286" s="3" t="s">
        <v>28</v>
      </c>
      <c r="B286" s="3" t="s">
        <v>22</v>
      </c>
      <c r="C286" s="3" t="s">
        <v>23</v>
      </c>
      <c r="D286" s="3" t="s">
        <v>24</v>
      </c>
      <c r="E286" s="3" t="s">
        <v>30</v>
      </c>
      <c r="F286" s="3" t="s">
        <v>25</v>
      </c>
      <c r="G286" s="3" t="s">
        <v>25</v>
      </c>
      <c r="H286" s="3" t="s">
        <v>25</v>
      </c>
      <c r="I286" s="6">
        <v>44562</v>
      </c>
      <c r="J286" s="4">
        <v>0</v>
      </c>
      <c r="K286" s="4">
        <v>0</v>
      </c>
      <c r="L286" s="4">
        <v>0.02</v>
      </c>
      <c r="M286" s="4">
        <v>1.2E-2</v>
      </c>
      <c r="N286" s="4">
        <v>0.02</v>
      </c>
      <c r="O286" s="4">
        <v>1.2E-2</v>
      </c>
      <c r="P286" s="4">
        <v>1</v>
      </c>
      <c r="Q286" s="3" t="s">
        <v>26</v>
      </c>
      <c r="R286" s="3">
        <v>0</v>
      </c>
      <c r="S286" s="3" t="s">
        <v>220</v>
      </c>
      <c r="T286" s="3" t="s">
        <v>381</v>
      </c>
      <c r="U286" s="3">
        <v>0</v>
      </c>
      <c r="V286" s="3">
        <v>30</v>
      </c>
      <c r="W286" s="3">
        <v>51</v>
      </c>
    </row>
    <row r="287" spans="1:23" ht="11.25" customHeight="1" x14ac:dyDescent="0.25">
      <c r="A287" s="3" t="s">
        <v>21</v>
      </c>
      <c r="B287" s="3" t="s">
        <v>22</v>
      </c>
      <c r="C287" s="3" t="s">
        <v>23</v>
      </c>
      <c r="D287" s="3" t="s">
        <v>24</v>
      </c>
      <c r="E287" s="3" t="s">
        <v>30</v>
      </c>
      <c r="F287" s="3" t="s">
        <v>25</v>
      </c>
      <c r="G287" s="3" t="s">
        <v>25</v>
      </c>
      <c r="H287" s="3" t="s">
        <v>25</v>
      </c>
      <c r="I287" s="6">
        <v>44593</v>
      </c>
      <c r="J287" s="4">
        <v>0</v>
      </c>
      <c r="K287" s="4">
        <v>0</v>
      </c>
      <c r="L287" s="4">
        <v>44.061999999999998</v>
      </c>
      <c r="M287" s="4">
        <v>44.061999999999998</v>
      </c>
      <c r="N287" s="4">
        <v>44.061999999999998</v>
      </c>
      <c r="O287" s="4">
        <v>44.061999999999998</v>
      </c>
      <c r="P287" s="4">
        <v>107</v>
      </c>
      <c r="Q287" s="3" t="s">
        <v>26</v>
      </c>
      <c r="R287" s="3">
        <v>0</v>
      </c>
      <c r="S287" s="3" t="s">
        <v>221</v>
      </c>
      <c r="T287" s="3" t="s">
        <v>382</v>
      </c>
      <c r="U287" s="3">
        <v>0</v>
      </c>
      <c r="V287" s="3">
        <v>30</v>
      </c>
      <c r="W287" s="3">
        <v>51</v>
      </c>
    </row>
    <row r="288" spans="1:23" ht="11.25" customHeight="1" x14ac:dyDescent="0.25">
      <c r="A288" s="3" t="s">
        <v>21</v>
      </c>
      <c r="B288" s="3" t="s">
        <v>22</v>
      </c>
      <c r="C288" s="3" t="s">
        <v>23</v>
      </c>
      <c r="D288" s="3" t="s">
        <v>24</v>
      </c>
      <c r="E288" s="3" t="s">
        <v>30</v>
      </c>
      <c r="F288" s="3" t="s">
        <v>25</v>
      </c>
      <c r="G288" s="3" t="s">
        <v>25</v>
      </c>
      <c r="H288" s="3" t="s">
        <v>25</v>
      </c>
      <c r="I288" s="6">
        <v>44621</v>
      </c>
      <c r="J288" s="4">
        <v>0</v>
      </c>
      <c r="K288" s="4">
        <v>0</v>
      </c>
      <c r="L288" s="4">
        <v>89.213999999999999</v>
      </c>
      <c r="M288" s="4">
        <v>89.213999999999999</v>
      </c>
      <c r="N288" s="4">
        <v>89.213999999999999</v>
      </c>
      <c r="O288" s="4">
        <v>89.213999999999999</v>
      </c>
      <c r="P288" s="4">
        <v>351</v>
      </c>
      <c r="Q288" s="3" t="s">
        <v>26</v>
      </c>
      <c r="R288" s="3">
        <v>0</v>
      </c>
      <c r="S288" s="3" t="s">
        <v>222</v>
      </c>
      <c r="T288" s="3" t="s">
        <v>383</v>
      </c>
      <c r="U288" s="3">
        <v>0</v>
      </c>
      <c r="V288" s="3">
        <v>30</v>
      </c>
      <c r="W288" s="3">
        <v>51</v>
      </c>
    </row>
    <row r="289" spans="1:23" ht="11.25" customHeight="1" x14ac:dyDescent="0.25">
      <c r="A289" s="3" t="s">
        <v>27</v>
      </c>
      <c r="B289" s="3" t="s">
        <v>22</v>
      </c>
      <c r="C289" s="3" t="s">
        <v>23</v>
      </c>
      <c r="D289" s="3" t="s">
        <v>24</v>
      </c>
      <c r="E289" s="3" t="s">
        <v>30</v>
      </c>
      <c r="F289" s="3" t="s">
        <v>25</v>
      </c>
      <c r="G289" s="3" t="s">
        <v>25</v>
      </c>
      <c r="H289" s="3" t="s">
        <v>25</v>
      </c>
      <c r="I289" s="6">
        <v>44621</v>
      </c>
      <c r="J289" s="4">
        <v>0</v>
      </c>
      <c r="K289" s="4">
        <v>0</v>
      </c>
      <c r="L289" s="4">
        <v>7.0000000000000007E-2</v>
      </c>
      <c r="M289" s="4">
        <v>7.0000000000000007E-2</v>
      </c>
      <c r="N289" s="4">
        <v>7.0000000000000007E-2</v>
      </c>
      <c r="O289" s="4">
        <v>7.0000000000000007E-2</v>
      </c>
      <c r="P289" s="4">
        <v>0</v>
      </c>
      <c r="Q289" s="3" t="s">
        <v>26</v>
      </c>
      <c r="R289" s="3">
        <v>0</v>
      </c>
      <c r="S289" s="3" t="s">
        <v>222</v>
      </c>
      <c r="T289" s="3" t="s">
        <v>383</v>
      </c>
      <c r="U289" s="3">
        <v>0</v>
      </c>
      <c r="V289" s="3">
        <v>30</v>
      </c>
      <c r="W289" s="3">
        <v>51</v>
      </c>
    </row>
    <row r="290" spans="1:23" ht="11.25" customHeight="1" x14ac:dyDescent="0.25">
      <c r="A290" s="3" t="s">
        <v>21</v>
      </c>
      <c r="B290" s="3" t="s">
        <v>22</v>
      </c>
      <c r="C290" s="3" t="s">
        <v>23</v>
      </c>
      <c r="D290" s="3" t="s">
        <v>24</v>
      </c>
      <c r="E290" s="3" t="s">
        <v>31</v>
      </c>
      <c r="F290" s="3" t="s">
        <v>25</v>
      </c>
      <c r="G290" s="3" t="s">
        <v>25</v>
      </c>
      <c r="H290" s="3" t="s">
        <v>25</v>
      </c>
      <c r="I290" s="6">
        <v>44287</v>
      </c>
      <c r="J290" s="4">
        <v>0</v>
      </c>
      <c r="K290" s="4">
        <v>0</v>
      </c>
      <c r="L290" s="4">
        <v>25.067</v>
      </c>
      <c r="M290" s="4">
        <v>25.067</v>
      </c>
      <c r="N290" s="4">
        <v>25.067</v>
      </c>
      <c r="O290" s="4">
        <v>25.067</v>
      </c>
      <c r="P290" s="4">
        <v>238</v>
      </c>
      <c r="Q290" s="3" t="s">
        <v>26</v>
      </c>
      <c r="R290" s="3">
        <v>0</v>
      </c>
      <c r="S290" s="3" t="s">
        <v>223</v>
      </c>
      <c r="T290" s="3" t="s">
        <v>384</v>
      </c>
      <c r="U290" s="3">
        <v>0</v>
      </c>
      <c r="V290" s="3">
        <v>31</v>
      </c>
      <c r="W290" s="3">
        <v>46</v>
      </c>
    </row>
    <row r="291" spans="1:23" ht="11.25" customHeight="1" x14ac:dyDescent="0.25">
      <c r="A291" s="3" t="s">
        <v>28</v>
      </c>
      <c r="B291" s="3" t="s">
        <v>22</v>
      </c>
      <c r="C291" s="3" t="s">
        <v>23</v>
      </c>
      <c r="D291" s="3" t="s">
        <v>24</v>
      </c>
      <c r="E291" s="3" t="s">
        <v>31</v>
      </c>
      <c r="F291" s="3" t="s">
        <v>25</v>
      </c>
      <c r="G291" s="3" t="s">
        <v>25</v>
      </c>
      <c r="H291" s="3" t="s">
        <v>25</v>
      </c>
      <c r="I291" s="6">
        <v>44287</v>
      </c>
      <c r="J291" s="4">
        <v>0</v>
      </c>
      <c r="K291" s="4">
        <v>0</v>
      </c>
      <c r="L291" s="4">
        <v>0.122</v>
      </c>
      <c r="M291" s="4">
        <v>0.122</v>
      </c>
      <c r="N291" s="4">
        <v>0.122</v>
      </c>
      <c r="O291" s="4">
        <v>0.122</v>
      </c>
      <c r="P291" s="4">
        <v>1</v>
      </c>
      <c r="Q291" s="3" t="s">
        <v>26</v>
      </c>
      <c r="R291" s="3">
        <v>0</v>
      </c>
      <c r="S291" s="3" t="s">
        <v>223</v>
      </c>
      <c r="T291" s="3" t="s">
        <v>384</v>
      </c>
      <c r="U291" s="3">
        <v>0</v>
      </c>
      <c r="V291" s="3">
        <v>31</v>
      </c>
      <c r="W291" s="3">
        <v>46</v>
      </c>
    </row>
    <row r="292" spans="1:23" ht="11.25" customHeight="1" x14ac:dyDescent="0.25">
      <c r="A292" s="3" t="s">
        <v>21</v>
      </c>
      <c r="B292" s="3" t="s">
        <v>22</v>
      </c>
      <c r="C292" s="3" t="s">
        <v>23</v>
      </c>
      <c r="D292" s="3" t="s">
        <v>24</v>
      </c>
      <c r="E292" s="3" t="s">
        <v>31</v>
      </c>
      <c r="F292" s="3" t="s">
        <v>25</v>
      </c>
      <c r="G292" s="3" t="s">
        <v>25</v>
      </c>
      <c r="H292" s="3" t="s">
        <v>25</v>
      </c>
      <c r="I292" s="6">
        <v>44317</v>
      </c>
      <c r="J292" s="4">
        <v>0</v>
      </c>
      <c r="K292" s="4">
        <v>0</v>
      </c>
      <c r="L292" s="4">
        <v>17.866</v>
      </c>
      <c r="M292" s="4">
        <v>17.866</v>
      </c>
      <c r="N292" s="4">
        <v>17.866</v>
      </c>
      <c r="O292" s="4">
        <v>17.866</v>
      </c>
      <c r="P292" s="4">
        <v>234</v>
      </c>
      <c r="Q292" s="3" t="s">
        <v>26</v>
      </c>
      <c r="R292" s="3">
        <v>0</v>
      </c>
      <c r="S292" s="3" t="s">
        <v>224</v>
      </c>
      <c r="T292" s="3" t="s">
        <v>385</v>
      </c>
      <c r="U292" s="3">
        <v>0</v>
      </c>
      <c r="V292" s="3">
        <v>31</v>
      </c>
      <c r="W292" s="3">
        <v>46</v>
      </c>
    </row>
    <row r="293" spans="1:23" ht="11.25" customHeight="1" x14ac:dyDescent="0.25">
      <c r="A293" s="3" t="s">
        <v>27</v>
      </c>
      <c r="B293" s="3" t="s">
        <v>22</v>
      </c>
      <c r="C293" s="3" t="s">
        <v>23</v>
      </c>
      <c r="D293" s="3" t="s">
        <v>24</v>
      </c>
      <c r="E293" s="3" t="s">
        <v>31</v>
      </c>
      <c r="F293" s="3" t="s">
        <v>25</v>
      </c>
      <c r="G293" s="3" t="s">
        <v>25</v>
      </c>
      <c r="H293" s="3" t="s">
        <v>25</v>
      </c>
      <c r="I293" s="6">
        <v>44317</v>
      </c>
      <c r="J293" s="4">
        <v>0</v>
      </c>
      <c r="K293" s="4">
        <v>0</v>
      </c>
      <c r="L293" s="4">
        <v>2.2650000000000001</v>
      </c>
      <c r="M293" s="4">
        <v>2.2650000000000001</v>
      </c>
      <c r="N293" s="4">
        <v>2.2650000000000001</v>
      </c>
      <c r="O293" s="4">
        <v>2.2650000000000001</v>
      </c>
      <c r="P293" s="4">
        <v>0</v>
      </c>
      <c r="Q293" s="3" t="s">
        <v>26</v>
      </c>
      <c r="R293" s="3">
        <v>0</v>
      </c>
      <c r="S293" s="3" t="s">
        <v>224</v>
      </c>
      <c r="T293" s="3" t="s">
        <v>385</v>
      </c>
      <c r="U293" s="3">
        <v>0</v>
      </c>
      <c r="V293" s="3">
        <v>31</v>
      </c>
      <c r="W293" s="3">
        <v>46</v>
      </c>
    </row>
    <row r="294" spans="1:23" ht="11.25" customHeight="1" x14ac:dyDescent="0.25">
      <c r="A294" s="3" t="s">
        <v>21</v>
      </c>
      <c r="B294" s="3" t="s">
        <v>22</v>
      </c>
      <c r="C294" s="3" t="s">
        <v>23</v>
      </c>
      <c r="D294" s="3" t="s">
        <v>24</v>
      </c>
      <c r="E294" s="3" t="s">
        <v>31</v>
      </c>
      <c r="F294" s="3" t="s">
        <v>25</v>
      </c>
      <c r="G294" s="3" t="s">
        <v>25</v>
      </c>
      <c r="H294" s="3" t="s">
        <v>25</v>
      </c>
      <c r="I294" s="6">
        <v>44348</v>
      </c>
      <c r="J294" s="4">
        <v>0</v>
      </c>
      <c r="K294" s="4">
        <v>0</v>
      </c>
      <c r="L294" s="4">
        <v>20.646000000000001</v>
      </c>
      <c r="M294" s="4">
        <v>20.646000000000001</v>
      </c>
      <c r="N294" s="4">
        <v>20.646000000000001</v>
      </c>
      <c r="O294" s="4">
        <v>20.646000000000001</v>
      </c>
      <c r="P294" s="4">
        <v>278</v>
      </c>
      <c r="Q294" s="3" t="s">
        <v>26</v>
      </c>
      <c r="R294" s="3">
        <v>0</v>
      </c>
      <c r="S294" s="3" t="s">
        <v>225</v>
      </c>
      <c r="T294" s="3" t="s">
        <v>386</v>
      </c>
      <c r="U294" s="3">
        <v>0</v>
      </c>
      <c r="V294" s="3">
        <v>31</v>
      </c>
      <c r="W294" s="3">
        <v>46</v>
      </c>
    </row>
    <row r="295" spans="1:23" ht="11.25" customHeight="1" x14ac:dyDescent="0.25">
      <c r="A295" s="3" t="s">
        <v>27</v>
      </c>
      <c r="B295" s="3" t="s">
        <v>22</v>
      </c>
      <c r="C295" s="3" t="s">
        <v>23</v>
      </c>
      <c r="D295" s="3" t="s">
        <v>24</v>
      </c>
      <c r="E295" s="3" t="s">
        <v>31</v>
      </c>
      <c r="F295" s="3" t="s">
        <v>25</v>
      </c>
      <c r="G295" s="3" t="s">
        <v>25</v>
      </c>
      <c r="H295" s="3" t="s">
        <v>25</v>
      </c>
      <c r="I295" s="6">
        <v>44348</v>
      </c>
      <c r="J295" s="4">
        <v>0</v>
      </c>
      <c r="K295" s="4">
        <v>0</v>
      </c>
      <c r="L295" s="4">
        <v>0.59499999999999997</v>
      </c>
      <c r="M295" s="4">
        <v>0.59499999999999997</v>
      </c>
      <c r="N295" s="4">
        <v>0.59499999999999997</v>
      </c>
      <c r="O295" s="4">
        <v>0.59499999999999997</v>
      </c>
      <c r="P295" s="4">
        <v>0</v>
      </c>
      <c r="Q295" s="3" t="s">
        <v>26</v>
      </c>
      <c r="R295" s="3">
        <v>0</v>
      </c>
      <c r="S295" s="3" t="s">
        <v>225</v>
      </c>
      <c r="T295" s="3" t="s">
        <v>386</v>
      </c>
      <c r="U295" s="3">
        <v>0</v>
      </c>
      <c r="V295" s="3">
        <v>31</v>
      </c>
      <c r="W295" s="3">
        <v>46</v>
      </c>
    </row>
    <row r="296" spans="1:23" ht="11.25" customHeight="1" x14ac:dyDescent="0.25">
      <c r="A296" s="3" t="s">
        <v>21</v>
      </c>
      <c r="B296" s="3" t="s">
        <v>22</v>
      </c>
      <c r="C296" s="3" t="s">
        <v>23</v>
      </c>
      <c r="D296" s="3" t="s">
        <v>24</v>
      </c>
      <c r="E296" s="3" t="s">
        <v>31</v>
      </c>
      <c r="F296" s="3" t="s">
        <v>25</v>
      </c>
      <c r="G296" s="3" t="s">
        <v>25</v>
      </c>
      <c r="H296" s="3" t="s">
        <v>25</v>
      </c>
      <c r="I296" s="6">
        <v>44378</v>
      </c>
      <c r="J296" s="4">
        <v>0</v>
      </c>
      <c r="K296" s="4">
        <v>0</v>
      </c>
      <c r="L296" s="4">
        <v>16.478999999999999</v>
      </c>
      <c r="M296" s="4">
        <v>16.478999999999999</v>
      </c>
      <c r="N296" s="4">
        <v>16.478999999999999</v>
      </c>
      <c r="O296" s="4">
        <v>16.478999999999999</v>
      </c>
      <c r="P296" s="4">
        <v>262</v>
      </c>
      <c r="Q296" s="3" t="s">
        <v>26</v>
      </c>
      <c r="R296" s="3">
        <v>0</v>
      </c>
      <c r="S296" s="3" t="s">
        <v>226</v>
      </c>
      <c r="T296" s="3" t="s">
        <v>387</v>
      </c>
      <c r="U296" s="3">
        <v>0</v>
      </c>
      <c r="V296" s="3">
        <v>31</v>
      </c>
      <c r="W296" s="3">
        <v>46</v>
      </c>
    </row>
    <row r="297" spans="1:23" ht="11.25" customHeight="1" x14ac:dyDescent="0.25">
      <c r="A297" s="3" t="s">
        <v>21</v>
      </c>
      <c r="B297" s="3" t="s">
        <v>22</v>
      </c>
      <c r="C297" s="3" t="s">
        <v>23</v>
      </c>
      <c r="D297" s="3" t="s">
        <v>24</v>
      </c>
      <c r="E297" s="3" t="s">
        <v>31</v>
      </c>
      <c r="F297" s="3" t="s">
        <v>25</v>
      </c>
      <c r="G297" s="3" t="s">
        <v>25</v>
      </c>
      <c r="H297" s="3" t="s">
        <v>25</v>
      </c>
      <c r="I297" s="6">
        <v>44409</v>
      </c>
      <c r="J297" s="4">
        <v>0</v>
      </c>
      <c r="K297" s="4">
        <v>0</v>
      </c>
      <c r="L297" s="4">
        <v>17.085999999999999</v>
      </c>
      <c r="M297" s="4">
        <v>17.085999999999999</v>
      </c>
      <c r="N297" s="4">
        <v>17.085999999999999</v>
      </c>
      <c r="O297" s="4">
        <v>17.085999999999999</v>
      </c>
      <c r="P297" s="4">
        <v>262</v>
      </c>
      <c r="Q297" s="3" t="s">
        <v>26</v>
      </c>
      <c r="R297" s="3">
        <v>0</v>
      </c>
      <c r="S297" s="3" t="s">
        <v>227</v>
      </c>
      <c r="T297" s="3" t="s">
        <v>388</v>
      </c>
      <c r="U297" s="3">
        <v>0</v>
      </c>
      <c r="V297" s="3">
        <v>31</v>
      </c>
      <c r="W297" s="3">
        <v>46</v>
      </c>
    </row>
    <row r="298" spans="1:23" ht="11.25" customHeight="1" x14ac:dyDescent="0.25">
      <c r="A298" s="3" t="s">
        <v>28</v>
      </c>
      <c r="B298" s="3" t="s">
        <v>22</v>
      </c>
      <c r="C298" s="3" t="s">
        <v>23</v>
      </c>
      <c r="D298" s="3" t="s">
        <v>24</v>
      </c>
      <c r="E298" s="3" t="s">
        <v>31</v>
      </c>
      <c r="F298" s="3" t="s">
        <v>25</v>
      </c>
      <c r="G298" s="3" t="s">
        <v>25</v>
      </c>
      <c r="H298" s="3" t="s">
        <v>25</v>
      </c>
      <c r="I298" s="6">
        <v>44409</v>
      </c>
      <c r="J298" s="4">
        <v>0</v>
      </c>
      <c r="K298" s="4">
        <v>0</v>
      </c>
      <c r="L298" s="4">
        <v>0.03</v>
      </c>
      <c r="M298" s="4">
        <v>0.03</v>
      </c>
      <c r="N298" s="4">
        <v>0.03</v>
      </c>
      <c r="O298" s="4">
        <v>0.03</v>
      </c>
      <c r="P298" s="4">
        <v>1</v>
      </c>
      <c r="Q298" s="3" t="s">
        <v>26</v>
      </c>
      <c r="R298" s="3">
        <v>0</v>
      </c>
      <c r="S298" s="3" t="s">
        <v>227</v>
      </c>
      <c r="T298" s="3" t="s">
        <v>388</v>
      </c>
      <c r="U298" s="3">
        <v>0</v>
      </c>
      <c r="V298" s="3">
        <v>31</v>
      </c>
      <c r="W298" s="3">
        <v>46</v>
      </c>
    </row>
    <row r="299" spans="1:23" ht="11.25" customHeight="1" x14ac:dyDescent="0.25">
      <c r="A299" s="3" t="s">
        <v>21</v>
      </c>
      <c r="B299" s="3" t="s">
        <v>22</v>
      </c>
      <c r="C299" s="3" t="s">
        <v>23</v>
      </c>
      <c r="D299" s="3" t="s">
        <v>24</v>
      </c>
      <c r="E299" s="3" t="s">
        <v>31</v>
      </c>
      <c r="F299" s="3" t="s">
        <v>25</v>
      </c>
      <c r="G299" s="3" t="s">
        <v>25</v>
      </c>
      <c r="H299" s="3" t="s">
        <v>25</v>
      </c>
      <c r="I299" s="6">
        <v>44440</v>
      </c>
      <c r="J299" s="4">
        <v>0</v>
      </c>
      <c r="K299" s="4">
        <v>0</v>
      </c>
      <c r="L299" s="4">
        <v>25.048999999999999</v>
      </c>
      <c r="M299" s="4">
        <v>25.048999999999999</v>
      </c>
      <c r="N299" s="4">
        <v>25.048999999999999</v>
      </c>
      <c r="O299" s="4">
        <v>25.048999999999999</v>
      </c>
      <c r="P299" s="4">
        <v>303</v>
      </c>
      <c r="Q299" s="3" t="s">
        <v>26</v>
      </c>
      <c r="R299" s="3">
        <v>0</v>
      </c>
      <c r="S299" s="3" t="s">
        <v>228</v>
      </c>
      <c r="T299" s="3" t="s">
        <v>389</v>
      </c>
      <c r="U299" s="3">
        <v>0</v>
      </c>
      <c r="V299" s="3">
        <v>31</v>
      </c>
      <c r="W299" s="3">
        <v>46</v>
      </c>
    </row>
    <row r="300" spans="1:23" ht="11.25" customHeight="1" x14ac:dyDescent="0.25">
      <c r="A300" s="3" t="s">
        <v>21</v>
      </c>
      <c r="B300" s="3" t="s">
        <v>22</v>
      </c>
      <c r="C300" s="3" t="s">
        <v>23</v>
      </c>
      <c r="D300" s="3" t="s">
        <v>24</v>
      </c>
      <c r="E300" s="3" t="s">
        <v>31</v>
      </c>
      <c r="F300" s="3" t="s">
        <v>25</v>
      </c>
      <c r="G300" s="3" t="s">
        <v>25</v>
      </c>
      <c r="H300" s="3" t="s">
        <v>25</v>
      </c>
      <c r="I300" s="6">
        <v>44470</v>
      </c>
      <c r="J300" s="4">
        <v>0</v>
      </c>
      <c r="K300" s="4">
        <v>0</v>
      </c>
      <c r="L300" s="4">
        <v>25.533000000000001</v>
      </c>
      <c r="M300" s="4">
        <v>25.533000000000001</v>
      </c>
      <c r="N300" s="4">
        <v>25.533000000000001</v>
      </c>
      <c r="O300" s="4">
        <v>25.533000000000001</v>
      </c>
      <c r="P300" s="4">
        <v>343</v>
      </c>
      <c r="Q300" s="3" t="s">
        <v>26</v>
      </c>
      <c r="R300" s="3">
        <v>0</v>
      </c>
      <c r="S300" s="3" t="s">
        <v>229</v>
      </c>
      <c r="T300" s="3" t="s">
        <v>390</v>
      </c>
      <c r="U300" s="3">
        <v>0</v>
      </c>
      <c r="V300" s="3">
        <v>31</v>
      </c>
      <c r="W300" s="3">
        <v>46</v>
      </c>
    </row>
    <row r="301" spans="1:23" ht="11.25" customHeight="1" x14ac:dyDescent="0.25">
      <c r="A301" s="3" t="s">
        <v>21</v>
      </c>
      <c r="B301" s="3" t="s">
        <v>22</v>
      </c>
      <c r="C301" s="3" t="s">
        <v>23</v>
      </c>
      <c r="D301" s="3" t="s">
        <v>24</v>
      </c>
      <c r="E301" s="3" t="s">
        <v>31</v>
      </c>
      <c r="F301" s="3" t="s">
        <v>25</v>
      </c>
      <c r="G301" s="3" t="s">
        <v>25</v>
      </c>
      <c r="H301" s="3" t="s">
        <v>25</v>
      </c>
      <c r="I301" s="6">
        <v>44501</v>
      </c>
      <c r="J301" s="4">
        <v>0</v>
      </c>
      <c r="K301" s="4">
        <v>0</v>
      </c>
      <c r="L301" s="4">
        <v>26.920999999999999</v>
      </c>
      <c r="M301" s="4">
        <v>26.920999999999999</v>
      </c>
      <c r="N301" s="4">
        <v>26.920999999999999</v>
      </c>
      <c r="O301" s="4">
        <v>26.920999999999999</v>
      </c>
      <c r="P301" s="4">
        <v>352</v>
      </c>
      <c r="Q301" s="3" t="s">
        <v>26</v>
      </c>
      <c r="R301" s="3">
        <v>0</v>
      </c>
      <c r="S301" s="3" t="s">
        <v>230</v>
      </c>
      <c r="T301" s="3" t="s">
        <v>391</v>
      </c>
      <c r="U301" s="3">
        <v>0</v>
      </c>
      <c r="V301" s="3">
        <v>31</v>
      </c>
      <c r="W301" s="3">
        <v>46</v>
      </c>
    </row>
    <row r="302" spans="1:23" ht="11.25" customHeight="1" x14ac:dyDescent="0.25">
      <c r="A302" s="3" t="s">
        <v>21</v>
      </c>
      <c r="B302" s="3" t="s">
        <v>22</v>
      </c>
      <c r="C302" s="3" t="s">
        <v>23</v>
      </c>
      <c r="D302" s="3" t="s">
        <v>24</v>
      </c>
      <c r="E302" s="3" t="s">
        <v>31</v>
      </c>
      <c r="F302" s="3" t="s">
        <v>25</v>
      </c>
      <c r="G302" s="3" t="s">
        <v>25</v>
      </c>
      <c r="H302" s="3" t="s">
        <v>25</v>
      </c>
      <c r="I302" s="6">
        <v>44531</v>
      </c>
      <c r="J302" s="4">
        <v>0</v>
      </c>
      <c r="K302" s="4">
        <v>0</v>
      </c>
      <c r="L302" s="4">
        <v>30.305</v>
      </c>
      <c r="M302" s="4">
        <v>30.305</v>
      </c>
      <c r="N302" s="4">
        <v>30.305</v>
      </c>
      <c r="O302" s="4">
        <v>30.305</v>
      </c>
      <c r="P302" s="4">
        <v>388</v>
      </c>
      <c r="Q302" s="3" t="s">
        <v>26</v>
      </c>
      <c r="R302" s="3">
        <v>0</v>
      </c>
      <c r="S302" s="3" t="s">
        <v>231</v>
      </c>
      <c r="T302" s="3" t="s">
        <v>392</v>
      </c>
      <c r="U302" s="3">
        <v>0</v>
      </c>
      <c r="V302" s="3">
        <v>31</v>
      </c>
      <c r="W302" s="3">
        <v>46</v>
      </c>
    </row>
    <row r="303" spans="1:23" ht="11.25" customHeight="1" x14ac:dyDescent="0.25">
      <c r="A303" s="3" t="s">
        <v>21</v>
      </c>
      <c r="B303" s="3" t="s">
        <v>22</v>
      </c>
      <c r="C303" s="3" t="s">
        <v>23</v>
      </c>
      <c r="D303" s="3" t="s">
        <v>24</v>
      </c>
      <c r="E303" s="3" t="s">
        <v>31</v>
      </c>
      <c r="F303" s="3" t="s">
        <v>25</v>
      </c>
      <c r="G303" s="3" t="s">
        <v>25</v>
      </c>
      <c r="H303" s="3" t="s">
        <v>25</v>
      </c>
      <c r="I303" s="6">
        <v>44562</v>
      </c>
      <c r="J303" s="4">
        <v>0</v>
      </c>
      <c r="K303" s="4">
        <v>0</v>
      </c>
      <c r="L303" s="4">
        <v>38.073</v>
      </c>
      <c r="M303" s="4">
        <v>38.073</v>
      </c>
      <c r="N303" s="4">
        <v>38.073</v>
      </c>
      <c r="O303" s="4">
        <v>38.073</v>
      </c>
      <c r="P303" s="4">
        <v>382</v>
      </c>
      <c r="Q303" s="3" t="s">
        <v>26</v>
      </c>
      <c r="R303" s="3">
        <v>0</v>
      </c>
      <c r="S303" s="3" t="s">
        <v>232</v>
      </c>
      <c r="T303" s="3" t="s">
        <v>393</v>
      </c>
      <c r="U303" s="3">
        <v>0</v>
      </c>
      <c r="V303" s="3">
        <v>31</v>
      </c>
      <c r="W303" s="3">
        <v>46</v>
      </c>
    </row>
    <row r="304" spans="1:23" ht="11.25" customHeight="1" x14ac:dyDescent="0.25">
      <c r="A304" s="3" t="s">
        <v>21</v>
      </c>
      <c r="B304" s="3" t="s">
        <v>22</v>
      </c>
      <c r="C304" s="3" t="s">
        <v>23</v>
      </c>
      <c r="D304" s="3" t="s">
        <v>24</v>
      </c>
      <c r="E304" s="3" t="s">
        <v>31</v>
      </c>
      <c r="F304" s="3" t="s">
        <v>25</v>
      </c>
      <c r="G304" s="3" t="s">
        <v>25</v>
      </c>
      <c r="H304" s="3" t="s">
        <v>25</v>
      </c>
      <c r="I304" s="6">
        <v>44593</v>
      </c>
      <c r="J304" s="4">
        <v>0</v>
      </c>
      <c r="K304" s="4">
        <v>0</v>
      </c>
      <c r="L304" s="4">
        <v>44.082000000000001</v>
      </c>
      <c r="M304" s="4">
        <v>44.082000000000001</v>
      </c>
      <c r="N304" s="4">
        <v>44.082000000000001</v>
      </c>
      <c r="O304" s="4">
        <v>44.082000000000001</v>
      </c>
      <c r="P304" s="4">
        <v>375</v>
      </c>
      <c r="Q304" s="3" t="s">
        <v>26</v>
      </c>
      <c r="R304" s="3">
        <v>0</v>
      </c>
      <c r="S304" s="3" t="s">
        <v>233</v>
      </c>
      <c r="T304" s="3" t="s">
        <v>394</v>
      </c>
      <c r="U304" s="3">
        <v>0</v>
      </c>
      <c r="V304" s="3">
        <v>31</v>
      </c>
      <c r="W304" s="3">
        <v>46</v>
      </c>
    </row>
    <row r="305" spans="1:23" ht="11.25" customHeight="1" x14ac:dyDescent="0.25">
      <c r="A305" s="3" t="s">
        <v>21</v>
      </c>
      <c r="B305" s="3" t="s">
        <v>22</v>
      </c>
      <c r="C305" s="3" t="s">
        <v>23</v>
      </c>
      <c r="D305" s="3" t="s">
        <v>24</v>
      </c>
      <c r="E305" s="3" t="s">
        <v>31</v>
      </c>
      <c r="F305" s="3" t="s">
        <v>25</v>
      </c>
      <c r="G305" s="3" t="s">
        <v>25</v>
      </c>
      <c r="H305" s="3" t="s">
        <v>25</v>
      </c>
      <c r="I305" s="6">
        <v>44621</v>
      </c>
      <c r="J305" s="4">
        <v>0</v>
      </c>
      <c r="K305" s="4">
        <v>0</v>
      </c>
      <c r="L305" s="4">
        <v>75.691999999999993</v>
      </c>
      <c r="M305" s="4">
        <v>75.691999999999993</v>
      </c>
      <c r="N305" s="4">
        <v>75.691999999999993</v>
      </c>
      <c r="O305" s="4">
        <v>75.691999999999993</v>
      </c>
      <c r="P305" s="4">
        <v>791</v>
      </c>
      <c r="Q305" s="3" t="s">
        <v>26</v>
      </c>
      <c r="R305" s="3">
        <v>0</v>
      </c>
      <c r="S305" s="3" t="s">
        <v>234</v>
      </c>
      <c r="T305" s="3" t="s">
        <v>395</v>
      </c>
      <c r="U305" s="3">
        <v>0</v>
      </c>
      <c r="V305" s="3">
        <v>31</v>
      </c>
      <c r="W305" s="3">
        <v>46</v>
      </c>
    </row>
    <row r="306" spans="1:23" ht="11.25" customHeight="1" x14ac:dyDescent="0.25">
      <c r="A306" s="3" t="s">
        <v>27</v>
      </c>
      <c r="B306" s="3" t="s">
        <v>22</v>
      </c>
      <c r="C306" s="3" t="s">
        <v>23</v>
      </c>
      <c r="D306" s="3" t="s">
        <v>24</v>
      </c>
      <c r="E306" s="3" t="s">
        <v>31</v>
      </c>
      <c r="F306" s="3" t="s">
        <v>25</v>
      </c>
      <c r="G306" s="3" t="s">
        <v>25</v>
      </c>
      <c r="H306" s="3" t="s">
        <v>25</v>
      </c>
      <c r="I306" s="6">
        <v>44621</v>
      </c>
      <c r="J306" s="4">
        <v>0</v>
      </c>
      <c r="K306" s="4">
        <v>0</v>
      </c>
      <c r="L306" s="4">
        <v>0.115</v>
      </c>
      <c r="M306" s="4">
        <v>0.115</v>
      </c>
      <c r="N306" s="4">
        <v>0.115</v>
      </c>
      <c r="O306" s="4">
        <v>0.115</v>
      </c>
      <c r="P306" s="4">
        <v>0</v>
      </c>
      <c r="Q306" s="3" t="s">
        <v>26</v>
      </c>
      <c r="R306" s="3">
        <v>0</v>
      </c>
      <c r="S306" s="3" t="s">
        <v>234</v>
      </c>
      <c r="T306" s="3" t="s">
        <v>395</v>
      </c>
      <c r="U306" s="3">
        <v>0</v>
      </c>
      <c r="V306" s="3">
        <v>31</v>
      </c>
      <c r="W306" s="3">
        <v>46</v>
      </c>
    </row>
    <row r="307" spans="1:23" ht="11.25" customHeight="1" x14ac:dyDescent="0.25">
      <c r="A307" s="3" t="s">
        <v>21</v>
      </c>
      <c r="B307" s="3" t="s">
        <v>22</v>
      </c>
      <c r="C307" s="3" t="s">
        <v>23</v>
      </c>
      <c r="D307" s="3" t="s">
        <v>24</v>
      </c>
      <c r="E307" s="3" t="s">
        <v>32</v>
      </c>
      <c r="F307" s="3" t="s">
        <v>25</v>
      </c>
      <c r="G307" s="3" t="s">
        <v>25</v>
      </c>
      <c r="H307" s="3" t="s">
        <v>25</v>
      </c>
      <c r="I307" s="6">
        <v>44287</v>
      </c>
      <c r="J307" s="4">
        <v>0</v>
      </c>
      <c r="K307" s="4">
        <v>0</v>
      </c>
      <c r="L307" s="4">
        <v>7.2460000000000004</v>
      </c>
      <c r="M307" s="4">
        <v>7.2460000000000004</v>
      </c>
      <c r="N307" s="4">
        <v>7.2460000000000004</v>
      </c>
      <c r="O307" s="4">
        <v>7.2460000000000004</v>
      </c>
      <c r="P307" s="4">
        <v>95</v>
      </c>
      <c r="Q307" s="3" t="s">
        <v>26</v>
      </c>
      <c r="R307" s="3">
        <v>0</v>
      </c>
      <c r="S307" s="3" t="s">
        <v>235</v>
      </c>
      <c r="T307" s="3" t="s">
        <v>396</v>
      </c>
      <c r="U307" s="3">
        <v>0</v>
      </c>
      <c r="V307" s="3">
        <v>32</v>
      </c>
      <c r="W307" s="3">
        <v>47</v>
      </c>
    </row>
    <row r="308" spans="1:23" ht="11.25" customHeight="1" x14ac:dyDescent="0.25">
      <c r="A308" s="3" t="s">
        <v>21</v>
      </c>
      <c r="B308" s="3" t="s">
        <v>22</v>
      </c>
      <c r="C308" s="3" t="s">
        <v>23</v>
      </c>
      <c r="D308" s="3" t="s">
        <v>24</v>
      </c>
      <c r="E308" s="3" t="s">
        <v>32</v>
      </c>
      <c r="F308" s="3" t="s">
        <v>25</v>
      </c>
      <c r="G308" s="3" t="s">
        <v>25</v>
      </c>
      <c r="H308" s="3" t="s">
        <v>25</v>
      </c>
      <c r="I308" s="6">
        <v>44317</v>
      </c>
      <c r="J308" s="4">
        <v>0</v>
      </c>
      <c r="K308" s="4">
        <v>0</v>
      </c>
      <c r="L308" s="4">
        <v>3.1480000000000001</v>
      </c>
      <c r="M308" s="4">
        <v>3.1480000000000001</v>
      </c>
      <c r="N308" s="4">
        <v>3.1480000000000001</v>
      </c>
      <c r="O308" s="4">
        <v>3.1480000000000001</v>
      </c>
      <c r="P308" s="4">
        <v>52</v>
      </c>
      <c r="Q308" s="3" t="s">
        <v>26</v>
      </c>
      <c r="R308" s="3">
        <v>0</v>
      </c>
      <c r="S308" s="3" t="s">
        <v>236</v>
      </c>
      <c r="T308" s="3" t="s">
        <v>397</v>
      </c>
      <c r="U308" s="3">
        <v>0</v>
      </c>
      <c r="V308" s="3">
        <v>32</v>
      </c>
      <c r="W308" s="3">
        <v>47</v>
      </c>
    </row>
    <row r="309" spans="1:23" ht="11.25" customHeight="1" x14ac:dyDescent="0.25">
      <c r="A309" s="3" t="s">
        <v>27</v>
      </c>
      <c r="B309" s="3" t="s">
        <v>22</v>
      </c>
      <c r="C309" s="3" t="s">
        <v>23</v>
      </c>
      <c r="D309" s="3" t="s">
        <v>24</v>
      </c>
      <c r="E309" s="3" t="s">
        <v>32</v>
      </c>
      <c r="F309" s="3" t="s">
        <v>25</v>
      </c>
      <c r="G309" s="3" t="s">
        <v>25</v>
      </c>
      <c r="H309" s="3" t="s">
        <v>25</v>
      </c>
      <c r="I309" s="6">
        <v>44317</v>
      </c>
      <c r="J309" s="4">
        <v>0</v>
      </c>
      <c r="K309" s="4">
        <v>0</v>
      </c>
      <c r="L309" s="4">
        <v>0.379</v>
      </c>
      <c r="M309" s="4">
        <v>0.379</v>
      </c>
      <c r="N309" s="4">
        <v>0.379</v>
      </c>
      <c r="O309" s="4">
        <v>0.379</v>
      </c>
      <c r="P309" s="4">
        <v>0</v>
      </c>
      <c r="Q309" s="3" t="s">
        <v>26</v>
      </c>
      <c r="R309" s="3">
        <v>0</v>
      </c>
      <c r="S309" s="3" t="s">
        <v>236</v>
      </c>
      <c r="T309" s="3" t="s">
        <v>397</v>
      </c>
      <c r="U309" s="3">
        <v>0</v>
      </c>
      <c r="V309" s="3">
        <v>32</v>
      </c>
      <c r="W309" s="3">
        <v>47</v>
      </c>
    </row>
    <row r="310" spans="1:23" ht="11.25" customHeight="1" x14ac:dyDescent="0.25">
      <c r="A310" s="3" t="s">
        <v>21</v>
      </c>
      <c r="B310" s="3" t="s">
        <v>22</v>
      </c>
      <c r="C310" s="3" t="s">
        <v>23</v>
      </c>
      <c r="D310" s="3" t="s">
        <v>24</v>
      </c>
      <c r="E310" s="3" t="s">
        <v>32</v>
      </c>
      <c r="F310" s="3" t="s">
        <v>25</v>
      </c>
      <c r="G310" s="3" t="s">
        <v>25</v>
      </c>
      <c r="H310" s="3" t="s">
        <v>25</v>
      </c>
      <c r="I310" s="6">
        <v>44348</v>
      </c>
      <c r="J310" s="4">
        <v>0</v>
      </c>
      <c r="K310" s="4">
        <v>0</v>
      </c>
      <c r="L310" s="4">
        <v>3.1019999999999999</v>
      </c>
      <c r="M310" s="4">
        <v>3.1019999999999999</v>
      </c>
      <c r="N310" s="4">
        <v>3.1019999999999999</v>
      </c>
      <c r="O310" s="4">
        <v>3.1019999999999999</v>
      </c>
      <c r="P310" s="4">
        <v>59</v>
      </c>
      <c r="Q310" s="3" t="s">
        <v>26</v>
      </c>
      <c r="R310" s="3">
        <v>0</v>
      </c>
      <c r="S310" s="3" t="s">
        <v>237</v>
      </c>
      <c r="T310" s="3" t="s">
        <v>398</v>
      </c>
      <c r="U310" s="3">
        <v>0</v>
      </c>
      <c r="V310" s="3">
        <v>32</v>
      </c>
      <c r="W310" s="3">
        <v>47</v>
      </c>
    </row>
    <row r="311" spans="1:23" ht="11.25" customHeight="1" x14ac:dyDescent="0.25">
      <c r="A311" s="3" t="s">
        <v>27</v>
      </c>
      <c r="B311" s="3" t="s">
        <v>22</v>
      </c>
      <c r="C311" s="3" t="s">
        <v>23</v>
      </c>
      <c r="D311" s="3" t="s">
        <v>24</v>
      </c>
      <c r="E311" s="3" t="s">
        <v>32</v>
      </c>
      <c r="F311" s="3" t="s">
        <v>25</v>
      </c>
      <c r="G311" s="3" t="s">
        <v>25</v>
      </c>
      <c r="H311" s="3" t="s">
        <v>25</v>
      </c>
      <c r="I311" s="6">
        <v>44348</v>
      </c>
      <c r="J311" s="4">
        <v>0</v>
      </c>
      <c r="K311" s="4">
        <v>0</v>
      </c>
      <c r="L311" s="4">
        <v>0.26600000000000001</v>
      </c>
      <c r="M311" s="4">
        <v>0.26600000000000001</v>
      </c>
      <c r="N311" s="4">
        <v>0.26600000000000001</v>
      </c>
      <c r="O311" s="4">
        <v>0.26600000000000001</v>
      </c>
      <c r="P311" s="4">
        <v>0</v>
      </c>
      <c r="Q311" s="3" t="s">
        <v>26</v>
      </c>
      <c r="R311" s="3">
        <v>0</v>
      </c>
      <c r="S311" s="3" t="s">
        <v>237</v>
      </c>
      <c r="T311" s="3" t="s">
        <v>398</v>
      </c>
      <c r="U311" s="3">
        <v>0</v>
      </c>
      <c r="V311" s="3">
        <v>32</v>
      </c>
      <c r="W311" s="3">
        <v>47</v>
      </c>
    </row>
    <row r="312" spans="1:23" ht="11.25" customHeight="1" x14ac:dyDescent="0.25">
      <c r="A312" s="3" t="s">
        <v>21</v>
      </c>
      <c r="B312" s="3" t="s">
        <v>22</v>
      </c>
      <c r="C312" s="3" t="s">
        <v>23</v>
      </c>
      <c r="D312" s="3" t="s">
        <v>24</v>
      </c>
      <c r="E312" s="3" t="s">
        <v>32</v>
      </c>
      <c r="F312" s="3" t="s">
        <v>25</v>
      </c>
      <c r="G312" s="3" t="s">
        <v>25</v>
      </c>
      <c r="H312" s="3" t="s">
        <v>25</v>
      </c>
      <c r="I312" s="6">
        <v>44378</v>
      </c>
      <c r="J312" s="4">
        <v>0</v>
      </c>
      <c r="K312" s="4">
        <v>0</v>
      </c>
      <c r="L312" s="4">
        <v>2.0070000000000001</v>
      </c>
      <c r="M312" s="4">
        <v>2.0070000000000001</v>
      </c>
      <c r="N312" s="4">
        <v>2.0070000000000001</v>
      </c>
      <c r="O312" s="4">
        <v>2.0070000000000001</v>
      </c>
      <c r="P312" s="4">
        <v>40</v>
      </c>
      <c r="Q312" s="3" t="s">
        <v>26</v>
      </c>
      <c r="R312" s="3">
        <v>0</v>
      </c>
      <c r="S312" s="3" t="s">
        <v>238</v>
      </c>
      <c r="T312" s="3" t="s">
        <v>399</v>
      </c>
      <c r="U312" s="3">
        <v>0</v>
      </c>
      <c r="V312" s="3">
        <v>32</v>
      </c>
      <c r="W312" s="3">
        <v>47</v>
      </c>
    </row>
    <row r="313" spans="1:23" ht="11.25" customHeight="1" x14ac:dyDescent="0.25">
      <c r="A313" s="3" t="s">
        <v>21</v>
      </c>
      <c r="B313" s="3" t="s">
        <v>22</v>
      </c>
      <c r="C313" s="3" t="s">
        <v>23</v>
      </c>
      <c r="D313" s="3" t="s">
        <v>24</v>
      </c>
      <c r="E313" s="3" t="s">
        <v>32</v>
      </c>
      <c r="F313" s="3" t="s">
        <v>25</v>
      </c>
      <c r="G313" s="3" t="s">
        <v>25</v>
      </c>
      <c r="H313" s="3" t="s">
        <v>25</v>
      </c>
      <c r="I313" s="6">
        <v>44409</v>
      </c>
      <c r="J313" s="4">
        <v>0</v>
      </c>
      <c r="K313" s="4">
        <v>0</v>
      </c>
      <c r="L313" s="4">
        <v>1.996</v>
      </c>
      <c r="M313" s="4">
        <v>1.996</v>
      </c>
      <c r="N313" s="4">
        <v>1.996</v>
      </c>
      <c r="O313" s="4">
        <v>1.996</v>
      </c>
      <c r="P313" s="4">
        <v>44</v>
      </c>
      <c r="Q313" s="3" t="s">
        <v>26</v>
      </c>
      <c r="R313" s="3">
        <v>0</v>
      </c>
      <c r="S313" s="3" t="s">
        <v>239</v>
      </c>
      <c r="T313" s="3" t="s">
        <v>400</v>
      </c>
      <c r="U313" s="3">
        <v>0</v>
      </c>
      <c r="V313" s="3">
        <v>32</v>
      </c>
      <c r="W313" s="3">
        <v>47</v>
      </c>
    </row>
    <row r="314" spans="1:23" ht="11.25" customHeight="1" x14ac:dyDescent="0.25">
      <c r="A314" s="3" t="s">
        <v>21</v>
      </c>
      <c r="B314" s="3" t="s">
        <v>22</v>
      </c>
      <c r="C314" s="3" t="s">
        <v>23</v>
      </c>
      <c r="D314" s="3" t="s">
        <v>24</v>
      </c>
      <c r="E314" s="3" t="s">
        <v>32</v>
      </c>
      <c r="F314" s="3" t="s">
        <v>25</v>
      </c>
      <c r="G314" s="3" t="s">
        <v>25</v>
      </c>
      <c r="H314" s="3" t="s">
        <v>25</v>
      </c>
      <c r="I314" s="6">
        <v>44440</v>
      </c>
      <c r="J314" s="4">
        <v>0</v>
      </c>
      <c r="K314" s="4">
        <v>0</v>
      </c>
      <c r="L314" s="4">
        <v>4.6749999999999998</v>
      </c>
      <c r="M314" s="4">
        <v>4.6749999999999998</v>
      </c>
      <c r="N314" s="4">
        <v>4.6749999999999998</v>
      </c>
      <c r="O314" s="4">
        <v>4.6749999999999998</v>
      </c>
      <c r="P314" s="4">
        <v>84</v>
      </c>
      <c r="Q314" s="3" t="s">
        <v>26</v>
      </c>
      <c r="R314" s="3">
        <v>0</v>
      </c>
      <c r="S314" s="3" t="s">
        <v>240</v>
      </c>
      <c r="T314" s="3" t="s">
        <v>401</v>
      </c>
      <c r="U314" s="3">
        <v>0</v>
      </c>
      <c r="V314" s="3">
        <v>32</v>
      </c>
      <c r="W314" s="3">
        <v>47</v>
      </c>
    </row>
    <row r="315" spans="1:23" ht="11.25" customHeight="1" x14ac:dyDescent="0.25">
      <c r="A315" s="3" t="s">
        <v>21</v>
      </c>
      <c r="B315" s="3" t="s">
        <v>22</v>
      </c>
      <c r="C315" s="3" t="s">
        <v>23</v>
      </c>
      <c r="D315" s="3" t="s">
        <v>24</v>
      </c>
      <c r="E315" s="3" t="s">
        <v>32</v>
      </c>
      <c r="F315" s="3" t="s">
        <v>25</v>
      </c>
      <c r="G315" s="3" t="s">
        <v>25</v>
      </c>
      <c r="H315" s="3" t="s">
        <v>25</v>
      </c>
      <c r="I315" s="6">
        <v>44470</v>
      </c>
      <c r="J315" s="4">
        <v>0</v>
      </c>
      <c r="K315" s="4">
        <v>0</v>
      </c>
      <c r="L315" s="4">
        <v>4.0620000000000003</v>
      </c>
      <c r="M315" s="4">
        <v>4.0620000000000003</v>
      </c>
      <c r="N315" s="4">
        <v>4.0620000000000003</v>
      </c>
      <c r="O315" s="4">
        <v>4.0620000000000003</v>
      </c>
      <c r="P315" s="4">
        <v>71</v>
      </c>
      <c r="Q315" s="3" t="s">
        <v>26</v>
      </c>
      <c r="R315" s="3">
        <v>0</v>
      </c>
      <c r="S315" s="3" t="s">
        <v>241</v>
      </c>
      <c r="T315" s="3" t="s">
        <v>402</v>
      </c>
      <c r="U315" s="3">
        <v>0</v>
      </c>
      <c r="V315" s="3">
        <v>32</v>
      </c>
      <c r="W315" s="3">
        <v>47</v>
      </c>
    </row>
    <row r="316" spans="1:23" ht="11.25" customHeight="1" x14ac:dyDescent="0.25">
      <c r="A316" s="3" t="s">
        <v>21</v>
      </c>
      <c r="B316" s="3" t="s">
        <v>22</v>
      </c>
      <c r="C316" s="3" t="s">
        <v>23</v>
      </c>
      <c r="D316" s="3" t="s">
        <v>24</v>
      </c>
      <c r="E316" s="3" t="s">
        <v>32</v>
      </c>
      <c r="F316" s="3" t="s">
        <v>25</v>
      </c>
      <c r="G316" s="3" t="s">
        <v>25</v>
      </c>
      <c r="H316" s="3" t="s">
        <v>25</v>
      </c>
      <c r="I316" s="6">
        <v>44501</v>
      </c>
      <c r="J316" s="4">
        <v>0</v>
      </c>
      <c r="K316" s="4">
        <v>0</v>
      </c>
      <c r="L316" s="4">
        <v>4.5039999999999996</v>
      </c>
      <c r="M316" s="4">
        <v>4.5039999999999996</v>
      </c>
      <c r="N316" s="4">
        <v>4.5039999999999996</v>
      </c>
      <c r="O316" s="4">
        <v>4.5039999999999996</v>
      </c>
      <c r="P316" s="4">
        <v>81</v>
      </c>
      <c r="Q316" s="3" t="s">
        <v>26</v>
      </c>
      <c r="R316" s="3">
        <v>0</v>
      </c>
      <c r="S316" s="3" t="s">
        <v>242</v>
      </c>
      <c r="T316" s="3" t="s">
        <v>403</v>
      </c>
      <c r="U316" s="3">
        <v>0</v>
      </c>
      <c r="V316" s="3">
        <v>32</v>
      </c>
      <c r="W316" s="3">
        <v>47</v>
      </c>
    </row>
    <row r="317" spans="1:23" ht="11.25" customHeight="1" x14ac:dyDescent="0.25">
      <c r="A317" s="3" t="s">
        <v>21</v>
      </c>
      <c r="B317" s="3" t="s">
        <v>22</v>
      </c>
      <c r="C317" s="3" t="s">
        <v>23</v>
      </c>
      <c r="D317" s="3" t="s">
        <v>24</v>
      </c>
      <c r="E317" s="3" t="s">
        <v>32</v>
      </c>
      <c r="F317" s="3" t="s">
        <v>25</v>
      </c>
      <c r="G317" s="3" t="s">
        <v>25</v>
      </c>
      <c r="H317" s="3" t="s">
        <v>25</v>
      </c>
      <c r="I317" s="6">
        <v>44531</v>
      </c>
      <c r="J317" s="4">
        <v>0</v>
      </c>
      <c r="K317" s="4">
        <v>0</v>
      </c>
      <c r="L317" s="4">
        <v>5.1580000000000004</v>
      </c>
      <c r="M317" s="4">
        <v>5.1580000000000004</v>
      </c>
      <c r="N317" s="4">
        <v>5.1580000000000004</v>
      </c>
      <c r="O317" s="4">
        <v>5.1580000000000004</v>
      </c>
      <c r="P317" s="4">
        <v>91</v>
      </c>
      <c r="Q317" s="3" t="s">
        <v>26</v>
      </c>
      <c r="R317" s="3">
        <v>0</v>
      </c>
      <c r="S317" s="3" t="s">
        <v>243</v>
      </c>
      <c r="T317" s="3" t="s">
        <v>404</v>
      </c>
      <c r="U317" s="3">
        <v>0</v>
      </c>
      <c r="V317" s="3">
        <v>32</v>
      </c>
      <c r="W317" s="3">
        <v>47</v>
      </c>
    </row>
    <row r="318" spans="1:23" ht="11.25" customHeight="1" x14ac:dyDescent="0.25">
      <c r="A318" s="3" t="s">
        <v>21</v>
      </c>
      <c r="B318" s="3" t="s">
        <v>22</v>
      </c>
      <c r="C318" s="3" t="s">
        <v>23</v>
      </c>
      <c r="D318" s="3" t="s">
        <v>24</v>
      </c>
      <c r="E318" s="3" t="s">
        <v>32</v>
      </c>
      <c r="F318" s="3" t="s">
        <v>25</v>
      </c>
      <c r="G318" s="3" t="s">
        <v>25</v>
      </c>
      <c r="H318" s="3" t="s">
        <v>25</v>
      </c>
      <c r="I318" s="6">
        <v>44562</v>
      </c>
      <c r="J318" s="4">
        <v>0</v>
      </c>
      <c r="K318" s="4">
        <v>0</v>
      </c>
      <c r="L318" s="4">
        <v>9.8369999999999997</v>
      </c>
      <c r="M318" s="4">
        <v>9.8369999999999997</v>
      </c>
      <c r="N318" s="4">
        <v>9.8369999999999997</v>
      </c>
      <c r="O318" s="4">
        <v>9.8369999999999997</v>
      </c>
      <c r="P318" s="4">
        <v>141</v>
      </c>
      <c r="Q318" s="3" t="s">
        <v>26</v>
      </c>
      <c r="R318" s="3">
        <v>0</v>
      </c>
      <c r="S318" s="3" t="s">
        <v>244</v>
      </c>
      <c r="T318" s="3" t="s">
        <v>405</v>
      </c>
      <c r="U318" s="3">
        <v>0</v>
      </c>
      <c r="V318" s="3">
        <v>32</v>
      </c>
      <c r="W318" s="3">
        <v>47</v>
      </c>
    </row>
    <row r="319" spans="1:23" ht="11.25" customHeight="1" x14ac:dyDescent="0.25">
      <c r="A319" s="3" t="s">
        <v>21</v>
      </c>
      <c r="B319" s="3" t="s">
        <v>22</v>
      </c>
      <c r="C319" s="3" t="s">
        <v>23</v>
      </c>
      <c r="D319" s="3" t="s">
        <v>24</v>
      </c>
      <c r="E319" s="3" t="s">
        <v>32</v>
      </c>
      <c r="F319" s="3" t="s">
        <v>25</v>
      </c>
      <c r="G319" s="3" t="s">
        <v>25</v>
      </c>
      <c r="H319" s="3" t="s">
        <v>25</v>
      </c>
      <c r="I319" s="6">
        <v>44593</v>
      </c>
      <c r="J319" s="4">
        <v>0</v>
      </c>
      <c r="K319" s="4">
        <v>0</v>
      </c>
      <c r="L319" s="4">
        <v>14.343999999999999</v>
      </c>
      <c r="M319" s="4">
        <v>14.343999999999999</v>
      </c>
      <c r="N319" s="4">
        <v>14.343999999999999</v>
      </c>
      <c r="O319" s="4">
        <v>14.343999999999999</v>
      </c>
      <c r="P319" s="4">
        <v>186</v>
      </c>
      <c r="Q319" s="3" t="s">
        <v>26</v>
      </c>
      <c r="R319" s="3">
        <v>0</v>
      </c>
      <c r="S319" s="3" t="s">
        <v>245</v>
      </c>
      <c r="T319" s="3" t="s">
        <v>406</v>
      </c>
      <c r="U319" s="3">
        <v>0</v>
      </c>
      <c r="V319" s="3">
        <v>32</v>
      </c>
      <c r="W319" s="3">
        <v>47</v>
      </c>
    </row>
    <row r="320" spans="1:23" ht="11.25" customHeight="1" x14ac:dyDescent="0.25">
      <c r="A320" s="3" t="s">
        <v>21</v>
      </c>
      <c r="B320" s="3" t="s">
        <v>22</v>
      </c>
      <c r="C320" s="3" t="s">
        <v>23</v>
      </c>
      <c r="D320" s="3" t="s">
        <v>24</v>
      </c>
      <c r="E320" s="3" t="s">
        <v>32</v>
      </c>
      <c r="F320" s="3" t="s">
        <v>25</v>
      </c>
      <c r="G320" s="3" t="s">
        <v>25</v>
      </c>
      <c r="H320" s="3" t="s">
        <v>25</v>
      </c>
      <c r="I320" s="6">
        <v>44621</v>
      </c>
      <c r="J320" s="4">
        <v>0</v>
      </c>
      <c r="K320" s="4">
        <v>0</v>
      </c>
      <c r="L320" s="4">
        <v>21.021999999999998</v>
      </c>
      <c r="M320" s="4">
        <v>21.021999999999998</v>
      </c>
      <c r="N320" s="4">
        <v>21.021999999999998</v>
      </c>
      <c r="O320" s="4">
        <v>21.021999999999998</v>
      </c>
      <c r="P320" s="4">
        <v>271</v>
      </c>
      <c r="Q320" s="3" t="s">
        <v>26</v>
      </c>
      <c r="R320" s="3">
        <v>0</v>
      </c>
      <c r="S320" s="3" t="s">
        <v>246</v>
      </c>
      <c r="T320" s="3" t="s">
        <v>407</v>
      </c>
      <c r="U320" s="3">
        <v>0</v>
      </c>
      <c r="V320" s="3">
        <v>32</v>
      </c>
      <c r="W320" s="3">
        <v>47</v>
      </c>
    </row>
    <row r="321" spans="1:23" ht="11.25" customHeight="1" x14ac:dyDescent="0.25">
      <c r="A321" s="3" t="s">
        <v>21</v>
      </c>
      <c r="B321" s="3" t="s">
        <v>43</v>
      </c>
      <c r="C321" s="3" t="s">
        <v>23</v>
      </c>
      <c r="D321" s="3" t="s">
        <v>44</v>
      </c>
      <c r="E321" s="3" t="s">
        <v>52</v>
      </c>
      <c r="F321" s="3" t="s">
        <v>53</v>
      </c>
      <c r="G321" s="3" t="s">
        <v>25</v>
      </c>
      <c r="H321" s="3" t="s">
        <v>25</v>
      </c>
      <c r="I321" s="6">
        <v>44287</v>
      </c>
      <c r="J321" s="4">
        <v>0</v>
      </c>
      <c r="K321" s="4">
        <v>0</v>
      </c>
      <c r="L321" s="4">
        <v>5.9669999999999996</v>
      </c>
      <c r="M321" s="4">
        <v>5.9669999999999996</v>
      </c>
      <c r="N321" s="4">
        <v>5.9669999999999996</v>
      </c>
      <c r="O321" s="4">
        <v>5.9669999999999996</v>
      </c>
      <c r="P321" s="4">
        <v>0</v>
      </c>
      <c r="Q321" s="3" t="s">
        <v>26</v>
      </c>
      <c r="R321" s="3">
        <v>0</v>
      </c>
      <c r="S321" s="3" t="s">
        <v>247</v>
      </c>
      <c r="T321" s="3" t="s">
        <v>408</v>
      </c>
      <c r="U321" s="3">
        <v>0</v>
      </c>
      <c r="V321" s="3">
        <v>9</v>
      </c>
      <c r="W321" s="3">
        <v>56</v>
      </c>
    </row>
    <row r="322" spans="1:23" ht="11.25" customHeight="1" x14ac:dyDescent="0.25">
      <c r="A322" s="3" t="s">
        <v>28</v>
      </c>
      <c r="B322" s="3" t="s">
        <v>43</v>
      </c>
      <c r="C322" s="3" t="s">
        <v>23</v>
      </c>
      <c r="D322" s="3" t="s">
        <v>44</v>
      </c>
      <c r="E322" s="3" t="s">
        <v>52</v>
      </c>
      <c r="F322" s="3" t="s">
        <v>53</v>
      </c>
      <c r="G322" s="3" t="s">
        <v>25</v>
      </c>
      <c r="H322" s="3" t="s">
        <v>25</v>
      </c>
      <c r="I322" s="6">
        <v>44317</v>
      </c>
      <c r="J322" s="4">
        <v>0</v>
      </c>
      <c r="K322" s="4">
        <v>0</v>
      </c>
      <c r="L322" s="4">
        <v>0.1</v>
      </c>
      <c r="M322" s="4">
        <v>0.1</v>
      </c>
      <c r="N322" s="4">
        <v>0.1</v>
      </c>
      <c r="O322" s="4">
        <v>0.1</v>
      </c>
      <c r="P322" s="4">
        <v>0</v>
      </c>
      <c r="Q322" s="3" t="s">
        <v>26</v>
      </c>
      <c r="R322" s="3">
        <v>0</v>
      </c>
      <c r="S322" s="3" t="s">
        <v>248</v>
      </c>
      <c r="T322" s="3" t="s">
        <v>409</v>
      </c>
      <c r="U322" s="3">
        <v>0</v>
      </c>
      <c r="V322" s="3">
        <v>9</v>
      </c>
      <c r="W322" s="3">
        <v>56</v>
      </c>
    </row>
    <row r="323" spans="1:23" ht="11.25" customHeight="1" x14ac:dyDescent="0.25">
      <c r="A323" s="3" t="s">
        <v>28</v>
      </c>
      <c r="B323" s="3" t="s">
        <v>43</v>
      </c>
      <c r="C323" s="3" t="s">
        <v>23</v>
      </c>
      <c r="D323" s="3" t="s">
        <v>44</v>
      </c>
      <c r="E323" s="3" t="s">
        <v>52</v>
      </c>
      <c r="F323" s="3" t="s">
        <v>53</v>
      </c>
      <c r="G323" s="3" t="s">
        <v>25</v>
      </c>
      <c r="H323" s="3" t="s">
        <v>25</v>
      </c>
      <c r="I323" s="6">
        <v>44348</v>
      </c>
      <c r="J323" s="4">
        <v>0</v>
      </c>
      <c r="K323" s="4">
        <v>0</v>
      </c>
      <c r="L323" s="4">
        <v>1.641</v>
      </c>
      <c r="M323" s="4">
        <v>1.641</v>
      </c>
      <c r="N323" s="4">
        <v>1.641</v>
      </c>
      <c r="O323" s="4">
        <v>1.641</v>
      </c>
      <c r="P323" s="4">
        <v>0</v>
      </c>
      <c r="Q323" s="3" t="s">
        <v>26</v>
      </c>
      <c r="R323" s="3">
        <v>0</v>
      </c>
      <c r="S323" s="3" t="s">
        <v>249</v>
      </c>
      <c r="T323" s="3" t="s">
        <v>410</v>
      </c>
      <c r="U323" s="3">
        <v>0</v>
      </c>
      <c r="V323" s="3">
        <v>9</v>
      </c>
      <c r="W323" s="3">
        <v>56</v>
      </c>
    </row>
    <row r="324" spans="1:23" ht="11.25" customHeight="1" x14ac:dyDescent="0.25">
      <c r="A324" s="3" t="s">
        <v>28</v>
      </c>
      <c r="B324" s="3" t="s">
        <v>43</v>
      </c>
      <c r="C324" s="3" t="s">
        <v>23</v>
      </c>
      <c r="D324" s="3" t="s">
        <v>44</v>
      </c>
      <c r="E324" s="3" t="s">
        <v>52</v>
      </c>
      <c r="F324" s="3" t="s">
        <v>53</v>
      </c>
      <c r="G324" s="3" t="s">
        <v>25</v>
      </c>
      <c r="H324" s="3" t="s">
        <v>25</v>
      </c>
      <c r="I324" s="6">
        <v>44378</v>
      </c>
      <c r="J324" s="4">
        <v>0</v>
      </c>
      <c r="K324" s="4">
        <v>0</v>
      </c>
      <c r="L324" s="4">
        <v>2.6859999999999999</v>
      </c>
      <c r="M324" s="4">
        <v>2.6859999999999999</v>
      </c>
      <c r="N324" s="4">
        <v>2.6859999999999999</v>
      </c>
      <c r="O324" s="4">
        <v>2.6859999999999999</v>
      </c>
      <c r="P324" s="4">
        <v>0</v>
      </c>
      <c r="Q324" s="3" t="s">
        <v>26</v>
      </c>
      <c r="R324" s="3">
        <v>0</v>
      </c>
      <c r="S324" s="3" t="s">
        <v>250</v>
      </c>
      <c r="T324" s="3" t="s">
        <v>411</v>
      </c>
      <c r="U324" s="3">
        <v>0</v>
      </c>
      <c r="V324" s="3">
        <v>9</v>
      </c>
      <c r="W324" s="3">
        <v>56</v>
      </c>
    </row>
    <row r="325" spans="1:23" ht="11.25" customHeight="1" x14ac:dyDescent="0.25">
      <c r="A325" s="3" t="s">
        <v>28</v>
      </c>
      <c r="B325" s="3" t="s">
        <v>43</v>
      </c>
      <c r="C325" s="3" t="s">
        <v>23</v>
      </c>
      <c r="D325" s="3" t="s">
        <v>44</v>
      </c>
      <c r="E325" s="3" t="s">
        <v>52</v>
      </c>
      <c r="F325" s="3" t="s">
        <v>53</v>
      </c>
      <c r="G325" s="3" t="s">
        <v>25</v>
      </c>
      <c r="H325" s="3" t="s">
        <v>25</v>
      </c>
      <c r="I325" s="6">
        <v>44409</v>
      </c>
      <c r="J325" s="4">
        <v>0</v>
      </c>
      <c r="K325" s="4">
        <v>0</v>
      </c>
      <c r="L325" s="4">
        <v>2.9529999999999998</v>
      </c>
      <c r="M325" s="4">
        <v>2.9529999999999998</v>
      </c>
      <c r="N325" s="4">
        <v>2.9529999999999998</v>
      </c>
      <c r="O325" s="4">
        <v>2.9529999999999998</v>
      </c>
      <c r="P325" s="4">
        <v>0</v>
      </c>
      <c r="Q325" s="3" t="s">
        <v>26</v>
      </c>
      <c r="R325" s="3">
        <v>0</v>
      </c>
      <c r="S325" s="3" t="s">
        <v>251</v>
      </c>
      <c r="T325" s="3" t="s">
        <v>412</v>
      </c>
      <c r="U325" s="3">
        <v>0</v>
      </c>
      <c r="V325" s="3">
        <v>9</v>
      </c>
      <c r="W325" s="3">
        <v>56</v>
      </c>
    </row>
    <row r="326" spans="1:23" ht="11.25" customHeight="1" x14ac:dyDescent="0.25">
      <c r="A326" s="3" t="s">
        <v>28</v>
      </c>
      <c r="B326" s="3" t="s">
        <v>43</v>
      </c>
      <c r="C326" s="3" t="s">
        <v>23</v>
      </c>
      <c r="D326" s="3" t="s">
        <v>44</v>
      </c>
      <c r="E326" s="3" t="s">
        <v>52</v>
      </c>
      <c r="F326" s="3" t="s">
        <v>53</v>
      </c>
      <c r="G326" s="3" t="s">
        <v>25</v>
      </c>
      <c r="H326" s="3" t="s">
        <v>25</v>
      </c>
      <c r="I326" s="6">
        <v>44470</v>
      </c>
      <c r="J326" s="4">
        <v>0</v>
      </c>
      <c r="K326" s="4">
        <v>0</v>
      </c>
      <c r="L326" s="4">
        <v>0.34699999999999998</v>
      </c>
      <c r="M326" s="4">
        <v>0.34699999999999998</v>
      </c>
      <c r="N326" s="4">
        <v>0.34699999999999998</v>
      </c>
      <c r="O326" s="4">
        <v>0.34699999999999998</v>
      </c>
      <c r="P326" s="4">
        <v>0</v>
      </c>
      <c r="Q326" s="3" t="s">
        <v>26</v>
      </c>
      <c r="R326" s="3">
        <v>0</v>
      </c>
      <c r="S326" s="3" t="s">
        <v>252</v>
      </c>
      <c r="T326" s="3" t="s">
        <v>413</v>
      </c>
      <c r="U326" s="3">
        <v>0</v>
      </c>
      <c r="V326" s="3">
        <v>9</v>
      </c>
      <c r="W326" s="3">
        <v>56</v>
      </c>
    </row>
    <row r="327" spans="1:23" ht="11.25" customHeight="1" x14ac:dyDescent="0.25">
      <c r="A327" s="3" t="s">
        <v>28</v>
      </c>
      <c r="B327" s="3" t="s">
        <v>43</v>
      </c>
      <c r="C327" s="3" t="s">
        <v>23</v>
      </c>
      <c r="D327" s="3" t="s">
        <v>44</v>
      </c>
      <c r="E327" s="3" t="s">
        <v>52</v>
      </c>
      <c r="F327" s="3" t="s">
        <v>53</v>
      </c>
      <c r="G327" s="3" t="s">
        <v>25</v>
      </c>
      <c r="H327" s="3" t="s">
        <v>25</v>
      </c>
      <c r="I327" s="6">
        <v>44562</v>
      </c>
      <c r="J327" s="4">
        <v>0</v>
      </c>
      <c r="K327" s="4">
        <v>0</v>
      </c>
      <c r="L327" s="4">
        <v>0.78900000000000003</v>
      </c>
      <c r="M327" s="4">
        <v>0.78900000000000003</v>
      </c>
      <c r="N327" s="4">
        <v>0.78900000000000003</v>
      </c>
      <c r="O327" s="4">
        <v>0.78900000000000003</v>
      </c>
      <c r="P327" s="4">
        <v>0</v>
      </c>
      <c r="Q327" s="3" t="s">
        <v>26</v>
      </c>
      <c r="R327" s="3">
        <v>0</v>
      </c>
      <c r="S327" s="3" t="s">
        <v>253</v>
      </c>
      <c r="T327" s="3" t="s">
        <v>414</v>
      </c>
      <c r="U327" s="3">
        <v>0</v>
      </c>
      <c r="V327" s="3">
        <v>9</v>
      </c>
      <c r="W327" s="3">
        <v>56</v>
      </c>
    </row>
    <row r="328" spans="1:23" ht="11.25" customHeight="1" x14ac:dyDescent="0.25">
      <c r="A328" s="3" t="s">
        <v>28</v>
      </c>
      <c r="B328" s="3" t="s">
        <v>43</v>
      </c>
      <c r="C328" s="3" t="s">
        <v>23</v>
      </c>
      <c r="D328" s="3" t="s">
        <v>44</v>
      </c>
      <c r="E328" s="3" t="s">
        <v>52</v>
      </c>
      <c r="F328" s="3" t="s">
        <v>53</v>
      </c>
      <c r="G328" s="3" t="s">
        <v>25</v>
      </c>
      <c r="H328" s="3" t="s">
        <v>25</v>
      </c>
      <c r="I328" s="6">
        <v>44621</v>
      </c>
      <c r="J328" s="4">
        <v>0</v>
      </c>
      <c r="K328" s="4">
        <v>0</v>
      </c>
      <c r="L328" s="4">
        <v>0.1</v>
      </c>
      <c r="M328" s="4">
        <v>0.1</v>
      </c>
      <c r="N328" s="4">
        <v>0.1</v>
      </c>
      <c r="O328" s="4">
        <v>0.1</v>
      </c>
      <c r="P328" s="4">
        <v>0</v>
      </c>
      <c r="Q328" s="3" t="s">
        <v>26</v>
      </c>
      <c r="R328" s="3">
        <v>0</v>
      </c>
      <c r="S328" s="3" t="s">
        <v>254</v>
      </c>
      <c r="T328" s="3" t="s">
        <v>415</v>
      </c>
      <c r="U328" s="3">
        <v>0</v>
      </c>
      <c r="V328" s="3">
        <v>9</v>
      </c>
      <c r="W328" s="3">
        <v>56</v>
      </c>
    </row>
    <row r="329" spans="1:23" ht="11.25" customHeight="1" x14ac:dyDescent="0.25">
      <c r="A329" s="3" t="s">
        <v>21</v>
      </c>
      <c r="B329" s="3" t="s">
        <v>43</v>
      </c>
      <c r="C329" s="3" t="s">
        <v>23</v>
      </c>
      <c r="D329" s="3" t="s">
        <v>44</v>
      </c>
      <c r="E329" s="3" t="s">
        <v>52</v>
      </c>
      <c r="F329" s="3" t="s">
        <v>54</v>
      </c>
      <c r="G329" s="3" t="s">
        <v>25</v>
      </c>
      <c r="H329" s="3" t="s">
        <v>25</v>
      </c>
      <c r="I329" s="6">
        <v>44287</v>
      </c>
      <c r="J329" s="4">
        <v>0</v>
      </c>
      <c r="K329" s="4">
        <v>0</v>
      </c>
      <c r="L329" s="4">
        <v>9.3239999999999998</v>
      </c>
      <c r="M329" s="4">
        <v>3.7296</v>
      </c>
      <c r="N329" s="4">
        <v>9.3239999999999998</v>
      </c>
      <c r="O329" s="4">
        <v>3.7296</v>
      </c>
      <c r="P329" s="4">
        <v>0</v>
      </c>
      <c r="Q329" s="3" t="s">
        <v>26</v>
      </c>
      <c r="R329" s="3">
        <v>0</v>
      </c>
      <c r="S329" s="3" t="s">
        <v>247</v>
      </c>
      <c r="T329" s="3" t="s">
        <v>408</v>
      </c>
      <c r="U329" s="3">
        <v>0</v>
      </c>
      <c r="V329" s="3">
        <v>9</v>
      </c>
      <c r="W329" s="3">
        <v>56</v>
      </c>
    </row>
    <row r="330" spans="1:23" ht="11.25" customHeight="1" x14ac:dyDescent="0.25">
      <c r="A330" s="3" t="s">
        <v>28</v>
      </c>
      <c r="B330" s="3" t="s">
        <v>43</v>
      </c>
      <c r="C330" s="3" t="s">
        <v>23</v>
      </c>
      <c r="D330" s="3" t="s">
        <v>44</v>
      </c>
      <c r="E330" s="3" t="s">
        <v>52</v>
      </c>
      <c r="F330" s="3" t="s">
        <v>54</v>
      </c>
      <c r="G330" s="3" t="s">
        <v>25</v>
      </c>
      <c r="H330" s="3" t="s">
        <v>25</v>
      </c>
      <c r="I330" s="6">
        <v>44348</v>
      </c>
      <c r="J330" s="4">
        <v>0</v>
      </c>
      <c r="K330" s="4">
        <v>0</v>
      </c>
      <c r="L330" s="4">
        <v>4.3010000000000002</v>
      </c>
      <c r="M330" s="4">
        <v>1.7203999999999999</v>
      </c>
      <c r="N330" s="4">
        <v>4.3010000000000002</v>
      </c>
      <c r="O330" s="4">
        <v>1.7203999999999999</v>
      </c>
      <c r="P330" s="4">
        <v>0</v>
      </c>
      <c r="Q330" s="3" t="s">
        <v>26</v>
      </c>
      <c r="R330" s="3">
        <v>0</v>
      </c>
      <c r="S330" s="3" t="s">
        <v>249</v>
      </c>
      <c r="T330" s="3" t="s">
        <v>410</v>
      </c>
      <c r="U330" s="3">
        <v>0</v>
      </c>
      <c r="V330" s="3">
        <v>9</v>
      </c>
      <c r="W330" s="3">
        <v>56</v>
      </c>
    </row>
    <row r="331" spans="1:23" ht="11.25" customHeight="1" x14ac:dyDescent="0.25">
      <c r="A331" s="3" t="s">
        <v>28</v>
      </c>
      <c r="B331" s="3" t="s">
        <v>43</v>
      </c>
      <c r="C331" s="3" t="s">
        <v>23</v>
      </c>
      <c r="D331" s="3" t="s">
        <v>44</v>
      </c>
      <c r="E331" s="3" t="s">
        <v>52</v>
      </c>
      <c r="F331" s="3" t="s">
        <v>54</v>
      </c>
      <c r="G331" s="3" t="s">
        <v>25</v>
      </c>
      <c r="H331" s="3" t="s">
        <v>25</v>
      </c>
      <c r="I331" s="6">
        <v>44378</v>
      </c>
      <c r="J331" s="4">
        <v>0</v>
      </c>
      <c r="K331" s="4">
        <v>0</v>
      </c>
      <c r="L331" s="4">
        <v>3.6890000000000001</v>
      </c>
      <c r="M331" s="4">
        <v>1.4756</v>
      </c>
      <c r="N331" s="4">
        <v>3.6890000000000001</v>
      </c>
      <c r="O331" s="4">
        <v>1.4756</v>
      </c>
      <c r="P331" s="4">
        <v>0</v>
      </c>
      <c r="Q331" s="3" t="s">
        <v>26</v>
      </c>
      <c r="R331" s="3">
        <v>0</v>
      </c>
      <c r="S331" s="3" t="s">
        <v>250</v>
      </c>
      <c r="T331" s="3" t="s">
        <v>411</v>
      </c>
      <c r="U331" s="3">
        <v>0</v>
      </c>
      <c r="V331" s="3">
        <v>9</v>
      </c>
      <c r="W331" s="3">
        <v>56</v>
      </c>
    </row>
    <row r="332" spans="1:23" ht="11.25" customHeight="1" x14ac:dyDescent="0.25">
      <c r="A332" s="3" t="s">
        <v>28</v>
      </c>
      <c r="B332" s="3" t="s">
        <v>43</v>
      </c>
      <c r="C332" s="3" t="s">
        <v>23</v>
      </c>
      <c r="D332" s="3" t="s">
        <v>44</v>
      </c>
      <c r="E332" s="3" t="s">
        <v>52</v>
      </c>
      <c r="F332" s="3" t="s">
        <v>54</v>
      </c>
      <c r="G332" s="3" t="s">
        <v>25</v>
      </c>
      <c r="H332" s="3" t="s">
        <v>25</v>
      </c>
      <c r="I332" s="6">
        <v>44409</v>
      </c>
      <c r="J332" s="4">
        <v>0</v>
      </c>
      <c r="K332" s="4">
        <v>0</v>
      </c>
      <c r="L332" s="4">
        <v>4.5810000000000004</v>
      </c>
      <c r="M332" s="4">
        <v>1.8324</v>
      </c>
      <c r="N332" s="4">
        <v>4.5810000000000004</v>
      </c>
      <c r="O332" s="4">
        <v>1.8324</v>
      </c>
      <c r="P332" s="4">
        <v>0</v>
      </c>
      <c r="Q332" s="3" t="s">
        <v>26</v>
      </c>
      <c r="R332" s="3">
        <v>0</v>
      </c>
      <c r="S332" s="3" t="s">
        <v>251</v>
      </c>
      <c r="T332" s="3" t="s">
        <v>412</v>
      </c>
      <c r="U332" s="3">
        <v>0</v>
      </c>
      <c r="V332" s="3">
        <v>9</v>
      </c>
      <c r="W332" s="3">
        <v>56</v>
      </c>
    </row>
    <row r="333" spans="1:23" ht="11.25" customHeight="1" x14ac:dyDescent="0.25">
      <c r="A333" s="3" t="s">
        <v>28</v>
      </c>
      <c r="B333" s="3" t="s">
        <v>43</v>
      </c>
      <c r="C333" s="3" t="s">
        <v>23</v>
      </c>
      <c r="D333" s="3" t="s">
        <v>44</v>
      </c>
      <c r="E333" s="3" t="s">
        <v>52</v>
      </c>
      <c r="F333" s="3" t="s">
        <v>54</v>
      </c>
      <c r="G333" s="3" t="s">
        <v>25</v>
      </c>
      <c r="H333" s="3" t="s">
        <v>25</v>
      </c>
      <c r="I333" s="6">
        <v>44440</v>
      </c>
      <c r="J333" s="4">
        <v>0</v>
      </c>
      <c r="K333" s="4">
        <v>0</v>
      </c>
      <c r="L333" s="4">
        <v>4.3339999999999996</v>
      </c>
      <c r="M333" s="4">
        <v>1.7336</v>
      </c>
      <c r="N333" s="4">
        <v>4.3339999999999996</v>
      </c>
      <c r="O333" s="4">
        <v>1.7336</v>
      </c>
      <c r="P333" s="4">
        <v>0</v>
      </c>
      <c r="Q333" s="3" t="s">
        <v>26</v>
      </c>
      <c r="R333" s="3">
        <v>0</v>
      </c>
      <c r="S333" s="3" t="s">
        <v>255</v>
      </c>
      <c r="T333" s="3" t="s">
        <v>416</v>
      </c>
      <c r="U333" s="3">
        <v>0</v>
      </c>
      <c r="V333" s="3">
        <v>9</v>
      </c>
      <c r="W333" s="3">
        <v>56</v>
      </c>
    </row>
    <row r="334" spans="1:23" ht="11.25" customHeight="1" x14ac:dyDescent="0.25">
      <c r="A334" s="3" t="s">
        <v>28</v>
      </c>
      <c r="B334" s="3" t="s">
        <v>43</v>
      </c>
      <c r="C334" s="3" t="s">
        <v>23</v>
      </c>
      <c r="D334" s="3" t="s">
        <v>44</v>
      </c>
      <c r="E334" s="3" t="s">
        <v>52</v>
      </c>
      <c r="F334" s="3" t="s">
        <v>54</v>
      </c>
      <c r="G334" s="3" t="s">
        <v>25</v>
      </c>
      <c r="H334" s="3" t="s">
        <v>25</v>
      </c>
      <c r="I334" s="6">
        <v>44470</v>
      </c>
      <c r="J334" s="4">
        <v>0</v>
      </c>
      <c r="K334" s="4">
        <v>0</v>
      </c>
      <c r="L334" s="4">
        <v>2.9340000000000002</v>
      </c>
      <c r="M334" s="4">
        <v>1.1736</v>
      </c>
      <c r="N334" s="4">
        <v>2.9340000000000002</v>
      </c>
      <c r="O334" s="4">
        <v>1.1736</v>
      </c>
      <c r="P334" s="4">
        <v>0</v>
      </c>
      <c r="Q334" s="3" t="s">
        <v>26</v>
      </c>
      <c r="R334" s="3">
        <v>0</v>
      </c>
      <c r="S334" s="3" t="s">
        <v>252</v>
      </c>
      <c r="T334" s="3" t="s">
        <v>413</v>
      </c>
      <c r="U334" s="3">
        <v>0</v>
      </c>
      <c r="V334" s="3">
        <v>9</v>
      </c>
      <c r="W334" s="3">
        <v>56</v>
      </c>
    </row>
    <row r="335" spans="1:23" ht="11.25" customHeight="1" x14ac:dyDescent="0.25">
      <c r="A335" s="3" t="s">
        <v>28</v>
      </c>
      <c r="B335" s="3" t="s">
        <v>43</v>
      </c>
      <c r="C335" s="3" t="s">
        <v>23</v>
      </c>
      <c r="D335" s="3" t="s">
        <v>44</v>
      </c>
      <c r="E335" s="3" t="s">
        <v>52</v>
      </c>
      <c r="F335" s="3" t="s">
        <v>54</v>
      </c>
      <c r="G335" s="3" t="s">
        <v>25</v>
      </c>
      <c r="H335" s="3" t="s">
        <v>25</v>
      </c>
      <c r="I335" s="6">
        <v>44501</v>
      </c>
      <c r="J335" s="4">
        <v>0</v>
      </c>
      <c r="K335" s="4">
        <v>0</v>
      </c>
      <c r="L335" s="4">
        <v>0.47399999999999998</v>
      </c>
      <c r="M335" s="4">
        <v>0.18959999999999999</v>
      </c>
      <c r="N335" s="4">
        <v>0.47399999999999998</v>
      </c>
      <c r="O335" s="4">
        <v>0.18959999999999999</v>
      </c>
      <c r="P335" s="4">
        <v>0</v>
      </c>
      <c r="Q335" s="3" t="s">
        <v>26</v>
      </c>
      <c r="R335" s="3">
        <v>0</v>
      </c>
      <c r="S335" s="3" t="s">
        <v>256</v>
      </c>
      <c r="T335" s="3" t="s">
        <v>417</v>
      </c>
      <c r="U335" s="3">
        <v>0</v>
      </c>
      <c r="V335" s="3">
        <v>9</v>
      </c>
      <c r="W335" s="3">
        <v>56</v>
      </c>
    </row>
    <row r="336" spans="1:23" ht="11.25" customHeight="1" x14ac:dyDescent="0.25">
      <c r="A336" s="3" t="s">
        <v>28</v>
      </c>
      <c r="B336" s="3" t="s">
        <v>43</v>
      </c>
      <c r="C336" s="3" t="s">
        <v>23</v>
      </c>
      <c r="D336" s="3" t="s">
        <v>44</v>
      </c>
      <c r="E336" s="3" t="s">
        <v>52</v>
      </c>
      <c r="F336" s="3" t="s">
        <v>54</v>
      </c>
      <c r="G336" s="3" t="s">
        <v>25</v>
      </c>
      <c r="H336" s="3" t="s">
        <v>25</v>
      </c>
      <c r="I336" s="6">
        <v>44531</v>
      </c>
      <c r="J336" s="4">
        <v>0</v>
      </c>
      <c r="K336" s="4">
        <v>0</v>
      </c>
      <c r="L336" s="4">
        <v>0.78900000000000003</v>
      </c>
      <c r="M336" s="4">
        <v>0.31559999999999999</v>
      </c>
      <c r="N336" s="4">
        <v>0.78900000000000003</v>
      </c>
      <c r="O336" s="4">
        <v>0.31559999999999999</v>
      </c>
      <c r="P336" s="4">
        <v>0</v>
      </c>
      <c r="Q336" s="3" t="s">
        <v>26</v>
      </c>
      <c r="R336" s="3">
        <v>0</v>
      </c>
      <c r="S336" s="3" t="s">
        <v>257</v>
      </c>
      <c r="T336" s="3" t="s">
        <v>418</v>
      </c>
      <c r="U336" s="3">
        <v>0</v>
      </c>
      <c r="V336" s="3">
        <v>9</v>
      </c>
      <c r="W336" s="3">
        <v>56</v>
      </c>
    </row>
    <row r="337" spans="1:23" ht="11.25" customHeight="1" x14ac:dyDescent="0.25">
      <c r="A337" s="3" t="s">
        <v>28</v>
      </c>
      <c r="B337" s="3" t="s">
        <v>43</v>
      </c>
      <c r="C337" s="3" t="s">
        <v>23</v>
      </c>
      <c r="D337" s="3" t="s">
        <v>44</v>
      </c>
      <c r="E337" s="3" t="s">
        <v>52</v>
      </c>
      <c r="F337" s="3" t="s">
        <v>54</v>
      </c>
      <c r="G337" s="3" t="s">
        <v>25</v>
      </c>
      <c r="H337" s="3" t="s">
        <v>25</v>
      </c>
      <c r="I337" s="6">
        <v>44562</v>
      </c>
      <c r="J337" s="4">
        <v>0</v>
      </c>
      <c r="K337" s="4">
        <v>0</v>
      </c>
      <c r="L337" s="4">
        <v>3.746</v>
      </c>
      <c r="M337" s="4">
        <v>1.4984</v>
      </c>
      <c r="N337" s="4">
        <v>3.746</v>
      </c>
      <c r="O337" s="4">
        <v>1.4984</v>
      </c>
      <c r="P337" s="4">
        <v>0</v>
      </c>
      <c r="Q337" s="3" t="s">
        <v>26</v>
      </c>
      <c r="R337" s="3">
        <v>0</v>
      </c>
      <c r="S337" s="3" t="s">
        <v>253</v>
      </c>
      <c r="T337" s="3" t="s">
        <v>414</v>
      </c>
      <c r="U337" s="3">
        <v>0</v>
      </c>
      <c r="V337" s="3">
        <v>9</v>
      </c>
      <c r="W337" s="3">
        <v>56</v>
      </c>
    </row>
    <row r="338" spans="1:23" ht="11.25" customHeight="1" x14ac:dyDescent="0.25">
      <c r="A338" s="3" t="s">
        <v>28</v>
      </c>
      <c r="B338" s="3" t="s">
        <v>43</v>
      </c>
      <c r="C338" s="3" t="s">
        <v>23</v>
      </c>
      <c r="D338" s="3" t="s">
        <v>44</v>
      </c>
      <c r="E338" s="3" t="s">
        <v>52</v>
      </c>
      <c r="F338" s="3" t="s">
        <v>54</v>
      </c>
      <c r="G338" s="3" t="s">
        <v>25</v>
      </c>
      <c r="H338" s="3" t="s">
        <v>25</v>
      </c>
      <c r="I338" s="6">
        <v>44593</v>
      </c>
      <c r="J338" s="4">
        <v>0</v>
      </c>
      <c r="K338" s="4">
        <v>0</v>
      </c>
      <c r="L338" s="4">
        <v>3.93</v>
      </c>
      <c r="M338" s="4">
        <v>1.5720000000000001</v>
      </c>
      <c r="N338" s="4">
        <v>3.93</v>
      </c>
      <c r="O338" s="4">
        <v>1.5720000000000001</v>
      </c>
      <c r="P338" s="4">
        <v>0</v>
      </c>
      <c r="Q338" s="3" t="s">
        <v>26</v>
      </c>
      <c r="R338" s="3">
        <v>0</v>
      </c>
      <c r="S338" s="3" t="s">
        <v>258</v>
      </c>
      <c r="T338" s="3" t="s">
        <v>419</v>
      </c>
      <c r="U338" s="3">
        <v>0</v>
      </c>
      <c r="V338" s="3">
        <v>9</v>
      </c>
      <c r="W338" s="3">
        <v>56</v>
      </c>
    </row>
    <row r="339" spans="1:23" ht="11.25" customHeight="1" x14ac:dyDescent="0.25">
      <c r="A339" s="3" t="s">
        <v>21</v>
      </c>
      <c r="B339" s="3" t="s">
        <v>43</v>
      </c>
      <c r="C339" s="3" t="s">
        <v>23</v>
      </c>
      <c r="D339" s="3" t="s">
        <v>44</v>
      </c>
      <c r="E339" s="3" t="s">
        <v>25</v>
      </c>
      <c r="F339" s="3" t="s">
        <v>25</v>
      </c>
      <c r="G339" s="3" t="s">
        <v>25</v>
      </c>
      <c r="H339" s="3" t="s">
        <v>25</v>
      </c>
      <c r="I339" s="6">
        <v>44287</v>
      </c>
      <c r="J339" s="4">
        <v>0</v>
      </c>
      <c r="K339" s="4">
        <v>0</v>
      </c>
      <c r="L339" s="4">
        <v>315.08999999999997</v>
      </c>
      <c r="M339" s="4">
        <v>315.08999999999997</v>
      </c>
      <c r="N339" s="4">
        <v>315.08999999999997</v>
      </c>
      <c r="O339" s="4">
        <v>315.08999999999997</v>
      </c>
      <c r="P339" s="4">
        <v>577</v>
      </c>
      <c r="Q339" s="3" t="s">
        <v>26</v>
      </c>
      <c r="R339" s="3">
        <v>0</v>
      </c>
      <c r="S339" s="3" t="s">
        <v>247</v>
      </c>
      <c r="T339" s="3" t="s">
        <v>408</v>
      </c>
      <c r="U339" s="3">
        <v>0</v>
      </c>
      <c r="V339" s="3">
        <v>9</v>
      </c>
      <c r="W339" s="3">
        <v>56</v>
      </c>
    </row>
    <row r="340" spans="1:23" ht="11.25" customHeight="1" x14ac:dyDescent="0.25">
      <c r="A340" s="3" t="s">
        <v>27</v>
      </c>
      <c r="B340" s="3" t="s">
        <v>43</v>
      </c>
      <c r="C340" s="3" t="s">
        <v>23</v>
      </c>
      <c r="D340" s="3" t="s">
        <v>44</v>
      </c>
      <c r="E340" s="3" t="s">
        <v>25</v>
      </c>
      <c r="F340" s="3" t="s">
        <v>25</v>
      </c>
      <c r="G340" s="3" t="s">
        <v>25</v>
      </c>
      <c r="H340" s="3" t="s">
        <v>25</v>
      </c>
      <c r="I340" s="6">
        <v>44287</v>
      </c>
      <c r="J340" s="4">
        <v>0</v>
      </c>
      <c r="K340" s="4">
        <v>0</v>
      </c>
      <c r="L340" s="4">
        <v>-1.155</v>
      </c>
      <c r="M340" s="4">
        <v>-1.155</v>
      </c>
      <c r="N340" s="4">
        <v>-1.155</v>
      </c>
      <c r="O340" s="4">
        <v>-1.155</v>
      </c>
      <c r="P340" s="4">
        <v>0</v>
      </c>
      <c r="Q340" s="3" t="s">
        <v>26</v>
      </c>
      <c r="R340" s="3">
        <v>0</v>
      </c>
      <c r="S340" s="3" t="s">
        <v>247</v>
      </c>
      <c r="T340" s="3" t="s">
        <v>408</v>
      </c>
      <c r="U340" s="3">
        <v>0</v>
      </c>
      <c r="V340" s="3">
        <v>9</v>
      </c>
      <c r="W340" s="3">
        <v>56</v>
      </c>
    </row>
    <row r="341" spans="1:23" ht="11.25" customHeight="1" x14ac:dyDescent="0.25">
      <c r="A341" s="3" t="s">
        <v>28</v>
      </c>
      <c r="B341" s="3" t="s">
        <v>43</v>
      </c>
      <c r="C341" s="3" t="s">
        <v>23</v>
      </c>
      <c r="D341" s="3" t="s">
        <v>44</v>
      </c>
      <c r="E341" s="3" t="s">
        <v>25</v>
      </c>
      <c r="F341" s="3" t="s">
        <v>25</v>
      </c>
      <c r="G341" s="3" t="s">
        <v>25</v>
      </c>
      <c r="H341" s="3" t="s">
        <v>25</v>
      </c>
      <c r="I341" s="6">
        <v>44287</v>
      </c>
      <c r="J341" s="4">
        <v>0</v>
      </c>
      <c r="K341" s="4">
        <v>0</v>
      </c>
      <c r="L341" s="4">
        <v>20.838999999999999</v>
      </c>
      <c r="M341" s="4">
        <v>20.838999999999999</v>
      </c>
      <c r="N341" s="4">
        <v>20.838999999999999</v>
      </c>
      <c r="O341" s="4">
        <v>20.838999999999999</v>
      </c>
      <c r="P341" s="4">
        <v>24</v>
      </c>
      <c r="Q341" s="3" t="s">
        <v>26</v>
      </c>
      <c r="R341" s="3">
        <v>0</v>
      </c>
      <c r="S341" s="3" t="s">
        <v>247</v>
      </c>
      <c r="T341" s="3" t="s">
        <v>408</v>
      </c>
      <c r="U341" s="3">
        <v>0</v>
      </c>
      <c r="V341" s="3">
        <v>9</v>
      </c>
      <c r="W341" s="3">
        <v>56</v>
      </c>
    </row>
    <row r="342" spans="1:23" ht="11.25" customHeight="1" x14ac:dyDescent="0.25">
      <c r="A342" s="3" t="s">
        <v>21</v>
      </c>
      <c r="B342" s="3" t="s">
        <v>43</v>
      </c>
      <c r="C342" s="3" t="s">
        <v>23</v>
      </c>
      <c r="D342" s="3" t="s">
        <v>44</v>
      </c>
      <c r="E342" s="3" t="s">
        <v>25</v>
      </c>
      <c r="F342" s="3" t="s">
        <v>25</v>
      </c>
      <c r="G342" s="3" t="s">
        <v>25</v>
      </c>
      <c r="H342" s="3" t="s">
        <v>25</v>
      </c>
      <c r="I342" s="6">
        <v>44317</v>
      </c>
      <c r="J342" s="4">
        <v>0</v>
      </c>
      <c r="K342" s="4">
        <v>0</v>
      </c>
      <c r="L342" s="4">
        <v>258.86500000000001</v>
      </c>
      <c r="M342" s="4">
        <v>258.86500000000001</v>
      </c>
      <c r="N342" s="4">
        <v>258.86500000000001</v>
      </c>
      <c r="O342" s="4">
        <v>258.86500000000001</v>
      </c>
      <c r="P342" s="4">
        <v>571</v>
      </c>
      <c r="Q342" s="3" t="s">
        <v>26</v>
      </c>
      <c r="R342" s="3">
        <v>0</v>
      </c>
      <c r="S342" s="3" t="s">
        <v>248</v>
      </c>
      <c r="T342" s="3" t="s">
        <v>409</v>
      </c>
      <c r="U342" s="3">
        <v>0</v>
      </c>
      <c r="V342" s="3">
        <v>9</v>
      </c>
      <c r="W342" s="3">
        <v>56</v>
      </c>
    </row>
    <row r="343" spans="1:23" ht="11.25" customHeight="1" x14ac:dyDescent="0.25">
      <c r="A343" s="3" t="s">
        <v>28</v>
      </c>
      <c r="B343" s="3" t="s">
        <v>43</v>
      </c>
      <c r="C343" s="3" t="s">
        <v>23</v>
      </c>
      <c r="D343" s="3" t="s">
        <v>44</v>
      </c>
      <c r="E343" s="3" t="s">
        <v>25</v>
      </c>
      <c r="F343" s="3" t="s">
        <v>25</v>
      </c>
      <c r="G343" s="3" t="s">
        <v>25</v>
      </c>
      <c r="H343" s="3" t="s">
        <v>25</v>
      </c>
      <c r="I343" s="6">
        <v>44317</v>
      </c>
      <c r="J343" s="4">
        <v>0</v>
      </c>
      <c r="K343" s="4">
        <v>0</v>
      </c>
      <c r="L343" s="4">
        <v>24.317</v>
      </c>
      <c r="M343" s="4">
        <v>24.317</v>
      </c>
      <c r="N343" s="4">
        <v>24.317</v>
      </c>
      <c r="O343" s="4">
        <v>24.317</v>
      </c>
      <c r="P343" s="4">
        <v>30</v>
      </c>
      <c r="Q343" s="3" t="s">
        <v>26</v>
      </c>
      <c r="R343" s="3">
        <v>0</v>
      </c>
      <c r="S343" s="3" t="s">
        <v>248</v>
      </c>
      <c r="T343" s="3" t="s">
        <v>409</v>
      </c>
      <c r="U343" s="3">
        <v>0</v>
      </c>
      <c r="V343" s="3">
        <v>9</v>
      </c>
      <c r="W343" s="3">
        <v>56</v>
      </c>
    </row>
    <row r="344" spans="1:23" ht="11.25" customHeight="1" x14ac:dyDescent="0.25">
      <c r="A344" s="3" t="s">
        <v>21</v>
      </c>
      <c r="B344" s="3" t="s">
        <v>43</v>
      </c>
      <c r="C344" s="3" t="s">
        <v>23</v>
      </c>
      <c r="D344" s="3" t="s">
        <v>44</v>
      </c>
      <c r="E344" s="3" t="s">
        <v>25</v>
      </c>
      <c r="F344" s="3" t="s">
        <v>25</v>
      </c>
      <c r="G344" s="3" t="s">
        <v>25</v>
      </c>
      <c r="H344" s="3" t="s">
        <v>25</v>
      </c>
      <c r="I344" s="6">
        <v>44348</v>
      </c>
      <c r="J344" s="4">
        <v>0</v>
      </c>
      <c r="K344" s="4">
        <v>0</v>
      </c>
      <c r="L344" s="4">
        <v>244.72399999999999</v>
      </c>
      <c r="M344" s="4">
        <v>244.72399999999999</v>
      </c>
      <c r="N344" s="4">
        <v>244.72399999999999</v>
      </c>
      <c r="O344" s="4">
        <v>244.72399999999999</v>
      </c>
      <c r="P344" s="4">
        <v>574</v>
      </c>
      <c r="Q344" s="3" t="s">
        <v>26</v>
      </c>
      <c r="R344" s="3">
        <v>0</v>
      </c>
      <c r="S344" s="3" t="s">
        <v>249</v>
      </c>
      <c r="T344" s="3" t="s">
        <v>410</v>
      </c>
      <c r="U344" s="3">
        <v>0</v>
      </c>
      <c r="V344" s="3">
        <v>9</v>
      </c>
      <c r="W344" s="3">
        <v>56</v>
      </c>
    </row>
    <row r="345" spans="1:23" ht="11.25" customHeight="1" x14ac:dyDescent="0.25">
      <c r="A345" s="3" t="s">
        <v>28</v>
      </c>
      <c r="B345" s="3" t="s">
        <v>43</v>
      </c>
      <c r="C345" s="3" t="s">
        <v>23</v>
      </c>
      <c r="D345" s="3" t="s">
        <v>44</v>
      </c>
      <c r="E345" s="3" t="s">
        <v>25</v>
      </c>
      <c r="F345" s="3" t="s">
        <v>25</v>
      </c>
      <c r="G345" s="3" t="s">
        <v>25</v>
      </c>
      <c r="H345" s="3" t="s">
        <v>25</v>
      </c>
      <c r="I345" s="6">
        <v>44348</v>
      </c>
      <c r="J345" s="4">
        <v>0</v>
      </c>
      <c r="K345" s="4">
        <v>0</v>
      </c>
      <c r="L345" s="4">
        <v>24.001999999999999</v>
      </c>
      <c r="M345" s="4">
        <v>24.001999999999999</v>
      </c>
      <c r="N345" s="4">
        <v>24.001999999999999</v>
      </c>
      <c r="O345" s="4">
        <v>24.001999999999999</v>
      </c>
      <c r="P345" s="4">
        <v>29</v>
      </c>
      <c r="Q345" s="3" t="s">
        <v>26</v>
      </c>
      <c r="R345" s="3">
        <v>0</v>
      </c>
      <c r="S345" s="3" t="s">
        <v>249</v>
      </c>
      <c r="T345" s="3" t="s">
        <v>410</v>
      </c>
      <c r="U345" s="3">
        <v>0</v>
      </c>
      <c r="V345" s="3">
        <v>9</v>
      </c>
      <c r="W345" s="3">
        <v>56</v>
      </c>
    </row>
    <row r="346" spans="1:23" ht="11.25" customHeight="1" x14ac:dyDescent="0.25">
      <c r="A346" s="3" t="s">
        <v>21</v>
      </c>
      <c r="B346" s="3" t="s">
        <v>43</v>
      </c>
      <c r="C346" s="3" t="s">
        <v>23</v>
      </c>
      <c r="D346" s="3" t="s">
        <v>44</v>
      </c>
      <c r="E346" s="3" t="s">
        <v>25</v>
      </c>
      <c r="F346" s="3" t="s">
        <v>25</v>
      </c>
      <c r="G346" s="3" t="s">
        <v>25</v>
      </c>
      <c r="H346" s="3" t="s">
        <v>25</v>
      </c>
      <c r="I346" s="6">
        <v>44378</v>
      </c>
      <c r="J346" s="4">
        <v>0</v>
      </c>
      <c r="K346" s="4">
        <v>0</v>
      </c>
      <c r="L346" s="4">
        <v>235.14400000000001</v>
      </c>
      <c r="M346" s="4">
        <v>235.14400000000001</v>
      </c>
      <c r="N346" s="4">
        <v>235.14400000000001</v>
      </c>
      <c r="O346" s="4">
        <v>235.14400000000001</v>
      </c>
      <c r="P346" s="4">
        <v>575</v>
      </c>
      <c r="Q346" s="3" t="s">
        <v>26</v>
      </c>
      <c r="R346" s="3">
        <v>0</v>
      </c>
      <c r="S346" s="3" t="s">
        <v>250</v>
      </c>
      <c r="T346" s="3" t="s">
        <v>411</v>
      </c>
      <c r="U346" s="3">
        <v>0</v>
      </c>
      <c r="V346" s="3">
        <v>9</v>
      </c>
      <c r="W346" s="3">
        <v>56</v>
      </c>
    </row>
    <row r="347" spans="1:23" ht="11.25" customHeight="1" x14ac:dyDescent="0.25">
      <c r="A347" s="3" t="s">
        <v>27</v>
      </c>
      <c r="B347" s="3" t="s">
        <v>43</v>
      </c>
      <c r="C347" s="3" t="s">
        <v>23</v>
      </c>
      <c r="D347" s="3" t="s">
        <v>44</v>
      </c>
      <c r="E347" s="3" t="s">
        <v>25</v>
      </c>
      <c r="F347" s="3" t="s">
        <v>25</v>
      </c>
      <c r="G347" s="3" t="s">
        <v>25</v>
      </c>
      <c r="H347" s="3" t="s">
        <v>25</v>
      </c>
      <c r="I347" s="6">
        <v>44378</v>
      </c>
      <c r="J347" s="4">
        <v>0</v>
      </c>
      <c r="K347" s="4">
        <v>0</v>
      </c>
      <c r="L347" s="4">
        <v>-9.6000000000000002E-2</v>
      </c>
      <c r="M347" s="4">
        <v>-9.6000000000000002E-2</v>
      </c>
      <c r="N347" s="4">
        <v>-9.6000000000000002E-2</v>
      </c>
      <c r="O347" s="4">
        <v>-9.6000000000000002E-2</v>
      </c>
      <c r="P347" s="4">
        <v>0</v>
      </c>
      <c r="Q347" s="3" t="s">
        <v>26</v>
      </c>
      <c r="R347" s="3">
        <v>0</v>
      </c>
      <c r="S347" s="3" t="s">
        <v>250</v>
      </c>
      <c r="T347" s="3" t="s">
        <v>411</v>
      </c>
      <c r="U347" s="3">
        <v>0</v>
      </c>
      <c r="V347" s="3">
        <v>9</v>
      </c>
      <c r="W347" s="3">
        <v>56</v>
      </c>
    </row>
    <row r="348" spans="1:23" ht="11.25" customHeight="1" x14ac:dyDescent="0.25">
      <c r="A348" s="3" t="s">
        <v>28</v>
      </c>
      <c r="B348" s="3" t="s">
        <v>43</v>
      </c>
      <c r="C348" s="3" t="s">
        <v>23</v>
      </c>
      <c r="D348" s="3" t="s">
        <v>44</v>
      </c>
      <c r="E348" s="3" t="s">
        <v>25</v>
      </c>
      <c r="F348" s="3" t="s">
        <v>25</v>
      </c>
      <c r="G348" s="3" t="s">
        <v>25</v>
      </c>
      <c r="H348" s="3" t="s">
        <v>25</v>
      </c>
      <c r="I348" s="6">
        <v>44378</v>
      </c>
      <c r="J348" s="4">
        <v>0</v>
      </c>
      <c r="K348" s="4">
        <v>0</v>
      </c>
      <c r="L348" s="4">
        <v>22.145</v>
      </c>
      <c r="M348" s="4">
        <v>22.145</v>
      </c>
      <c r="N348" s="4">
        <v>22.145</v>
      </c>
      <c r="O348" s="4">
        <v>22.145</v>
      </c>
      <c r="P348" s="4">
        <v>30</v>
      </c>
      <c r="Q348" s="3" t="s">
        <v>26</v>
      </c>
      <c r="R348" s="3">
        <v>0</v>
      </c>
      <c r="S348" s="3" t="s">
        <v>250</v>
      </c>
      <c r="T348" s="3" t="s">
        <v>411</v>
      </c>
      <c r="U348" s="3">
        <v>0</v>
      </c>
      <c r="V348" s="3">
        <v>9</v>
      </c>
      <c r="W348" s="3">
        <v>56</v>
      </c>
    </row>
    <row r="349" spans="1:23" ht="11.25" customHeight="1" x14ac:dyDescent="0.25">
      <c r="A349" s="3" t="s">
        <v>21</v>
      </c>
      <c r="B349" s="3" t="s">
        <v>43</v>
      </c>
      <c r="C349" s="3" t="s">
        <v>23</v>
      </c>
      <c r="D349" s="3" t="s">
        <v>44</v>
      </c>
      <c r="E349" s="3" t="s">
        <v>25</v>
      </c>
      <c r="F349" s="3" t="s">
        <v>25</v>
      </c>
      <c r="G349" s="3" t="s">
        <v>25</v>
      </c>
      <c r="H349" s="3" t="s">
        <v>25</v>
      </c>
      <c r="I349" s="6">
        <v>44409</v>
      </c>
      <c r="J349" s="4">
        <v>0</v>
      </c>
      <c r="K349" s="4">
        <v>0</v>
      </c>
      <c r="L349" s="4">
        <v>221.601</v>
      </c>
      <c r="M349" s="4">
        <v>221.601</v>
      </c>
      <c r="N349" s="4">
        <v>221.601</v>
      </c>
      <c r="O349" s="4">
        <v>221.601</v>
      </c>
      <c r="P349" s="4">
        <v>571</v>
      </c>
      <c r="Q349" s="3" t="s">
        <v>26</v>
      </c>
      <c r="R349" s="3">
        <v>0</v>
      </c>
      <c r="S349" s="3" t="s">
        <v>251</v>
      </c>
      <c r="T349" s="3" t="s">
        <v>412</v>
      </c>
      <c r="U349" s="3">
        <v>0</v>
      </c>
      <c r="V349" s="3">
        <v>9</v>
      </c>
      <c r="W349" s="3">
        <v>56</v>
      </c>
    </row>
    <row r="350" spans="1:23" ht="11.25" customHeight="1" x14ac:dyDescent="0.25">
      <c r="A350" s="3" t="s">
        <v>28</v>
      </c>
      <c r="B350" s="3" t="s">
        <v>43</v>
      </c>
      <c r="C350" s="3" t="s">
        <v>23</v>
      </c>
      <c r="D350" s="3" t="s">
        <v>44</v>
      </c>
      <c r="E350" s="3" t="s">
        <v>25</v>
      </c>
      <c r="F350" s="3" t="s">
        <v>25</v>
      </c>
      <c r="G350" s="3" t="s">
        <v>25</v>
      </c>
      <c r="H350" s="3" t="s">
        <v>25</v>
      </c>
      <c r="I350" s="6">
        <v>44409</v>
      </c>
      <c r="J350" s="4">
        <v>0</v>
      </c>
      <c r="K350" s="4">
        <v>0</v>
      </c>
      <c r="L350" s="4">
        <v>22.946000000000002</v>
      </c>
      <c r="M350" s="4">
        <v>22.946000000000002</v>
      </c>
      <c r="N350" s="4">
        <v>22.946000000000002</v>
      </c>
      <c r="O350" s="4">
        <v>22.946000000000002</v>
      </c>
      <c r="P350" s="4">
        <v>34</v>
      </c>
      <c r="Q350" s="3" t="s">
        <v>26</v>
      </c>
      <c r="R350" s="3">
        <v>0</v>
      </c>
      <c r="S350" s="3" t="s">
        <v>251</v>
      </c>
      <c r="T350" s="3" t="s">
        <v>412</v>
      </c>
      <c r="U350" s="3">
        <v>0</v>
      </c>
      <c r="V350" s="3">
        <v>9</v>
      </c>
      <c r="W350" s="3">
        <v>56</v>
      </c>
    </row>
    <row r="351" spans="1:23" ht="11.25" customHeight="1" x14ac:dyDescent="0.25">
      <c r="A351" s="3" t="s">
        <v>21</v>
      </c>
      <c r="B351" s="3" t="s">
        <v>43</v>
      </c>
      <c r="C351" s="3" t="s">
        <v>23</v>
      </c>
      <c r="D351" s="3" t="s">
        <v>44</v>
      </c>
      <c r="E351" s="3" t="s">
        <v>25</v>
      </c>
      <c r="F351" s="3" t="s">
        <v>25</v>
      </c>
      <c r="G351" s="3" t="s">
        <v>25</v>
      </c>
      <c r="H351" s="3" t="s">
        <v>25</v>
      </c>
      <c r="I351" s="6">
        <v>44440</v>
      </c>
      <c r="J351" s="4">
        <v>0</v>
      </c>
      <c r="K351" s="4">
        <v>0</v>
      </c>
      <c r="L351" s="4">
        <v>250.00299999999999</v>
      </c>
      <c r="M351" s="4">
        <v>250.00299999999999</v>
      </c>
      <c r="N351" s="4">
        <v>250.00299999999999</v>
      </c>
      <c r="O351" s="4">
        <v>250.00299999999999</v>
      </c>
      <c r="P351" s="4">
        <v>568</v>
      </c>
      <c r="Q351" s="3" t="s">
        <v>26</v>
      </c>
      <c r="R351" s="3">
        <v>0</v>
      </c>
      <c r="S351" s="3" t="s">
        <v>255</v>
      </c>
      <c r="T351" s="3" t="s">
        <v>416</v>
      </c>
      <c r="U351" s="3">
        <v>0</v>
      </c>
      <c r="V351" s="3">
        <v>9</v>
      </c>
      <c r="W351" s="3">
        <v>56</v>
      </c>
    </row>
    <row r="352" spans="1:23" ht="11.25" customHeight="1" x14ac:dyDescent="0.25">
      <c r="A352" s="3" t="s">
        <v>27</v>
      </c>
      <c r="B352" s="3" t="s">
        <v>43</v>
      </c>
      <c r="C352" s="3" t="s">
        <v>23</v>
      </c>
      <c r="D352" s="3" t="s">
        <v>44</v>
      </c>
      <c r="E352" s="3" t="s">
        <v>25</v>
      </c>
      <c r="F352" s="3" t="s">
        <v>25</v>
      </c>
      <c r="G352" s="3" t="s">
        <v>25</v>
      </c>
      <c r="H352" s="3" t="s">
        <v>25</v>
      </c>
      <c r="I352" s="6">
        <v>44440</v>
      </c>
      <c r="J352" s="4">
        <v>0</v>
      </c>
      <c r="K352" s="4">
        <v>0</v>
      </c>
      <c r="L352" s="4">
        <v>-0.1</v>
      </c>
      <c r="M352" s="4">
        <v>-0.1</v>
      </c>
      <c r="N352" s="4">
        <v>-0.1</v>
      </c>
      <c r="O352" s="4">
        <v>-0.1</v>
      </c>
      <c r="P352" s="4">
        <v>0</v>
      </c>
      <c r="Q352" s="3" t="s">
        <v>26</v>
      </c>
      <c r="R352" s="3">
        <v>0</v>
      </c>
      <c r="S352" s="3" t="s">
        <v>255</v>
      </c>
      <c r="T352" s="3" t="s">
        <v>416</v>
      </c>
      <c r="U352" s="3">
        <v>0</v>
      </c>
      <c r="V352" s="3">
        <v>9</v>
      </c>
      <c r="W352" s="3">
        <v>56</v>
      </c>
    </row>
    <row r="353" spans="1:23" ht="11.25" customHeight="1" x14ac:dyDescent="0.25">
      <c r="A353" s="3" t="s">
        <v>28</v>
      </c>
      <c r="B353" s="3" t="s">
        <v>43</v>
      </c>
      <c r="C353" s="3" t="s">
        <v>23</v>
      </c>
      <c r="D353" s="3" t="s">
        <v>44</v>
      </c>
      <c r="E353" s="3" t="s">
        <v>25</v>
      </c>
      <c r="F353" s="3" t="s">
        <v>25</v>
      </c>
      <c r="G353" s="3" t="s">
        <v>25</v>
      </c>
      <c r="H353" s="3" t="s">
        <v>25</v>
      </c>
      <c r="I353" s="6">
        <v>44440</v>
      </c>
      <c r="J353" s="4">
        <v>0</v>
      </c>
      <c r="K353" s="4">
        <v>0</v>
      </c>
      <c r="L353" s="4">
        <v>25.404</v>
      </c>
      <c r="M353" s="4">
        <v>25.404</v>
      </c>
      <c r="N353" s="4">
        <v>25.404</v>
      </c>
      <c r="O353" s="4">
        <v>25.404</v>
      </c>
      <c r="P353" s="4">
        <v>34</v>
      </c>
      <c r="Q353" s="3" t="s">
        <v>26</v>
      </c>
      <c r="R353" s="3">
        <v>0</v>
      </c>
      <c r="S353" s="3" t="s">
        <v>255</v>
      </c>
      <c r="T353" s="3" t="s">
        <v>416</v>
      </c>
      <c r="U353" s="3">
        <v>0</v>
      </c>
      <c r="V353" s="3">
        <v>9</v>
      </c>
      <c r="W353" s="3">
        <v>56</v>
      </c>
    </row>
    <row r="354" spans="1:23" ht="11.25" customHeight="1" x14ac:dyDescent="0.25">
      <c r="A354" s="3" t="s">
        <v>21</v>
      </c>
      <c r="B354" s="3" t="s">
        <v>43</v>
      </c>
      <c r="C354" s="3" t="s">
        <v>23</v>
      </c>
      <c r="D354" s="3" t="s">
        <v>44</v>
      </c>
      <c r="E354" s="3" t="s">
        <v>25</v>
      </c>
      <c r="F354" s="3" t="s">
        <v>25</v>
      </c>
      <c r="G354" s="3" t="s">
        <v>25</v>
      </c>
      <c r="H354" s="3" t="s">
        <v>25</v>
      </c>
      <c r="I354" s="6">
        <v>44470</v>
      </c>
      <c r="J354" s="4">
        <v>0</v>
      </c>
      <c r="K354" s="4">
        <v>0</v>
      </c>
      <c r="L354" s="4">
        <v>241.17099999999999</v>
      </c>
      <c r="M354" s="4">
        <v>241.17099999999999</v>
      </c>
      <c r="N354" s="4">
        <v>241.17099999999999</v>
      </c>
      <c r="O354" s="4">
        <v>241.17099999999999</v>
      </c>
      <c r="P354" s="4">
        <v>566</v>
      </c>
      <c r="Q354" s="3" t="s">
        <v>26</v>
      </c>
      <c r="R354" s="3">
        <v>0</v>
      </c>
      <c r="S354" s="3" t="s">
        <v>252</v>
      </c>
      <c r="T354" s="3" t="s">
        <v>413</v>
      </c>
      <c r="U354" s="3">
        <v>0</v>
      </c>
      <c r="V354" s="3">
        <v>9</v>
      </c>
      <c r="W354" s="3">
        <v>56</v>
      </c>
    </row>
    <row r="355" spans="1:23" ht="11.25" customHeight="1" x14ac:dyDescent="0.25">
      <c r="A355" s="3" t="s">
        <v>28</v>
      </c>
      <c r="B355" s="3" t="s">
        <v>43</v>
      </c>
      <c r="C355" s="3" t="s">
        <v>23</v>
      </c>
      <c r="D355" s="3" t="s">
        <v>44</v>
      </c>
      <c r="E355" s="3" t="s">
        <v>25</v>
      </c>
      <c r="F355" s="3" t="s">
        <v>25</v>
      </c>
      <c r="G355" s="3" t="s">
        <v>25</v>
      </c>
      <c r="H355" s="3" t="s">
        <v>25</v>
      </c>
      <c r="I355" s="6">
        <v>44470</v>
      </c>
      <c r="J355" s="4">
        <v>0</v>
      </c>
      <c r="K355" s="4">
        <v>0</v>
      </c>
      <c r="L355" s="4">
        <v>24.452999999999999</v>
      </c>
      <c r="M355" s="4">
        <v>24.452999999999999</v>
      </c>
      <c r="N355" s="4">
        <v>24.452999999999999</v>
      </c>
      <c r="O355" s="4">
        <v>24.452999999999999</v>
      </c>
      <c r="P355" s="4">
        <v>37</v>
      </c>
      <c r="Q355" s="3" t="s">
        <v>26</v>
      </c>
      <c r="R355" s="3">
        <v>0</v>
      </c>
      <c r="S355" s="3" t="s">
        <v>252</v>
      </c>
      <c r="T355" s="3" t="s">
        <v>413</v>
      </c>
      <c r="U355" s="3">
        <v>0</v>
      </c>
      <c r="V355" s="3">
        <v>9</v>
      </c>
      <c r="W355" s="3">
        <v>56</v>
      </c>
    </row>
    <row r="356" spans="1:23" ht="11.25" customHeight="1" x14ac:dyDescent="0.25">
      <c r="A356" s="3" t="s">
        <v>21</v>
      </c>
      <c r="B356" s="3" t="s">
        <v>43</v>
      </c>
      <c r="C356" s="3" t="s">
        <v>23</v>
      </c>
      <c r="D356" s="3" t="s">
        <v>44</v>
      </c>
      <c r="E356" s="3" t="s">
        <v>25</v>
      </c>
      <c r="F356" s="3" t="s">
        <v>25</v>
      </c>
      <c r="G356" s="3" t="s">
        <v>25</v>
      </c>
      <c r="H356" s="3" t="s">
        <v>25</v>
      </c>
      <c r="I356" s="6">
        <v>44501</v>
      </c>
      <c r="J356" s="4">
        <v>0</v>
      </c>
      <c r="K356" s="4">
        <v>0</v>
      </c>
      <c r="L356" s="4">
        <v>229.04900000000001</v>
      </c>
      <c r="M356" s="4">
        <v>229.04900000000001</v>
      </c>
      <c r="N356" s="4">
        <v>229.04900000000001</v>
      </c>
      <c r="O356" s="4">
        <v>229.04900000000001</v>
      </c>
      <c r="P356" s="4">
        <v>559</v>
      </c>
      <c r="Q356" s="3" t="s">
        <v>26</v>
      </c>
      <c r="R356" s="3">
        <v>0</v>
      </c>
      <c r="S356" s="3" t="s">
        <v>256</v>
      </c>
      <c r="T356" s="3" t="s">
        <v>417</v>
      </c>
      <c r="U356" s="3">
        <v>0</v>
      </c>
      <c r="V356" s="3">
        <v>9</v>
      </c>
      <c r="W356" s="3">
        <v>56</v>
      </c>
    </row>
    <row r="357" spans="1:23" ht="11.25" customHeight="1" x14ac:dyDescent="0.25">
      <c r="A357" s="3" t="s">
        <v>28</v>
      </c>
      <c r="B357" s="3" t="s">
        <v>43</v>
      </c>
      <c r="C357" s="3" t="s">
        <v>23</v>
      </c>
      <c r="D357" s="3" t="s">
        <v>44</v>
      </c>
      <c r="E357" s="3" t="s">
        <v>25</v>
      </c>
      <c r="F357" s="3" t="s">
        <v>25</v>
      </c>
      <c r="G357" s="3" t="s">
        <v>25</v>
      </c>
      <c r="H357" s="3" t="s">
        <v>25</v>
      </c>
      <c r="I357" s="6">
        <v>44501</v>
      </c>
      <c r="J357" s="4">
        <v>0</v>
      </c>
      <c r="K357" s="4">
        <v>0</v>
      </c>
      <c r="L357" s="4">
        <v>28.51</v>
      </c>
      <c r="M357" s="4">
        <v>28.51</v>
      </c>
      <c r="N357" s="4">
        <v>28.51</v>
      </c>
      <c r="O357" s="4">
        <v>28.51</v>
      </c>
      <c r="P357" s="4">
        <v>38</v>
      </c>
      <c r="Q357" s="3" t="s">
        <v>26</v>
      </c>
      <c r="R357" s="3">
        <v>0</v>
      </c>
      <c r="S357" s="3" t="s">
        <v>256</v>
      </c>
      <c r="T357" s="3" t="s">
        <v>417</v>
      </c>
      <c r="U357" s="3">
        <v>0</v>
      </c>
      <c r="V357" s="3">
        <v>9</v>
      </c>
      <c r="W357" s="3">
        <v>56</v>
      </c>
    </row>
    <row r="358" spans="1:23" ht="11.25" customHeight="1" x14ac:dyDescent="0.25">
      <c r="A358" s="3" t="s">
        <v>21</v>
      </c>
      <c r="B358" s="3" t="s">
        <v>43</v>
      </c>
      <c r="C358" s="3" t="s">
        <v>23</v>
      </c>
      <c r="D358" s="3" t="s">
        <v>44</v>
      </c>
      <c r="E358" s="3" t="s">
        <v>25</v>
      </c>
      <c r="F358" s="3" t="s">
        <v>25</v>
      </c>
      <c r="G358" s="3" t="s">
        <v>25</v>
      </c>
      <c r="H358" s="3" t="s">
        <v>25</v>
      </c>
      <c r="I358" s="6">
        <v>44531</v>
      </c>
      <c r="J358" s="4">
        <v>0</v>
      </c>
      <c r="K358" s="4">
        <v>0</v>
      </c>
      <c r="L358" s="4">
        <v>233.387</v>
      </c>
      <c r="M358" s="4">
        <v>233.387</v>
      </c>
      <c r="N358" s="4">
        <v>233.387</v>
      </c>
      <c r="O358" s="4">
        <v>233.387</v>
      </c>
      <c r="P358" s="4">
        <v>545</v>
      </c>
      <c r="Q358" s="3" t="s">
        <v>26</v>
      </c>
      <c r="R358" s="3">
        <v>0</v>
      </c>
      <c r="S358" s="3" t="s">
        <v>257</v>
      </c>
      <c r="T358" s="3" t="s">
        <v>418</v>
      </c>
      <c r="U358" s="3">
        <v>0</v>
      </c>
      <c r="V358" s="3">
        <v>9</v>
      </c>
      <c r="W358" s="3">
        <v>56</v>
      </c>
    </row>
    <row r="359" spans="1:23" ht="11.25" customHeight="1" x14ac:dyDescent="0.25">
      <c r="A359" s="3" t="s">
        <v>27</v>
      </c>
      <c r="B359" s="3" t="s">
        <v>43</v>
      </c>
      <c r="C359" s="3" t="s">
        <v>23</v>
      </c>
      <c r="D359" s="3" t="s">
        <v>44</v>
      </c>
      <c r="E359" s="3" t="s">
        <v>25</v>
      </c>
      <c r="F359" s="3" t="s">
        <v>25</v>
      </c>
      <c r="G359" s="3" t="s">
        <v>25</v>
      </c>
      <c r="H359" s="3" t="s">
        <v>25</v>
      </c>
      <c r="I359" s="6">
        <v>44531</v>
      </c>
      <c r="J359" s="4">
        <v>0</v>
      </c>
      <c r="K359" s="4">
        <v>0</v>
      </c>
      <c r="L359" s="4">
        <v>-1.0740000000000001</v>
      </c>
      <c r="M359" s="4">
        <v>-1.0740000000000001</v>
      </c>
      <c r="N359" s="4">
        <v>-1.0740000000000001</v>
      </c>
      <c r="O359" s="4">
        <v>-1.0740000000000001</v>
      </c>
      <c r="P359" s="4">
        <v>0</v>
      </c>
      <c r="Q359" s="3" t="s">
        <v>26</v>
      </c>
      <c r="R359" s="3">
        <v>0</v>
      </c>
      <c r="S359" s="3" t="s">
        <v>257</v>
      </c>
      <c r="T359" s="3" t="s">
        <v>418</v>
      </c>
      <c r="U359" s="3">
        <v>0</v>
      </c>
      <c r="V359" s="3">
        <v>9</v>
      </c>
      <c r="W359" s="3">
        <v>56</v>
      </c>
    </row>
    <row r="360" spans="1:23" ht="11.25" customHeight="1" x14ac:dyDescent="0.25">
      <c r="A360" s="3" t="s">
        <v>28</v>
      </c>
      <c r="B360" s="3" t="s">
        <v>43</v>
      </c>
      <c r="C360" s="3" t="s">
        <v>23</v>
      </c>
      <c r="D360" s="3" t="s">
        <v>44</v>
      </c>
      <c r="E360" s="3" t="s">
        <v>25</v>
      </c>
      <c r="F360" s="3" t="s">
        <v>25</v>
      </c>
      <c r="G360" s="3" t="s">
        <v>25</v>
      </c>
      <c r="H360" s="3" t="s">
        <v>25</v>
      </c>
      <c r="I360" s="6">
        <v>44531</v>
      </c>
      <c r="J360" s="4">
        <v>0</v>
      </c>
      <c r="K360" s="4">
        <v>0</v>
      </c>
      <c r="L360" s="4">
        <v>22.131</v>
      </c>
      <c r="M360" s="4">
        <v>22.131</v>
      </c>
      <c r="N360" s="4">
        <v>22.131</v>
      </c>
      <c r="O360" s="4">
        <v>22.131</v>
      </c>
      <c r="P360" s="4">
        <v>37</v>
      </c>
      <c r="Q360" s="3" t="s">
        <v>26</v>
      </c>
      <c r="R360" s="3">
        <v>0</v>
      </c>
      <c r="S360" s="3" t="s">
        <v>257</v>
      </c>
      <c r="T360" s="3" t="s">
        <v>418</v>
      </c>
      <c r="U360" s="3">
        <v>0</v>
      </c>
      <c r="V360" s="3">
        <v>9</v>
      </c>
      <c r="W360" s="3">
        <v>56</v>
      </c>
    </row>
    <row r="361" spans="1:23" ht="11.25" customHeight="1" x14ac:dyDescent="0.25">
      <c r="A361" s="3" t="s">
        <v>21</v>
      </c>
      <c r="B361" s="3" t="s">
        <v>43</v>
      </c>
      <c r="C361" s="3" t="s">
        <v>23</v>
      </c>
      <c r="D361" s="3" t="s">
        <v>44</v>
      </c>
      <c r="E361" s="3" t="s">
        <v>25</v>
      </c>
      <c r="F361" s="3" t="s">
        <v>25</v>
      </c>
      <c r="G361" s="3" t="s">
        <v>25</v>
      </c>
      <c r="H361" s="3" t="s">
        <v>25</v>
      </c>
      <c r="I361" s="6">
        <v>44562</v>
      </c>
      <c r="J361" s="4">
        <v>0</v>
      </c>
      <c r="K361" s="4">
        <v>0</v>
      </c>
      <c r="L361" s="4">
        <v>252.148</v>
      </c>
      <c r="M361" s="4">
        <v>252.148</v>
      </c>
      <c r="N361" s="4">
        <v>252.148</v>
      </c>
      <c r="O361" s="4">
        <v>252.148</v>
      </c>
      <c r="P361" s="4">
        <v>534</v>
      </c>
      <c r="Q361" s="3" t="s">
        <v>26</v>
      </c>
      <c r="R361" s="3">
        <v>0</v>
      </c>
      <c r="S361" s="3" t="s">
        <v>253</v>
      </c>
      <c r="T361" s="3" t="s">
        <v>414</v>
      </c>
      <c r="U361" s="3">
        <v>0</v>
      </c>
      <c r="V361" s="3">
        <v>9</v>
      </c>
      <c r="W361" s="3">
        <v>56</v>
      </c>
    </row>
    <row r="362" spans="1:23" ht="11.25" customHeight="1" x14ac:dyDescent="0.25">
      <c r="A362" s="3" t="s">
        <v>28</v>
      </c>
      <c r="B362" s="3" t="s">
        <v>43</v>
      </c>
      <c r="C362" s="3" t="s">
        <v>23</v>
      </c>
      <c r="D362" s="3" t="s">
        <v>44</v>
      </c>
      <c r="E362" s="3" t="s">
        <v>25</v>
      </c>
      <c r="F362" s="3" t="s">
        <v>25</v>
      </c>
      <c r="G362" s="3" t="s">
        <v>25</v>
      </c>
      <c r="H362" s="3" t="s">
        <v>25</v>
      </c>
      <c r="I362" s="6">
        <v>44562</v>
      </c>
      <c r="J362" s="4">
        <v>0</v>
      </c>
      <c r="K362" s="4">
        <v>0</v>
      </c>
      <c r="L362" s="4">
        <v>25.52</v>
      </c>
      <c r="M362" s="4">
        <v>25.52</v>
      </c>
      <c r="N362" s="4">
        <v>25.52</v>
      </c>
      <c r="O362" s="4">
        <v>25.52</v>
      </c>
      <c r="P362" s="4">
        <v>33</v>
      </c>
      <c r="Q362" s="3" t="s">
        <v>26</v>
      </c>
      <c r="R362" s="3">
        <v>0</v>
      </c>
      <c r="S362" s="3" t="s">
        <v>253</v>
      </c>
      <c r="T362" s="3" t="s">
        <v>414</v>
      </c>
      <c r="U362" s="3">
        <v>0</v>
      </c>
      <c r="V362" s="3">
        <v>9</v>
      </c>
      <c r="W362" s="3">
        <v>56</v>
      </c>
    </row>
    <row r="363" spans="1:23" ht="11.25" customHeight="1" x14ac:dyDescent="0.25">
      <c r="A363" s="3" t="s">
        <v>28</v>
      </c>
      <c r="B363" s="3" t="s">
        <v>43</v>
      </c>
      <c r="C363" s="3" t="s">
        <v>23</v>
      </c>
      <c r="D363" s="3" t="s">
        <v>44</v>
      </c>
      <c r="E363" s="3" t="s">
        <v>25</v>
      </c>
      <c r="F363" s="3" t="s">
        <v>25</v>
      </c>
      <c r="G363" s="3" t="s">
        <v>25</v>
      </c>
      <c r="H363" s="3" t="s">
        <v>25</v>
      </c>
      <c r="I363" s="6">
        <v>44562</v>
      </c>
      <c r="J363" s="4">
        <v>0</v>
      </c>
      <c r="K363" s="4">
        <v>0</v>
      </c>
      <c r="L363" s="4">
        <v>0.41</v>
      </c>
      <c r="M363" s="4">
        <v>0.41</v>
      </c>
      <c r="N363" s="4">
        <v>0.41</v>
      </c>
      <c r="O363" s="4">
        <v>0.41</v>
      </c>
      <c r="P363" s="4">
        <v>1</v>
      </c>
      <c r="Q363" s="3" t="s">
        <v>26</v>
      </c>
      <c r="R363" s="3">
        <v>0</v>
      </c>
      <c r="S363" s="3" t="s">
        <v>253</v>
      </c>
      <c r="T363" s="3" t="s">
        <v>414</v>
      </c>
      <c r="U363" s="3">
        <v>0</v>
      </c>
      <c r="V363" s="3">
        <v>9</v>
      </c>
      <c r="W363" s="3">
        <v>56</v>
      </c>
    </row>
    <row r="364" spans="1:23" ht="11.25" customHeight="1" x14ac:dyDescent="0.25">
      <c r="A364" s="3" t="s">
        <v>21</v>
      </c>
      <c r="B364" s="3" t="s">
        <v>43</v>
      </c>
      <c r="C364" s="3" t="s">
        <v>23</v>
      </c>
      <c r="D364" s="3" t="s">
        <v>44</v>
      </c>
      <c r="E364" s="3" t="s">
        <v>25</v>
      </c>
      <c r="F364" s="3" t="s">
        <v>25</v>
      </c>
      <c r="G364" s="3" t="s">
        <v>25</v>
      </c>
      <c r="H364" s="3" t="s">
        <v>25</v>
      </c>
      <c r="I364" s="6">
        <v>44593</v>
      </c>
      <c r="J364" s="4">
        <v>0</v>
      </c>
      <c r="K364" s="4">
        <v>0</v>
      </c>
      <c r="L364" s="4">
        <v>244.285</v>
      </c>
      <c r="M364" s="4">
        <v>244.285</v>
      </c>
      <c r="N364" s="4">
        <v>244.285</v>
      </c>
      <c r="O364" s="4">
        <v>244.285</v>
      </c>
      <c r="P364" s="4">
        <v>531</v>
      </c>
      <c r="Q364" s="3" t="s">
        <v>26</v>
      </c>
      <c r="R364" s="3">
        <v>0</v>
      </c>
      <c r="S364" s="3" t="s">
        <v>258</v>
      </c>
      <c r="T364" s="3" t="s">
        <v>419</v>
      </c>
      <c r="U364" s="3">
        <v>0</v>
      </c>
      <c r="V364" s="3">
        <v>9</v>
      </c>
      <c r="W364" s="3">
        <v>56</v>
      </c>
    </row>
    <row r="365" spans="1:23" ht="11.25" customHeight="1" x14ac:dyDescent="0.25">
      <c r="A365" s="3" t="s">
        <v>27</v>
      </c>
      <c r="B365" s="3" t="s">
        <v>43</v>
      </c>
      <c r="C365" s="3" t="s">
        <v>23</v>
      </c>
      <c r="D365" s="3" t="s">
        <v>44</v>
      </c>
      <c r="E365" s="3" t="s">
        <v>25</v>
      </c>
      <c r="F365" s="3" t="s">
        <v>25</v>
      </c>
      <c r="G365" s="3" t="s">
        <v>25</v>
      </c>
      <c r="H365" s="3" t="s">
        <v>25</v>
      </c>
      <c r="I365" s="6">
        <v>44593</v>
      </c>
      <c r="J365" s="4">
        <v>0</v>
      </c>
      <c r="K365" s="4">
        <v>0</v>
      </c>
      <c r="L365" s="4">
        <v>-0.28000000000000003</v>
      </c>
      <c r="M365" s="4">
        <v>-0.28000000000000003</v>
      </c>
      <c r="N365" s="4">
        <v>-0.28000000000000003</v>
      </c>
      <c r="O365" s="4">
        <v>-0.28000000000000003</v>
      </c>
      <c r="P365" s="4">
        <v>0</v>
      </c>
      <c r="Q365" s="3" t="s">
        <v>26</v>
      </c>
      <c r="R365" s="3">
        <v>0</v>
      </c>
      <c r="S365" s="3" t="s">
        <v>258</v>
      </c>
      <c r="T365" s="3" t="s">
        <v>419</v>
      </c>
      <c r="U365" s="3">
        <v>0</v>
      </c>
      <c r="V365" s="3">
        <v>9</v>
      </c>
      <c r="W365" s="3">
        <v>56</v>
      </c>
    </row>
    <row r="366" spans="1:23" ht="11.25" customHeight="1" x14ac:dyDescent="0.25">
      <c r="A366" s="3" t="s">
        <v>28</v>
      </c>
      <c r="B366" s="3" t="s">
        <v>43</v>
      </c>
      <c r="C366" s="3" t="s">
        <v>23</v>
      </c>
      <c r="D366" s="3" t="s">
        <v>44</v>
      </c>
      <c r="E366" s="3" t="s">
        <v>25</v>
      </c>
      <c r="F366" s="3" t="s">
        <v>25</v>
      </c>
      <c r="G366" s="3" t="s">
        <v>25</v>
      </c>
      <c r="H366" s="3" t="s">
        <v>25</v>
      </c>
      <c r="I366" s="6">
        <v>44593</v>
      </c>
      <c r="J366" s="4">
        <v>0</v>
      </c>
      <c r="K366" s="4">
        <v>0</v>
      </c>
      <c r="L366" s="4">
        <v>27.195</v>
      </c>
      <c r="M366" s="4">
        <v>27.195</v>
      </c>
      <c r="N366" s="4">
        <v>27.195</v>
      </c>
      <c r="O366" s="4">
        <v>27.195</v>
      </c>
      <c r="P366" s="4">
        <v>38</v>
      </c>
      <c r="Q366" s="3" t="s">
        <v>26</v>
      </c>
      <c r="R366" s="3">
        <v>0</v>
      </c>
      <c r="S366" s="3" t="s">
        <v>258</v>
      </c>
      <c r="T366" s="3" t="s">
        <v>419</v>
      </c>
      <c r="U366" s="3">
        <v>0</v>
      </c>
      <c r="V366" s="3">
        <v>9</v>
      </c>
      <c r="W366" s="3">
        <v>56</v>
      </c>
    </row>
    <row r="367" spans="1:23" ht="11.25" customHeight="1" x14ac:dyDescent="0.25">
      <c r="A367" s="3" t="s">
        <v>21</v>
      </c>
      <c r="B367" s="3" t="s">
        <v>43</v>
      </c>
      <c r="C367" s="3" t="s">
        <v>23</v>
      </c>
      <c r="D367" s="3" t="s">
        <v>44</v>
      </c>
      <c r="E367" s="3" t="s">
        <v>25</v>
      </c>
      <c r="F367" s="3" t="s">
        <v>25</v>
      </c>
      <c r="G367" s="3" t="s">
        <v>25</v>
      </c>
      <c r="H367" s="3" t="s">
        <v>25</v>
      </c>
      <c r="I367" s="6">
        <v>44621</v>
      </c>
      <c r="J367" s="4">
        <v>0</v>
      </c>
      <c r="K367" s="4">
        <v>0</v>
      </c>
      <c r="L367" s="4">
        <v>235.93100000000001</v>
      </c>
      <c r="M367" s="4">
        <v>235.93100000000001</v>
      </c>
      <c r="N367" s="4">
        <v>235.93100000000001</v>
      </c>
      <c r="O367" s="4">
        <v>235.93100000000001</v>
      </c>
      <c r="P367" s="4">
        <v>524</v>
      </c>
      <c r="Q367" s="3" t="s">
        <v>26</v>
      </c>
      <c r="R367" s="3">
        <v>0</v>
      </c>
      <c r="S367" s="3" t="s">
        <v>254</v>
      </c>
      <c r="T367" s="3" t="s">
        <v>415</v>
      </c>
      <c r="U367" s="3">
        <v>0</v>
      </c>
      <c r="V367" s="3">
        <v>9</v>
      </c>
      <c r="W367" s="3">
        <v>56</v>
      </c>
    </row>
    <row r="368" spans="1:23" ht="11.25" customHeight="1" x14ac:dyDescent="0.25">
      <c r="A368" s="3" t="s">
        <v>27</v>
      </c>
      <c r="B368" s="3" t="s">
        <v>43</v>
      </c>
      <c r="C368" s="3" t="s">
        <v>23</v>
      </c>
      <c r="D368" s="3" t="s">
        <v>44</v>
      </c>
      <c r="E368" s="3" t="s">
        <v>25</v>
      </c>
      <c r="F368" s="3" t="s">
        <v>25</v>
      </c>
      <c r="G368" s="3" t="s">
        <v>25</v>
      </c>
      <c r="H368" s="3" t="s">
        <v>25</v>
      </c>
      <c r="I368" s="6">
        <v>44621</v>
      </c>
      <c r="J368" s="4">
        <v>0</v>
      </c>
      <c r="K368" s="4">
        <v>0</v>
      </c>
      <c r="L368" s="4">
        <v>-0.3</v>
      </c>
      <c r="M368" s="4">
        <v>-0.3</v>
      </c>
      <c r="N368" s="4">
        <v>-0.3</v>
      </c>
      <c r="O368" s="4">
        <v>-0.3</v>
      </c>
      <c r="P368" s="4">
        <v>0</v>
      </c>
      <c r="Q368" s="3" t="s">
        <v>26</v>
      </c>
      <c r="R368" s="3">
        <v>0</v>
      </c>
      <c r="S368" s="3" t="s">
        <v>254</v>
      </c>
      <c r="T368" s="3" t="s">
        <v>415</v>
      </c>
      <c r="U368" s="3">
        <v>0</v>
      </c>
      <c r="V368" s="3">
        <v>9</v>
      </c>
      <c r="W368" s="3">
        <v>56</v>
      </c>
    </row>
    <row r="369" spans="1:23" ht="11.25" customHeight="1" x14ac:dyDescent="0.25">
      <c r="A369" s="3" t="s">
        <v>28</v>
      </c>
      <c r="B369" s="3" t="s">
        <v>43</v>
      </c>
      <c r="C369" s="3" t="s">
        <v>23</v>
      </c>
      <c r="D369" s="3" t="s">
        <v>44</v>
      </c>
      <c r="E369" s="3" t="s">
        <v>25</v>
      </c>
      <c r="F369" s="3" t="s">
        <v>25</v>
      </c>
      <c r="G369" s="3" t="s">
        <v>25</v>
      </c>
      <c r="H369" s="3" t="s">
        <v>25</v>
      </c>
      <c r="I369" s="6">
        <v>44621</v>
      </c>
      <c r="J369" s="4">
        <v>0</v>
      </c>
      <c r="K369" s="4">
        <v>0</v>
      </c>
      <c r="L369" s="4">
        <v>34.454999999999998</v>
      </c>
      <c r="M369" s="4">
        <v>34.454999999999998</v>
      </c>
      <c r="N369" s="4">
        <v>34.454999999999998</v>
      </c>
      <c r="O369" s="4">
        <v>34.454999999999998</v>
      </c>
      <c r="P369" s="4">
        <v>40</v>
      </c>
      <c r="Q369" s="3" t="s">
        <v>26</v>
      </c>
      <c r="R369" s="3">
        <v>0</v>
      </c>
      <c r="S369" s="3" t="s">
        <v>254</v>
      </c>
      <c r="T369" s="3" t="s">
        <v>415</v>
      </c>
      <c r="U369" s="3">
        <v>0</v>
      </c>
      <c r="V369" s="3">
        <v>9</v>
      </c>
      <c r="W369" s="3">
        <v>56</v>
      </c>
    </row>
    <row r="370" spans="1:23" ht="11.25" customHeight="1" x14ac:dyDescent="0.25">
      <c r="A370" s="3" t="s">
        <v>21</v>
      </c>
      <c r="B370" s="3" t="s">
        <v>39</v>
      </c>
      <c r="C370" s="3" t="s">
        <v>23</v>
      </c>
      <c r="D370" s="3" t="s">
        <v>42</v>
      </c>
      <c r="E370" s="3" t="s">
        <v>25</v>
      </c>
      <c r="F370" s="3" t="s">
        <v>25</v>
      </c>
      <c r="G370" s="3" t="s">
        <v>25</v>
      </c>
      <c r="H370" s="3" t="s">
        <v>25</v>
      </c>
      <c r="I370" s="6">
        <v>44287</v>
      </c>
      <c r="J370" s="4">
        <v>0</v>
      </c>
      <c r="K370" s="4">
        <v>0</v>
      </c>
      <c r="L370" s="4">
        <v>288.08100000000002</v>
      </c>
      <c r="M370" s="4">
        <v>288.08100000000002</v>
      </c>
      <c r="N370" s="4">
        <v>288.08100000000002</v>
      </c>
      <c r="O370" s="4">
        <v>288.08100000000002</v>
      </c>
      <c r="P370" s="4">
        <v>652</v>
      </c>
      <c r="Q370" s="3" t="s">
        <v>26</v>
      </c>
      <c r="R370" s="3">
        <v>0</v>
      </c>
      <c r="S370" s="3" t="s">
        <v>259</v>
      </c>
      <c r="T370" s="3" t="s">
        <v>420</v>
      </c>
      <c r="U370" s="3">
        <v>0</v>
      </c>
      <c r="V370" s="3">
        <v>39</v>
      </c>
      <c r="W370" s="3">
        <v>73</v>
      </c>
    </row>
    <row r="371" spans="1:23" ht="11.25" customHeight="1" x14ac:dyDescent="0.25">
      <c r="A371" s="3" t="s">
        <v>27</v>
      </c>
      <c r="B371" s="3" t="s">
        <v>39</v>
      </c>
      <c r="C371" s="3" t="s">
        <v>23</v>
      </c>
      <c r="D371" s="3" t="s">
        <v>42</v>
      </c>
      <c r="E371" s="3" t="s">
        <v>25</v>
      </c>
      <c r="F371" s="3" t="s">
        <v>25</v>
      </c>
      <c r="G371" s="3" t="s">
        <v>25</v>
      </c>
      <c r="H371" s="3" t="s">
        <v>25</v>
      </c>
      <c r="I371" s="6">
        <v>44287</v>
      </c>
      <c r="J371" s="4">
        <v>0</v>
      </c>
      <c r="K371" s="4">
        <v>0</v>
      </c>
      <c r="L371" s="4">
        <v>-0.47899999999999998</v>
      </c>
      <c r="M371" s="4">
        <v>-0.47899999999999998</v>
      </c>
      <c r="N371" s="4">
        <v>-0.47899999999999998</v>
      </c>
      <c r="O371" s="4">
        <v>-0.47899999999999998</v>
      </c>
      <c r="P371" s="4">
        <v>0</v>
      </c>
      <c r="Q371" s="3" t="s">
        <v>26</v>
      </c>
      <c r="R371" s="3">
        <v>0</v>
      </c>
      <c r="S371" s="3" t="s">
        <v>259</v>
      </c>
      <c r="T371" s="3" t="s">
        <v>420</v>
      </c>
      <c r="U371" s="3">
        <v>0</v>
      </c>
      <c r="V371" s="3">
        <v>39</v>
      </c>
      <c r="W371" s="3">
        <v>73</v>
      </c>
    </row>
    <row r="372" spans="1:23" ht="11.25" customHeight="1" x14ac:dyDescent="0.25">
      <c r="A372" s="3" t="s">
        <v>28</v>
      </c>
      <c r="B372" s="3" t="s">
        <v>39</v>
      </c>
      <c r="C372" s="3" t="s">
        <v>23</v>
      </c>
      <c r="D372" s="3" t="s">
        <v>42</v>
      </c>
      <c r="E372" s="3" t="s">
        <v>25</v>
      </c>
      <c r="F372" s="3" t="s">
        <v>25</v>
      </c>
      <c r="G372" s="3" t="s">
        <v>25</v>
      </c>
      <c r="H372" s="3" t="s">
        <v>25</v>
      </c>
      <c r="I372" s="6">
        <v>44287</v>
      </c>
      <c r="J372" s="4">
        <v>0</v>
      </c>
      <c r="K372" s="4">
        <v>0</v>
      </c>
      <c r="L372" s="4">
        <v>2.069</v>
      </c>
      <c r="M372" s="4">
        <v>2.069</v>
      </c>
      <c r="N372" s="4">
        <v>2.069</v>
      </c>
      <c r="O372" s="4">
        <v>2.069</v>
      </c>
      <c r="P372" s="4">
        <v>6</v>
      </c>
      <c r="Q372" s="3" t="s">
        <v>26</v>
      </c>
      <c r="R372" s="3">
        <v>0</v>
      </c>
      <c r="S372" s="3" t="s">
        <v>259</v>
      </c>
      <c r="T372" s="3" t="s">
        <v>420</v>
      </c>
      <c r="U372" s="3">
        <v>0</v>
      </c>
      <c r="V372" s="3">
        <v>39</v>
      </c>
      <c r="W372" s="3">
        <v>73</v>
      </c>
    </row>
    <row r="373" spans="1:23" ht="11.25" customHeight="1" x14ac:dyDescent="0.25">
      <c r="A373" s="3" t="s">
        <v>21</v>
      </c>
      <c r="B373" s="3" t="s">
        <v>39</v>
      </c>
      <c r="C373" s="3" t="s">
        <v>23</v>
      </c>
      <c r="D373" s="3" t="s">
        <v>42</v>
      </c>
      <c r="E373" s="3" t="s">
        <v>25</v>
      </c>
      <c r="F373" s="3" t="s">
        <v>25</v>
      </c>
      <c r="G373" s="3" t="s">
        <v>25</v>
      </c>
      <c r="H373" s="3" t="s">
        <v>25</v>
      </c>
      <c r="I373" s="6">
        <v>44317</v>
      </c>
      <c r="J373" s="4">
        <v>0</v>
      </c>
      <c r="K373" s="4">
        <v>0</v>
      </c>
      <c r="L373" s="4">
        <v>256.959</v>
      </c>
      <c r="M373" s="4">
        <v>256.959</v>
      </c>
      <c r="N373" s="4">
        <v>256.959</v>
      </c>
      <c r="O373" s="4">
        <v>256.959</v>
      </c>
      <c r="P373" s="4">
        <v>656</v>
      </c>
      <c r="Q373" s="3" t="s">
        <v>26</v>
      </c>
      <c r="R373" s="3">
        <v>0</v>
      </c>
      <c r="S373" s="3" t="s">
        <v>260</v>
      </c>
      <c r="T373" s="3" t="s">
        <v>421</v>
      </c>
      <c r="U373" s="3">
        <v>0</v>
      </c>
      <c r="V373" s="3">
        <v>39</v>
      </c>
      <c r="W373" s="3">
        <v>73</v>
      </c>
    </row>
    <row r="374" spans="1:23" ht="11.25" customHeight="1" x14ac:dyDescent="0.25">
      <c r="A374" s="3" t="s">
        <v>28</v>
      </c>
      <c r="B374" s="3" t="s">
        <v>39</v>
      </c>
      <c r="C374" s="3" t="s">
        <v>23</v>
      </c>
      <c r="D374" s="3" t="s">
        <v>42</v>
      </c>
      <c r="E374" s="3" t="s">
        <v>25</v>
      </c>
      <c r="F374" s="3" t="s">
        <v>25</v>
      </c>
      <c r="G374" s="3" t="s">
        <v>25</v>
      </c>
      <c r="H374" s="3" t="s">
        <v>25</v>
      </c>
      <c r="I374" s="6">
        <v>44317</v>
      </c>
      <c r="J374" s="4">
        <v>0</v>
      </c>
      <c r="K374" s="4">
        <v>0</v>
      </c>
      <c r="L374" s="4">
        <v>2.9409999999999998</v>
      </c>
      <c r="M374" s="4">
        <v>2.9409999999999998</v>
      </c>
      <c r="N374" s="4">
        <v>2.9409999999999998</v>
      </c>
      <c r="O374" s="4">
        <v>2.9409999999999998</v>
      </c>
      <c r="P374" s="4">
        <v>7</v>
      </c>
      <c r="Q374" s="3" t="s">
        <v>26</v>
      </c>
      <c r="R374" s="3">
        <v>0</v>
      </c>
      <c r="S374" s="3" t="s">
        <v>260</v>
      </c>
      <c r="T374" s="3" t="s">
        <v>421</v>
      </c>
      <c r="U374" s="3">
        <v>0</v>
      </c>
      <c r="V374" s="3">
        <v>39</v>
      </c>
      <c r="W374" s="3">
        <v>73</v>
      </c>
    </row>
    <row r="375" spans="1:23" ht="11.25" customHeight="1" x14ac:dyDescent="0.25">
      <c r="A375" s="3" t="s">
        <v>21</v>
      </c>
      <c r="B375" s="3" t="s">
        <v>39</v>
      </c>
      <c r="C375" s="3" t="s">
        <v>23</v>
      </c>
      <c r="D375" s="3" t="s">
        <v>42</v>
      </c>
      <c r="E375" s="3" t="s">
        <v>25</v>
      </c>
      <c r="F375" s="3" t="s">
        <v>25</v>
      </c>
      <c r="G375" s="3" t="s">
        <v>25</v>
      </c>
      <c r="H375" s="3" t="s">
        <v>25</v>
      </c>
      <c r="I375" s="6">
        <v>44348</v>
      </c>
      <c r="J375" s="4">
        <v>0</v>
      </c>
      <c r="K375" s="4">
        <v>0</v>
      </c>
      <c r="L375" s="4">
        <v>262.52999999999997</v>
      </c>
      <c r="M375" s="4">
        <v>262.52999999999997</v>
      </c>
      <c r="N375" s="4">
        <v>262.52999999999997</v>
      </c>
      <c r="O375" s="4">
        <v>262.52999999999997</v>
      </c>
      <c r="P375" s="4">
        <v>660</v>
      </c>
      <c r="Q375" s="3" t="s">
        <v>26</v>
      </c>
      <c r="R375" s="3">
        <v>0</v>
      </c>
      <c r="S375" s="3" t="s">
        <v>261</v>
      </c>
      <c r="T375" s="3" t="s">
        <v>422</v>
      </c>
      <c r="U375" s="3">
        <v>0</v>
      </c>
      <c r="V375" s="3">
        <v>39</v>
      </c>
      <c r="W375" s="3">
        <v>73</v>
      </c>
    </row>
    <row r="376" spans="1:23" ht="11.25" customHeight="1" x14ac:dyDescent="0.25">
      <c r="A376" s="3" t="s">
        <v>28</v>
      </c>
      <c r="B376" s="3" t="s">
        <v>39</v>
      </c>
      <c r="C376" s="3" t="s">
        <v>23</v>
      </c>
      <c r="D376" s="3" t="s">
        <v>42</v>
      </c>
      <c r="E376" s="3" t="s">
        <v>25</v>
      </c>
      <c r="F376" s="3" t="s">
        <v>25</v>
      </c>
      <c r="G376" s="3" t="s">
        <v>25</v>
      </c>
      <c r="H376" s="3" t="s">
        <v>25</v>
      </c>
      <c r="I376" s="6">
        <v>44348</v>
      </c>
      <c r="J376" s="4">
        <v>0</v>
      </c>
      <c r="K376" s="4">
        <v>0</v>
      </c>
      <c r="L376" s="4">
        <v>3.2669999999999999</v>
      </c>
      <c r="M376" s="4">
        <v>3.2669999999999999</v>
      </c>
      <c r="N376" s="4">
        <v>3.2669999999999999</v>
      </c>
      <c r="O376" s="4">
        <v>3.2669999999999999</v>
      </c>
      <c r="P376" s="4">
        <v>7</v>
      </c>
      <c r="Q376" s="3" t="s">
        <v>26</v>
      </c>
      <c r="R376" s="3">
        <v>0</v>
      </c>
      <c r="S376" s="3" t="s">
        <v>261</v>
      </c>
      <c r="T376" s="3" t="s">
        <v>422</v>
      </c>
      <c r="U376" s="3">
        <v>0</v>
      </c>
      <c r="V376" s="3">
        <v>39</v>
      </c>
      <c r="W376" s="3">
        <v>73</v>
      </c>
    </row>
    <row r="377" spans="1:23" ht="11.25" customHeight="1" x14ac:dyDescent="0.25">
      <c r="A377" s="3" t="s">
        <v>21</v>
      </c>
      <c r="B377" s="3" t="s">
        <v>39</v>
      </c>
      <c r="C377" s="3" t="s">
        <v>23</v>
      </c>
      <c r="D377" s="3" t="s">
        <v>42</v>
      </c>
      <c r="E377" s="3" t="s">
        <v>25</v>
      </c>
      <c r="F377" s="3" t="s">
        <v>25</v>
      </c>
      <c r="G377" s="3" t="s">
        <v>25</v>
      </c>
      <c r="H377" s="3" t="s">
        <v>25</v>
      </c>
      <c r="I377" s="6">
        <v>44378</v>
      </c>
      <c r="J377" s="4">
        <v>0</v>
      </c>
      <c r="K377" s="4">
        <v>0</v>
      </c>
      <c r="L377" s="4">
        <v>237.82300000000001</v>
      </c>
      <c r="M377" s="4">
        <v>237.82300000000001</v>
      </c>
      <c r="N377" s="4">
        <v>237.82300000000001</v>
      </c>
      <c r="O377" s="4">
        <v>237.82300000000001</v>
      </c>
      <c r="P377" s="4">
        <v>665</v>
      </c>
      <c r="Q377" s="3" t="s">
        <v>26</v>
      </c>
      <c r="R377" s="3">
        <v>0</v>
      </c>
      <c r="S377" s="3" t="s">
        <v>262</v>
      </c>
      <c r="T377" s="3" t="s">
        <v>423</v>
      </c>
      <c r="U377" s="3">
        <v>0</v>
      </c>
      <c r="V377" s="3">
        <v>39</v>
      </c>
      <c r="W377" s="3">
        <v>73</v>
      </c>
    </row>
    <row r="378" spans="1:23" ht="11.25" customHeight="1" x14ac:dyDescent="0.25">
      <c r="A378" s="3" t="s">
        <v>27</v>
      </c>
      <c r="B378" s="3" t="s">
        <v>39</v>
      </c>
      <c r="C378" s="3" t="s">
        <v>23</v>
      </c>
      <c r="D378" s="3" t="s">
        <v>42</v>
      </c>
      <c r="E378" s="3" t="s">
        <v>25</v>
      </c>
      <c r="F378" s="3" t="s">
        <v>25</v>
      </c>
      <c r="G378" s="3" t="s">
        <v>25</v>
      </c>
      <c r="H378" s="3" t="s">
        <v>25</v>
      </c>
      <c r="I378" s="6">
        <v>44378</v>
      </c>
      <c r="J378" s="4">
        <v>0</v>
      </c>
      <c r="K378" s="4">
        <v>0</v>
      </c>
      <c r="L378" s="4">
        <v>0.36</v>
      </c>
      <c r="M378" s="4">
        <v>0.36</v>
      </c>
      <c r="N378" s="4">
        <v>0.36</v>
      </c>
      <c r="O378" s="4">
        <v>0.36</v>
      </c>
      <c r="P378" s="4">
        <v>0</v>
      </c>
      <c r="Q378" s="3" t="s">
        <v>26</v>
      </c>
      <c r="R378" s="3">
        <v>0</v>
      </c>
      <c r="S378" s="3" t="s">
        <v>262</v>
      </c>
      <c r="T378" s="3" t="s">
        <v>423</v>
      </c>
      <c r="U378" s="3">
        <v>0</v>
      </c>
      <c r="V378" s="3">
        <v>39</v>
      </c>
      <c r="W378" s="3">
        <v>73</v>
      </c>
    </row>
    <row r="379" spans="1:23" ht="11.25" customHeight="1" x14ac:dyDescent="0.25">
      <c r="A379" s="3" t="s">
        <v>28</v>
      </c>
      <c r="B379" s="3" t="s">
        <v>39</v>
      </c>
      <c r="C379" s="3" t="s">
        <v>23</v>
      </c>
      <c r="D379" s="3" t="s">
        <v>42</v>
      </c>
      <c r="E379" s="3" t="s">
        <v>25</v>
      </c>
      <c r="F379" s="3" t="s">
        <v>25</v>
      </c>
      <c r="G379" s="3" t="s">
        <v>25</v>
      </c>
      <c r="H379" s="3" t="s">
        <v>25</v>
      </c>
      <c r="I379" s="6">
        <v>44378</v>
      </c>
      <c r="J379" s="4">
        <v>0</v>
      </c>
      <c r="K379" s="4">
        <v>0</v>
      </c>
      <c r="L379" s="4">
        <v>3.0489999999999999</v>
      </c>
      <c r="M379" s="4">
        <v>3.0489999999999999</v>
      </c>
      <c r="N379" s="4">
        <v>3.0489999999999999</v>
      </c>
      <c r="O379" s="4">
        <v>3.0489999999999999</v>
      </c>
      <c r="P379" s="4">
        <v>7</v>
      </c>
      <c r="Q379" s="3" t="s">
        <v>26</v>
      </c>
      <c r="R379" s="3">
        <v>0</v>
      </c>
      <c r="S379" s="3" t="s">
        <v>262</v>
      </c>
      <c r="T379" s="3" t="s">
        <v>423</v>
      </c>
      <c r="U379" s="3">
        <v>0</v>
      </c>
      <c r="V379" s="3">
        <v>39</v>
      </c>
      <c r="W379" s="3">
        <v>73</v>
      </c>
    </row>
    <row r="380" spans="1:23" ht="11.25" customHeight="1" x14ac:dyDescent="0.25">
      <c r="A380" s="3" t="s">
        <v>21</v>
      </c>
      <c r="B380" s="3" t="s">
        <v>39</v>
      </c>
      <c r="C380" s="3" t="s">
        <v>23</v>
      </c>
      <c r="D380" s="3" t="s">
        <v>42</v>
      </c>
      <c r="E380" s="3" t="s">
        <v>25</v>
      </c>
      <c r="F380" s="3" t="s">
        <v>25</v>
      </c>
      <c r="G380" s="3" t="s">
        <v>25</v>
      </c>
      <c r="H380" s="3" t="s">
        <v>25</v>
      </c>
      <c r="I380" s="6">
        <v>44409</v>
      </c>
      <c r="J380" s="4">
        <v>0</v>
      </c>
      <c r="K380" s="4">
        <v>0</v>
      </c>
      <c r="L380" s="4">
        <v>254.83600000000001</v>
      </c>
      <c r="M380" s="4">
        <v>254.83600000000001</v>
      </c>
      <c r="N380" s="4">
        <v>254.83600000000001</v>
      </c>
      <c r="O380" s="4">
        <v>254.83600000000001</v>
      </c>
      <c r="P380" s="4">
        <v>664</v>
      </c>
      <c r="Q380" s="3" t="s">
        <v>26</v>
      </c>
      <c r="R380" s="3">
        <v>0</v>
      </c>
      <c r="S380" s="3" t="s">
        <v>263</v>
      </c>
      <c r="T380" s="3" t="s">
        <v>424</v>
      </c>
      <c r="U380" s="3">
        <v>0</v>
      </c>
      <c r="V380" s="3">
        <v>39</v>
      </c>
      <c r="W380" s="3">
        <v>73</v>
      </c>
    </row>
    <row r="381" spans="1:23" ht="11.25" customHeight="1" x14ac:dyDescent="0.25">
      <c r="A381" s="3" t="s">
        <v>28</v>
      </c>
      <c r="B381" s="3" t="s">
        <v>39</v>
      </c>
      <c r="C381" s="3" t="s">
        <v>23</v>
      </c>
      <c r="D381" s="3" t="s">
        <v>42</v>
      </c>
      <c r="E381" s="3" t="s">
        <v>25</v>
      </c>
      <c r="F381" s="3" t="s">
        <v>25</v>
      </c>
      <c r="G381" s="3" t="s">
        <v>25</v>
      </c>
      <c r="H381" s="3" t="s">
        <v>25</v>
      </c>
      <c r="I381" s="6">
        <v>44409</v>
      </c>
      <c r="J381" s="4">
        <v>0</v>
      </c>
      <c r="K381" s="4">
        <v>0</v>
      </c>
      <c r="L381" s="4">
        <v>2.7719999999999998</v>
      </c>
      <c r="M381" s="4">
        <v>2.7719999999999998</v>
      </c>
      <c r="N381" s="4">
        <v>2.7719999999999998</v>
      </c>
      <c r="O381" s="4">
        <v>2.7719999999999998</v>
      </c>
      <c r="P381" s="4">
        <v>7</v>
      </c>
      <c r="Q381" s="3" t="s">
        <v>26</v>
      </c>
      <c r="R381" s="3">
        <v>0</v>
      </c>
      <c r="S381" s="3" t="s">
        <v>263</v>
      </c>
      <c r="T381" s="3" t="s">
        <v>424</v>
      </c>
      <c r="U381" s="3">
        <v>0</v>
      </c>
      <c r="V381" s="3">
        <v>39</v>
      </c>
      <c r="W381" s="3">
        <v>73</v>
      </c>
    </row>
    <row r="382" spans="1:23" ht="11.25" customHeight="1" x14ac:dyDescent="0.25">
      <c r="A382" s="3" t="s">
        <v>21</v>
      </c>
      <c r="B382" s="3" t="s">
        <v>39</v>
      </c>
      <c r="C382" s="3" t="s">
        <v>23</v>
      </c>
      <c r="D382" s="3" t="s">
        <v>42</v>
      </c>
      <c r="E382" s="3" t="s">
        <v>25</v>
      </c>
      <c r="F382" s="3" t="s">
        <v>25</v>
      </c>
      <c r="G382" s="3" t="s">
        <v>25</v>
      </c>
      <c r="H382" s="3" t="s">
        <v>25</v>
      </c>
      <c r="I382" s="6">
        <v>44440</v>
      </c>
      <c r="J382" s="4">
        <v>0</v>
      </c>
      <c r="K382" s="4">
        <v>0</v>
      </c>
      <c r="L382" s="4">
        <v>280.89600000000002</v>
      </c>
      <c r="M382" s="4">
        <v>280.89600000000002</v>
      </c>
      <c r="N382" s="4">
        <v>280.89600000000002</v>
      </c>
      <c r="O382" s="4">
        <v>280.89600000000002</v>
      </c>
      <c r="P382" s="4">
        <v>662</v>
      </c>
      <c r="Q382" s="3" t="s">
        <v>26</v>
      </c>
      <c r="R382" s="3">
        <v>0</v>
      </c>
      <c r="S382" s="3" t="s">
        <v>264</v>
      </c>
      <c r="T382" s="3" t="s">
        <v>425</v>
      </c>
      <c r="U382" s="3">
        <v>0</v>
      </c>
      <c r="V382" s="3">
        <v>39</v>
      </c>
      <c r="W382" s="3">
        <v>73</v>
      </c>
    </row>
    <row r="383" spans="1:23" ht="11.25" customHeight="1" x14ac:dyDescent="0.25">
      <c r="A383" s="3" t="s">
        <v>28</v>
      </c>
      <c r="B383" s="3" t="s">
        <v>39</v>
      </c>
      <c r="C383" s="3" t="s">
        <v>23</v>
      </c>
      <c r="D383" s="3" t="s">
        <v>42</v>
      </c>
      <c r="E383" s="3" t="s">
        <v>25</v>
      </c>
      <c r="F383" s="3" t="s">
        <v>25</v>
      </c>
      <c r="G383" s="3" t="s">
        <v>25</v>
      </c>
      <c r="H383" s="3" t="s">
        <v>25</v>
      </c>
      <c r="I383" s="6">
        <v>44440</v>
      </c>
      <c r="J383" s="4">
        <v>0</v>
      </c>
      <c r="K383" s="4">
        <v>0</v>
      </c>
      <c r="L383" s="4">
        <v>4.492</v>
      </c>
      <c r="M383" s="4">
        <v>4.492</v>
      </c>
      <c r="N383" s="4">
        <v>4.492</v>
      </c>
      <c r="O383" s="4">
        <v>4.492</v>
      </c>
      <c r="P383" s="4">
        <v>8</v>
      </c>
      <c r="Q383" s="3" t="s">
        <v>26</v>
      </c>
      <c r="R383" s="3">
        <v>0</v>
      </c>
      <c r="S383" s="3" t="s">
        <v>264</v>
      </c>
      <c r="T383" s="3" t="s">
        <v>425</v>
      </c>
      <c r="U383" s="3">
        <v>0</v>
      </c>
      <c r="V383" s="3">
        <v>39</v>
      </c>
      <c r="W383" s="3">
        <v>73</v>
      </c>
    </row>
    <row r="384" spans="1:23" ht="11.25" customHeight="1" x14ac:dyDescent="0.25">
      <c r="A384" s="3" t="s">
        <v>21</v>
      </c>
      <c r="B384" s="3" t="s">
        <v>39</v>
      </c>
      <c r="C384" s="3" t="s">
        <v>23</v>
      </c>
      <c r="D384" s="3" t="s">
        <v>42</v>
      </c>
      <c r="E384" s="3" t="s">
        <v>25</v>
      </c>
      <c r="F384" s="3" t="s">
        <v>25</v>
      </c>
      <c r="G384" s="3" t="s">
        <v>25</v>
      </c>
      <c r="H384" s="3" t="s">
        <v>25</v>
      </c>
      <c r="I384" s="6">
        <v>44470</v>
      </c>
      <c r="J384" s="4">
        <v>0</v>
      </c>
      <c r="K384" s="4">
        <v>0</v>
      </c>
      <c r="L384" s="4">
        <v>272.7</v>
      </c>
      <c r="M384" s="4">
        <v>272.7</v>
      </c>
      <c r="N384" s="4">
        <v>272.7</v>
      </c>
      <c r="O384" s="4">
        <v>272.7</v>
      </c>
      <c r="P384" s="4">
        <v>663</v>
      </c>
      <c r="Q384" s="3" t="s">
        <v>26</v>
      </c>
      <c r="R384" s="3">
        <v>0</v>
      </c>
      <c r="S384" s="3" t="s">
        <v>265</v>
      </c>
      <c r="T384" s="3" t="s">
        <v>426</v>
      </c>
      <c r="U384" s="3">
        <v>0</v>
      </c>
      <c r="V384" s="3">
        <v>39</v>
      </c>
      <c r="W384" s="3">
        <v>73</v>
      </c>
    </row>
    <row r="385" spans="1:23" ht="11.25" customHeight="1" x14ac:dyDescent="0.25">
      <c r="A385" s="3" t="s">
        <v>27</v>
      </c>
      <c r="B385" s="3" t="s">
        <v>39</v>
      </c>
      <c r="C385" s="3" t="s">
        <v>23</v>
      </c>
      <c r="D385" s="3" t="s">
        <v>42</v>
      </c>
      <c r="E385" s="3" t="s">
        <v>25</v>
      </c>
      <c r="F385" s="3" t="s">
        <v>25</v>
      </c>
      <c r="G385" s="3" t="s">
        <v>25</v>
      </c>
      <c r="H385" s="3" t="s">
        <v>25</v>
      </c>
      <c r="I385" s="6">
        <v>44470</v>
      </c>
      <c r="J385" s="4">
        <v>0</v>
      </c>
      <c r="K385" s="4">
        <v>0</v>
      </c>
      <c r="L385" s="4">
        <v>-0.56799999999999995</v>
      </c>
      <c r="M385" s="4">
        <v>-0.56799999999999995</v>
      </c>
      <c r="N385" s="4">
        <v>-0.56799999999999995</v>
      </c>
      <c r="O385" s="4">
        <v>-0.56799999999999995</v>
      </c>
      <c r="P385" s="4">
        <v>0</v>
      </c>
      <c r="Q385" s="3" t="s">
        <v>26</v>
      </c>
      <c r="R385" s="3">
        <v>0</v>
      </c>
      <c r="S385" s="3" t="s">
        <v>265</v>
      </c>
      <c r="T385" s="3" t="s">
        <v>426</v>
      </c>
      <c r="U385" s="3">
        <v>0</v>
      </c>
      <c r="V385" s="3">
        <v>39</v>
      </c>
      <c r="W385" s="3">
        <v>73</v>
      </c>
    </row>
    <row r="386" spans="1:23" ht="11.25" customHeight="1" x14ac:dyDescent="0.25">
      <c r="A386" s="3" t="s">
        <v>28</v>
      </c>
      <c r="B386" s="3" t="s">
        <v>39</v>
      </c>
      <c r="C386" s="3" t="s">
        <v>23</v>
      </c>
      <c r="D386" s="3" t="s">
        <v>42</v>
      </c>
      <c r="E386" s="3" t="s">
        <v>25</v>
      </c>
      <c r="F386" s="3" t="s">
        <v>25</v>
      </c>
      <c r="G386" s="3" t="s">
        <v>25</v>
      </c>
      <c r="H386" s="3" t="s">
        <v>25</v>
      </c>
      <c r="I386" s="6">
        <v>44470</v>
      </c>
      <c r="J386" s="4">
        <v>0</v>
      </c>
      <c r="K386" s="4">
        <v>0</v>
      </c>
      <c r="L386" s="4">
        <v>4.4340000000000002</v>
      </c>
      <c r="M386" s="4">
        <v>4.4340000000000002</v>
      </c>
      <c r="N386" s="4">
        <v>4.4340000000000002</v>
      </c>
      <c r="O386" s="4">
        <v>4.4340000000000002</v>
      </c>
      <c r="P386" s="4">
        <v>8</v>
      </c>
      <c r="Q386" s="3" t="s">
        <v>26</v>
      </c>
      <c r="R386" s="3">
        <v>0</v>
      </c>
      <c r="S386" s="3" t="s">
        <v>265</v>
      </c>
      <c r="T386" s="3" t="s">
        <v>426</v>
      </c>
      <c r="U386" s="3">
        <v>0</v>
      </c>
      <c r="V386" s="3">
        <v>39</v>
      </c>
      <c r="W386" s="3">
        <v>73</v>
      </c>
    </row>
    <row r="387" spans="1:23" ht="11.25" customHeight="1" x14ac:dyDescent="0.25">
      <c r="A387" s="3" t="s">
        <v>21</v>
      </c>
      <c r="B387" s="3" t="s">
        <v>39</v>
      </c>
      <c r="C387" s="3" t="s">
        <v>23</v>
      </c>
      <c r="D387" s="3" t="s">
        <v>42</v>
      </c>
      <c r="E387" s="3" t="s">
        <v>25</v>
      </c>
      <c r="F387" s="3" t="s">
        <v>25</v>
      </c>
      <c r="G387" s="3" t="s">
        <v>25</v>
      </c>
      <c r="H387" s="3" t="s">
        <v>25</v>
      </c>
      <c r="I387" s="6">
        <v>44501</v>
      </c>
      <c r="J387" s="4">
        <v>0</v>
      </c>
      <c r="K387" s="4">
        <v>0</v>
      </c>
      <c r="L387" s="4">
        <v>272.077</v>
      </c>
      <c r="M387" s="4">
        <v>272.077</v>
      </c>
      <c r="N387" s="4">
        <v>272.077</v>
      </c>
      <c r="O387" s="4">
        <v>272.077</v>
      </c>
      <c r="P387" s="4">
        <v>661</v>
      </c>
      <c r="Q387" s="3" t="s">
        <v>26</v>
      </c>
      <c r="R387" s="3">
        <v>0</v>
      </c>
      <c r="S387" s="3" t="s">
        <v>266</v>
      </c>
      <c r="T387" s="3" t="s">
        <v>427</v>
      </c>
      <c r="U387" s="3">
        <v>0</v>
      </c>
      <c r="V387" s="3">
        <v>39</v>
      </c>
      <c r="W387" s="3">
        <v>73</v>
      </c>
    </row>
    <row r="388" spans="1:23" ht="11.25" customHeight="1" x14ac:dyDescent="0.25">
      <c r="A388" s="3" t="s">
        <v>28</v>
      </c>
      <c r="B388" s="3" t="s">
        <v>39</v>
      </c>
      <c r="C388" s="3" t="s">
        <v>23</v>
      </c>
      <c r="D388" s="3" t="s">
        <v>42</v>
      </c>
      <c r="E388" s="3" t="s">
        <v>25</v>
      </c>
      <c r="F388" s="3" t="s">
        <v>25</v>
      </c>
      <c r="G388" s="3" t="s">
        <v>25</v>
      </c>
      <c r="H388" s="3" t="s">
        <v>25</v>
      </c>
      <c r="I388" s="6">
        <v>44501</v>
      </c>
      <c r="J388" s="4">
        <v>0</v>
      </c>
      <c r="K388" s="4">
        <v>0</v>
      </c>
      <c r="L388" s="4">
        <v>4.4800000000000004</v>
      </c>
      <c r="M388" s="4">
        <v>4.4800000000000004</v>
      </c>
      <c r="N388" s="4">
        <v>4.4800000000000004</v>
      </c>
      <c r="O388" s="4">
        <v>4.4800000000000004</v>
      </c>
      <c r="P388" s="4">
        <v>9</v>
      </c>
      <c r="Q388" s="3" t="s">
        <v>26</v>
      </c>
      <c r="R388" s="3">
        <v>0</v>
      </c>
      <c r="S388" s="3" t="s">
        <v>266</v>
      </c>
      <c r="T388" s="3" t="s">
        <v>427</v>
      </c>
      <c r="U388" s="3">
        <v>0</v>
      </c>
      <c r="V388" s="3">
        <v>39</v>
      </c>
      <c r="W388" s="3">
        <v>73</v>
      </c>
    </row>
    <row r="389" spans="1:23" ht="11.25" customHeight="1" x14ac:dyDescent="0.25">
      <c r="A389" s="3" t="s">
        <v>21</v>
      </c>
      <c r="B389" s="3" t="s">
        <v>39</v>
      </c>
      <c r="C389" s="3" t="s">
        <v>23</v>
      </c>
      <c r="D389" s="3" t="s">
        <v>42</v>
      </c>
      <c r="E389" s="3" t="s">
        <v>25</v>
      </c>
      <c r="F389" s="3" t="s">
        <v>25</v>
      </c>
      <c r="G389" s="3" t="s">
        <v>25</v>
      </c>
      <c r="H389" s="3" t="s">
        <v>25</v>
      </c>
      <c r="I389" s="6">
        <v>44531</v>
      </c>
      <c r="J389" s="4">
        <v>0</v>
      </c>
      <c r="K389" s="4">
        <v>0</v>
      </c>
      <c r="L389" s="4">
        <v>280.637</v>
      </c>
      <c r="M389" s="4">
        <v>280.637</v>
      </c>
      <c r="N389" s="4">
        <v>280.637</v>
      </c>
      <c r="O389" s="4">
        <v>280.637</v>
      </c>
      <c r="P389" s="4">
        <v>664</v>
      </c>
      <c r="Q389" s="3" t="s">
        <v>26</v>
      </c>
      <c r="R389" s="3">
        <v>0</v>
      </c>
      <c r="S389" s="3" t="s">
        <v>267</v>
      </c>
      <c r="T389" s="3" t="s">
        <v>428</v>
      </c>
      <c r="U389" s="3">
        <v>0</v>
      </c>
      <c r="V389" s="3">
        <v>39</v>
      </c>
      <c r="W389" s="3">
        <v>73</v>
      </c>
    </row>
    <row r="390" spans="1:23" ht="11.25" customHeight="1" x14ac:dyDescent="0.25">
      <c r="A390" s="3" t="s">
        <v>28</v>
      </c>
      <c r="B390" s="3" t="s">
        <v>39</v>
      </c>
      <c r="C390" s="3" t="s">
        <v>23</v>
      </c>
      <c r="D390" s="3" t="s">
        <v>42</v>
      </c>
      <c r="E390" s="3" t="s">
        <v>25</v>
      </c>
      <c r="F390" s="3" t="s">
        <v>25</v>
      </c>
      <c r="G390" s="3" t="s">
        <v>25</v>
      </c>
      <c r="H390" s="3" t="s">
        <v>25</v>
      </c>
      <c r="I390" s="6">
        <v>44531</v>
      </c>
      <c r="J390" s="4">
        <v>0</v>
      </c>
      <c r="K390" s="4">
        <v>0</v>
      </c>
      <c r="L390" s="4">
        <v>3.5219999999999998</v>
      </c>
      <c r="M390" s="4">
        <v>3.5219999999999998</v>
      </c>
      <c r="N390" s="4">
        <v>3.5219999999999998</v>
      </c>
      <c r="O390" s="4">
        <v>3.5219999999999998</v>
      </c>
      <c r="P390" s="4">
        <v>10</v>
      </c>
      <c r="Q390" s="3" t="s">
        <v>26</v>
      </c>
      <c r="R390" s="3">
        <v>0</v>
      </c>
      <c r="S390" s="3" t="s">
        <v>267</v>
      </c>
      <c r="T390" s="3" t="s">
        <v>428</v>
      </c>
      <c r="U390" s="3">
        <v>0</v>
      </c>
      <c r="V390" s="3">
        <v>39</v>
      </c>
      <c r="W390" s="3">
        <v>73</v>
      </c>
    </row>
    <row r="391" spans="1:23" ht="11.25" customHeight="1" x14ac:dyDescent="0.25">
      <c r="A391" s="3" t="s">
        <v>21</v>
      </c>
      <c r="B391" s="3" t="s">
        <v>39</v>
      </c>
      <c r="C391" s="3" t="s">
        <v>23</v>
      </c>
      <c r="D391" s="3" t="s">
        <v>42</v>
      </c>
      <c r="E391" s="3" t="s">
        <v>25</v>
      </c>
      <c r="F391" s="3" t="s">
        <v>25</v>
      </c>
      <c r="G391" s="3" t="s">
        <v>25</v>
      </c>
      <c r="H391" s="3" t="s">
        <v>25</v>
      </c>
      <c r="I391" s="6">
        <v>44562</v>
      </c>
      <c r="J391" s="4">
        <v>0</v>
      </c>
      <c r="K391" s="4">
        <v>0</v>
      </c>
      <c r="L391" s="4">
        <v>289.33</v>
      </c>
      <c r="M391" s="4">
        <v>289.33</v>
      </c>
      <c r="N391" s="4">
        <v>289.33</v>
      </c>
      <c r="O391" s="4">
        <v>289.33</v>
      </c>
      <c r="P391" s="4">
        <v>664</v>
      </c>
      <c r="Q391" s="3" t="s">
        <v>26</v>
      </c>
      <c r="R391" s="3">
        <v>0</v>
      </c>
      <c r="S391" s="3" t="s">
        <v>268</v>
      </c>
      <c r="T391" s="3" t="s">
        <v>429</v>
      </c>
      <c r="U391" s="3">
        <v>0</v>
      </c>
      <c r="V391" s="3">
        <v>39</v>
      </c>
      <c r="W391" s="3">
        <v>73</v>
      </c>
    </row>
    <row r="392" spans="1:23" ht="11.25" customHeight="1" x14ac:dyDescent="0.25">
      <c r="A392" s="3" t="s">
        <v>28</v>
      </c>
      <c r="B392" s="3" t="s">
        <v>39</v>
      </c>
      <c r="C392" s="3" t="s">
        <v>23</v>
      </c>
      <c r="D392" s="3" t="s">
        <v>42</v>
      </c>
      <c r="E392" s="3" t="s">
        <v>25</v>
      </c>
      <c r="F392" s="3" t="s">
        <v>25</v>
      </c>
      <c r="G392" s="3" t="s">
        <v>25</v>
      </c>
      <c r="H392" s="3" t="s">
        <v>25</v>
      </c>
      <c r="I392" s="6">
        <v>44562</v>
      </c>
      <c r="J392" s="4">
        <v>0</v>
      </c>
      <c r="K392" s="4">
        <v>0</v>
      </c>
      <c r="L392" s="4">
        <v>7.1459999999999999</v>
      </c>
      <c r="M392" s="4">
        <v>7.1459999999999999</v>
      </c>
      <c r="N392" s="4">
        <v>7.1459999999999999</v>
      </c>
      <c r="O392" s="4">
        <v>7.1459999999999999</v>
      </c>
      <c r="P392" s="4">
        <v>12</v>
      </c>
      <c r="Q392" s="3" t="s">
        <v>26</v>
      </c>
      <c r="R392" s="3">
        <v>0</v>
      </c>
      <c r="S392" s="3" t="s">
        <v>268</v>
      </c>
      <c r="T392" s="3" t="s">
        <v>429</v>
      </c>
      <c r="U392" s="3">
        <v>0</v>
      </c>
      <c r="V392" s="3">
        <v>39</v>
      </c>
      <c r="W392" s="3">
        <v>73</v>
      </c>
    </row>
    <row r="393" spans="1:23" ht="11.25" customHeight="1" x14ac:dyDescent="0.25">
      <c r="A393" s="3" t="s">
        <v>21</v>
      </c>
      <c r="B393" s="3" t="s">
        <v>39</v>
      </c>
      <c r="C393" s="3" t="s">
        <v>23</v>
      </c>
      <c r="D393" s="3" t="s">
        <v>42</v>
      </c>
      <c r="E393" s="3" t="s">
        <v>25</v>
      </c>
      <c r="F393" s="3" t="s">
        <v>25</v>
      </c>
      <c r="G393" s="3" t="s">
        <v>25</v>
      </c>
      <c r="H393" s="3" t="s">
        <v>25</v>
      </c>
      <c r="I393" s="6">
        <v>44593</v>
      </c>
      <c r="J393" s="4">
        <v>0</v>
      </c>
      <c r="K393" s="4">
        <v>0</v>
      </c>
      <c r="L393" s="4">
        <v>316.45400000000001</v>
      </c>
      <c r="M393" s="4">
        <v>316.45400000000001</v>
      </c>
      <c r="N393" s="4">
        <v>316.45400000000001</v>
      </c>
      <c r="O393" s="4">
        <v>316.45400000000001</v>
      </c>
      <c r="P393" s="4">
        <v>665</v>
      </c>
      <c r="Q393" s="3" t="s">
        <v>26</v>
      </c>
      <c r="R393" s="3">
        <v>0</v>
      </c>
      <c r="S393" s="3" t="s">
        <v>269</v>
      </c>
      <c r="T393" s="3" t="s">
        <v>430</v>
      </c>
      <c r="U393" s="3">
        <v>0</v>
      </c>
      <c r="V393" s="3">
        <v>39</v>
      </c>
      <c r="W393" s="3">
        <v>73</v>
      </c>
    </row>
    <row r="394" spans="1:23" ht="11.25" customHeight="1" x14ac:dyDescent="0.25">
      <c r="A394" s="3" t="s">
        <v>28</v>
      </c>
      <c r="B394" s="3" t="s">
        <v>39</v>
      </c>
      <c r="C394" s="3" t="s">
        <v>23</v>
      </c>
      <c r="D394" s="3" t="s">
        <v>42</v>
      </c>
      <c r="E394" s="3" t="s">
        <v>25</v>
      </c>
      <c r="F394" s="3" t="s">
        <v>25</v>
      </c>
      <c r="G394" s="3" t="s">
        <v>25</v>
      </c>
      <c r="H394" s="3" t="s">
        <v>25</v>
      </c>
      <c r="I394" s="6">
        <v>44593</v>
      </c>
      <c r="J394" s="4">
        <v>0</v>
      </c>
      <c r="K394" s="4">
        <v>0</v>
      </c>
      <c r="L394" s="4">
        <v>3.4529999999999998</v>
      </c>
      <c r="M394" s="4">
        <v>3.4529999999999998</v>
      </c>
      <c r="N394" s="4">
        <v>3.4529999999999998</v>
      </c>
      <c r="O394" s="4">
        <v>3.4529999999999998</v>
      </c>
      <c r="P394" s="4">
        <v>12</v>
      </c>
      <c r="Q394" s="3" t="s">
        <v>26</v>
      </c>
      <c r="R394" s="3">
        <v>0</v>
      </c>
      <c r="S394" s="3" t="s">
        <v>269</v>
      </c>
      <c r="T394" s="3" t="s">
        <v>430</v>
      </c>
      <c r="U394" s="3">
        <v>0</v>
      </c>
      <c r="V394" s="3">
        <v>39</v>
      </c>
      <c r="W394" s="3">
        <v>73</v>
      </c>
    </row>
    <row r="395" spans="1:23" ht="11.25" customHeight="1" x14ac:dyDescent="0.25">
      <c r="A395" s="3" t="s">
        <v>21</v>
      </c>
      <c r="B395" s="3" t="s">
        <v>39</v>
      </c>
      <c r="C395" s="3" t="s">
        <v>23</v>
      </c>
      <c r="D395" s="3" t="s">
        <v>42</v>
      </c>
      <c r="E395" s="3" t="s">
        <v>25</v>
      </c>
      <c r="F395" s="3" t="s">
        <v>25</v>
      </c>
      <c r="G395" s="3" t="s">
        <v>25</v>
      </c>
      <c r="H395" s="3" t="s">
        <v>25</v>
      </c>
      <c r="I395" s="6">
        <v>44621</v>
      </c>
      <c r="J395" s="4">
        <v>0</v>
      </c>
      <c r="K395" s="4">
        <v>0</v>
      </c>
      <c r="L395" s="4">
        <v>310.82</v>
      </c>
      <c r="M395" s="4">
        <v>310.82</v>
      </c>
      <c r="N395" s="4">
        <v>310.82</v>
      </c>
      <c r="O395" s="4">
        <v>310.82</v>
      </c>
      <c r="P395" s="4">
        <v>665</v>
      </c>
      <c r="Q395" s="3" t="s">
        <v>26</v>
      </c>
      <c r="R395" s="3">
        <v>0</v>
      </c>
      <c r="S395" s="3" t="s">
        <v>270</v>
      </c>
      <c r="T395" s="3" t="s">
        <v>431</v>
      </c>
      <c r="U395" s="3">
        <v>0</v>
      </c>
      <c r="V395" s="3">
        <v>39</v>
      </c>
      <c r="W395" s="3">
        <v>73</v>
      </c>
    </row>
    <row r="396" spans="1:23" ht="11.25" customHeight="1" x14ac:dyDescent="0.25">
      <c r="A396" s="3" t="s">
        <v>28</v>
      </c>
      <c r="B396" s="3" t="s">
        <v>39</v>
      </c>
      <c r="C396" s="3" t="s">
        <v>23</v>
      </c>
      <c r="D396" s="3" t="s">
        <v>42</v>
      </c>
      <c r="E396" s="3" t="s">
        <v>25</v>
      </c>
      <c r="F396" s="3" t="s">
        <v>25</v>
      </c>
      <c r="G396" s="3" t="s">
        <v>25</v>
      </c>
      <c r="H396" s="3" t="s">
        <v>25</v>
      </c>
      <c r="I396" s="6">
        <v>44621</v>
      </c>
      <c r="J396" s="4">
        <v>0</v>
      </c>
      <c r="K396" s="4">
        <v>0</v>
      </c>
      <c r="L396" s="4">
        <v>5.0650000000000004</v>
      </c>
      <c r="M396" s="4">
        <v>5.0650000000000004</v>
      </c>
      <c r="N396" s="4">
        <v>5.0650000000000004</v>
      </c>
      <c r="O396" s="4">
        <v>5.0650000000000004</v>
      </c>
      <c r="P396" s="4">
        <v>13</v>
      </c>
      <c r="Q396" s="3" t="s">
        <v>26</v>
      </c>
      <c r="R396" s="3">
        <v>0</v>
      </c>
      <c r="S396" s="3" t="s">
        <v>270</v>
      </c>
      <c r="T396" s="3" t="s">
        <v>431</v>
      </c>
      <c r="U396" s="3">
        <v>0</v>
      </c>
      <c r="V396" s="3">
        <v>39</v>
      </c>
      <c r="W396" s="3">
        <v>73</v>
      </c>
    </row>
    <row r="397" spans="1:23" ht="11.25" customHeight="1" x14ac:dyDescent="0.25">
      <c r="A397" s="3" t="s">
        <v>21</v>
      </c>
      <c r="B397" s="3" t="s">
        <v>39</v>
      </c>
      <c r="C397" s="3" t="s">
        <v>23</v>
      </c>
      <c r="D397" s="3" t="s">
        <v>51</v>
      </c>
      <c r="E397" s="3" t="s">
        <v>25</v>
      </c>
      <c r="F397" s="3" t="s">
        <v>25</v>
      </c>
      <c r="G397" s="3" t="s">
        <v>25</v>
      </c>
      <c r="H397" s="3" t="s">
        <v>25</v>
      </c>
      <c r="I397" s="6">
        <v>44287</v>
      </c>
      <c r="J397" s="4">
        <v>0</v>
      </c>
      <c r="K397" s="4">
        <v>0</v>
      </c>
      <c r="L397" s="4">
        <v>0.38</v>
      </c>
      <c r="M397" s="4">
        <v>0.38</v>
      </c>
      <c r="N397" s="4">
        <v>0.38</v>
      </c>
      <c r="O397" s="4">
        <v>0.38</v>
      </c>
      <c r="P397" s="4">
        <v>4</v>
      </c>
      <c r="Q397" s="3" t="s">
        <v>26</v>
      </c>
      <c r="R397" s="3">
        <v>0</v>
      </c>
      <c r="S397" s="3" t="s">
        <v>259</v>
      </c>
      <c r="T397" s="3" t="s">
        <v>420</v>
      </c>
      <c r="U397" s="3">
        <v>0</v>
      </c>
      <c r="V397" s="3">
        <v>39</v>
      </c>
      <c r="W397" s="3">
        <v>73</v>
      </c>
    </row>
    <row r="398" spans="1:23" ht="11.25" customHeight="1" x14ac:dyDescent="0.25">
      <c r="A398" s="3" t="s">
        <v>28</v>
      </c>
      <c r="B398" s="3" t="s">
        <v>39</v>
      </c>
      <c r="C398" s="3" t="s">
        <v>23</v>
      </c>
      <c r="D398" s="3" t="s">
        <v>51</v>
      </c>
      <c r="E398" s="3" t="s">
        <v>25</v>
      </c>
      <c r="F398" s="3" t="s">
        <v>25</v>
      </c>
      <c r="G398" s="3" t="s">
        <v>25</v>
      </c>
      <c r="H398" s="3" t="s">
        <v>25</v>
      </c>
      <c r="I398" s="6">
        <v>44287</v>
      </c>
      <c r="J398" s="4">
        <v>0</v>
      </c>
      <c r="K398" s="4">
        <v>0</v>
      </c>
      <c r="L398" s="4">
        <v>2.7160000000000002</v>
      </c>
      <c r="M398" s="4">
        <v>2.7160000000000002</v>
      </c>
      <c r="N398" s="4">
        <v>2.7160000000000002</v>
      </c>
      <c r="O398" s="4">
        <v>2.7160000000000002</v>
      </c>
      <c r="P398" s="4">
        <v>2</v>
      </c>
      <c r="Q398" s="3" t="s">
        <v>26</v>
      </c>
      <c r="R398" s="3">
        <v>0</v>
      </c>
      <c r="S398" s="3" t="s">
        <v>259</v>
      </c>
      <c r="T398" s="3" t="s">
        <v>420</v>
      </c>
      <c r="U398" s="3">
        <v>0</v>
      </c>
      <c r="V398" s="3">
        <v>39</v>
      </c>
      <c r="W398" s="3">
        <v>73</v>
      </c>
    </row>
    <row r="399" spans="1:23" ht="11.25" customHeight="1" x14ac:dyDescent="0.25">
      <c r="A399" s="3" t="s">
        <v>21</v>
      </c>
      <c r="B399" s="3" t="s">
        <v>39</v>
      </c>
      <c r="C399" s="3" t="s">
        <v>23</v>
      </c>
      <c r="D399" s="3" t="s">
        <v>51</v>
      </c>
      <c r="E399" s="3" t="s">
        <v>25</v>
      </c>
      <c r="F399" s="3" t="s">
        <v>25</v>
      </c>
      <c r="G399" s="3" t="s">
        <v>25</v>
      </c>
      <c r="H399" s="3" t="s">
        <v>25</v>
      </c>
      <c r="I399" s="6">
        <v>44317</v>
      </c>
      <c r="J399" s="4">
        <v>0</v>
      </c>
      <c r="K399" s="4">
        <v>0</v>
      </c>
      <c r="L399" s="4">
        <v>2.427</v>
      </c>
      <c r="M399" s="4">
        <v>2.427</v>
      </c>
      <c r="N399" s="4">
        <v>2.427</v>
      </c>
      <c r="O399" s="4">
        <v>2.427</v>
      </c>
      <c r="P399" s="4">
        <v>5</v>
      </c>
      <c r="Q399" s="3" t="s">
        <v>26</v>
      </c>
      <c r="R399" s="3">
        <v>0</v>
      </c>
      <c r="S399" s="3" t="s">
        <v>260</v>
      </c>
      <c r="T399" s="3" t="s">
        <v>421</v>
      </c>
      <c r="U399" s="3">
        <v>0</v>
      </c>
      <c r="V399" s="3">
        <v>39</v>
      </c>
      <c r="W399" s="3">
        <v>73</v>
      </c>
    </row>
    <row r="400" spans="1:23" ht="11.25" customHeight="1" x14ac:dyDescent="0.25">
      <c r="A400" s="3" t="s">
        <v>28</v>
      </c>
      <c r="B400" s="3" t="s">
        <v>39</v>
      </c>
      <c r="C400" s="3" t="s">
        <v>23</v>
      </c>
      <c r="D400" s="3" t="s">
        <v>51</v>
      </c>
      <c r="E400" s="3" t="s">
        <v>25</v>
      </c>
      <c r="F400" s="3" t="s">
        <v>25</v>
      </c>
      <c r="G400" s="3" t="s">
        <v>25</v>
      </c>
      <c r="H400" s="3" t="s">
        <v>25</v>
      </c>
      <c r="I400" s="6">
        <v>44317</v>
      </c>
      <c r="J400" s="4">
        <v>0</v>
      </c>
      <c r="K400" s="4">
        <v>0</v>
      </c>
      <c r="L400" s="4">
        <v>0.1</v>
      </c>
      <c r="M400" s="4">
        <v>0.1</v>
      </c>
      <c r="N400" s="4">
        <v>0.1</v>
      </c>
      <c r="O400" s="4">
        <v>0.1</v>
      </c>
      <c r="P400" s="4">
        <v>1</v>
      </c>
      <c r="Q400" s="3" t="s">
        <v>26</v>
      </c>
      <c r="R400" s="3">
        <v>0</v>
      </c>
      <c r="S400" s="3" t="s">
        <v>260</v>
      </c>
      <c r="T400" s="3" t="s">
        <v>421</v>
      </c>
      <c r="U400" s="3">
        <v>0</v>
      </c>
      <c r="V400" s="3">
        <v>39</v>
      </c>
      <c r="W400" s="3">
        <v>73</v>
      </c>
    </row>
    <row r="401" spans="1:23" ht="11.25" customHeight="1" x14ac:dyDescent="0.25">
      <c r="A401" s="3" t="s">
        <v>21</v>
      </c>
      <c r="B401" s="3" t="s">
        <v>39</v>
      </c>
      <c r="C401" s="3" t="s">
        <v>23</v>
      </c>
      <c r="D401" s="3" t="s">
        <v>51</v>
      </c>
      <c r="E401" s="3" t="s">
        <v>25</v>
      </c>
      <c r="F401" s="3" t="s">
        <v>25</v>
      </c>
      <c r="G401" s="3" t="s">
        <v>25</v>
      </c>
      <c r="H401" s="3" t="s">
        <v>25</v>
      </c>
      <c r="I401" s="6">
        <v>44348</v>
      </c>
      <c r="J401" s="4">
        <v>0</v>
      </c>
      <c r="K401" s="4">
        <v>0</v>
      </c>
      <c r="L401" s="4">
        <v>2.044</v>
      </c>
      <c r="M401" s="4">
        <v>2.044</v>
      </c>
      <c r="N401" s="4">
        <v>2.044</v>
      </c>
      <c r="O401" s="4">
        <v>2.044</v>
      </c>
      <c r="P401" s="4">
        <v>5</v>
      </c>
      <c r="Q401" s="3" t="s">
        <v>26</v>
      </c>
      <c r="R401" s="3">
        <v>0</v>
      </c>
      <c r="S401" s="3" t="s">
        <v>261</v>
      </c>
      <c r="T401" s="3" t="s">
        <v>422</v>
      </c>
      <c r="U401" s="3">
        <v>0</v>
      </c>
      <c r="V401" s="3">
        <v>39</v>
      </c>
      <c r="W401" s="3">
        <v>73</v>
      </c>
    </row>
    <row r="402" spans="1:23" ht="11.25" customHeight="1" x14ac:dyDescent="0.25">
      <c r="A402" s="3" t="s">
        <v>28</v>
      </c>
      <c r="B402" s="3" t="s">
        <v>39</v>
      </c>
      <c r="C402" s="3" t="s">
        <v>23</v>
      </c>
      <c r="D402" s="3" t="s">
        <v>51</v>
      </c>
      <c r="E402" s="3" t="s">
        <v>25</v>
      </c>
      <c r="F402" s="3" t="s">
        <v>25</v>
      </c>
      <c r="G402" s="3" t="s">
        <v>25</v>
      </c>
      <c r="H402" s="3" t="s">
        <v>25</v>
      </c>
      <c r="I402" s="6">
        <v>44348</v>
      </c>
      <c r="J402" s="4">
        <v>0</v>
      </c>
      <c r="K402" s="4">
        <v>0</v>
      </c>
      <c r="L402" s="4">
        <v>0.1</v>
      </c>
      <c r="M402" s="4">
        <v>0.1</v>
      </c>
      <c r="N402" s="4">
        <v>0.1</v>
      </c>
      <c r="O402" s="4">
        <v>0.1</v>
      </c>
      <c r="P402" s="4">
        <v>1</v>
      </c>
      <c r="Q402" s="3" t="s">
        <v>26</v>
      </c>
      <c r="R402" s="3">
        <v>0</v>
      </c>
      <c r="S402" s="3" t="s">
        <v>261</v>
      </c>
      <c r="T402" s="3" t="s">
        <v>422</v>
      </c>
      <c r="U402" s="3">
        <v>0</v>
      </c>
      <c r="V402" s="3">
        <v>39</v>
      </c>
      <c r="W402" s="3">
        <v>73</v>
      </c>
    </row>
    <row r="403" spans="1:23" ht="11.25" customHeight="1" x14ac:dyDescent="0.25">
      <c r="A403" s="3" t="s">
        <v>21</v>
      </c>
      <c r="B403" s="3" t="s">
        <v>39</v>
      </c>
      <c r="C403" s="3" t="s">
        <v>23</v>
      </c>
      <c r="D403" s="3" t="s">
        <v>51</v>
      </c>
      <c r="E403" s="3" t="s">
        <v>25</v>
      </c>
      <c r="F403" s="3" t="s">
        <v>25</v>
      </c>
      <c r="G403" s="3" t="s">
        <v>25</v>
      </c>
      <c r="H403" s="3" t="s">
        <v>25</v>
      </c>
      <c r="I403" s="6">
        <v>44378</v>
      </c>
      <c r="J403" s="4">
        <v>0</v>
      </c>
      <c r="K403" s="4">
        <v>0</v>
      </c>
      <c r="L403" s="4">
        <v>0.254</v>
      </c>
      <c r="M403" s="4">
        <v>0.254</v>
      </c>
      <c r="N403" s="4">
        <v>0.254</v>
      </c>
      <c r="O403" s="4">
        <v>0.254</v>
      </c>
      <c r="P403" s="4">
        <v>4</v>
      </c>
      <c r="Q403" s="3" t="s">
        <v>26</v>
      </c>
      <c r="R403" s="3">
        <v>0</v>
      </c>
      <c r="S403" s="3" t="s">
        <v>262</v>
      </c>
      <c r="T403" s="3" t="s">
        <v>423</v>
      </c>
      <c r="U403" s="3">
        <v>0</v>
      </c>
      <c r="V403" s="3">
        <v>39</v>
      </c>
      <c r="W403" s="3">
        <v>73</v>
      </c>
    </row>
    <row r="404" spans="1:23" ht="11.25" customHeight="1" x14ac:dyDescent="0.25">
      <c r="A404" s="3" t="s">
        <v>28</v>
      </c>
      <c r="B404" s="3" t="s">
        <v>39</v>
      </c>
      <c r="C404" s="3" t="s">
        <v>23</v>
      </c>
      <c r="D404" s="3" t="s">
        <v>51</v>
      </c>
      <c r="E404" s="3" t="s">
        <v>25</v>
      </c>
      <c r="F404" s="3" t="s">
        <v>25</v>
      </c>
      <c r="G404" s="3" t="s">
        <v>25</v>
      </c>
      <c r="H404" s="3" t="s">
        <v>25</v>
      </c>
      <c r="I404" s="6">
        <v>44378</v>
      </c>
      <c r="J404" s="4">
        <v>0</v>
      </c>
      <c r="K404" s="4">
        <v>0</v>
      </c>
      <c r="L404" s="4">
        <v>1.4650000000000001</v>
      </c>
      <c r="M404" s="4">
        <v>1.4650000000000001</v>
      </c>
      <c r="N404" s="4">
        <v>1.4650000000000001</v>
      </c>
      <c r="O404" s="4">
        <v>1.4650000000000001</v>
      </c>
      <c r="P404" s="4">
        <v>2</v>
      </c>
      <c r="Q404" s="3" t="s">
        <v>26</v>
      </c>
      <c r="R404" s="3">
        <v>0</v>
      </c>
      <c r="S404" s="3" t="s">
        <v>262</v>
      </c>
      <c r="T404" s="3" t="s">
        <v>423</v>
      </c>
      <c r="U404" s="3">
        <v>0</v>
      </c>
      <c r="V404" s="3">
        <v>39</v>
      </c>
      <c r="W404" s="3">
        <v>73</v>
      </c>
    </row>
    <row r="405" spans="1:23" ht="11.25" customHeight="1" x14ac:dyDescent="0.25">
      <c r="A405" s="3" t="s">
        <v>21</v>
      </c>
      <c r="B405" s="3" t="s">
        <v>39</v>
      </c>
      <c r="C405" s="3" t="s">
        <v>23</v>
      </c>
      <c r="D405" s="3" t="s">
        <v>51</v>
      </c>
      <c r="E405" s="3" t="s">
        <v>25</v>
      </c>
      <c r="F405" s="3" t="s">
        <v>25</v>
      </c>
      <c r="G405" s="3" t="s">
        <v>25</v>
      </c>
      <c r="H405" s="3" t="s">
        <v>25</v>
      </c>
      <c r="I405" s="6">
        <v>44409</v>
      </c>
      <c r="J405" s="4">
        <v>0</v>
      </c>
      <c r="K405" s="4">
        <v>0</v>
      </c>
      <c r="L405" s="4">
        <v>0.24199999999999999</v>
      </c>
      <c r="M405" s="4">
        <v>0.24199999999999999</v>
      </c>
      <c r="N405" s="4">
        <v>0.24199999999999999</v>
      </c>
      <c r="O405" s="4">
        <v>0.24199999999999999</v>
      </c>
      <c r="P405" s="4">
        <v>4</v>
      </c>
      <c r="Q405" s="3" t="s">
        <v>26</v>
      </c>
      <c r="R405" s="3">
        <v>0</v>
      </c>
      <c r="S405" s="3" t="s">
        <v>263</v>
      </c>
      <c r="T405" s="3" t="s">
        <v>424</v>
      </c>
      <c r="U405" s="3">
        <v>0</v>
      </c>
      <c r="V405" s="3">
        <v>39</v>
      </c>
      <c r="W405" s="3">
        <v>73</v>
      </c>
    </row>
    <row r="406" spans="1:23" ht="11.25" customHeight="1" x14ac:dyDescent="0.25">
      <c r="A406" s="3" t="s">
        <v>28</v>
      </c>
      <c r="B406" s="3" t="s">
        <v>39</v>
      </c>
      <c r="C406" s="3" t="s">
        <v>23</v>
      </c>
      <c r="D406" s="3" t="s">
        <v>51</v>
      </c>
      <c r="E406" s="3" t="s">
        <v>25</v>
      </c>
      <c r="F406" s="3" t="s">
        <v>25</v>
      </c>
      <c r="G406" s="3" t="s">
        <v>25</v>
      </c>
      <c r="H406" s="3" t="s">
        <v>25</v>
      </c>
      <c r="I406" s="6">
        <v>44409</v>
      </c>
      <c r="J406" s="4">
        <v>0</v>
      </c>
      <c r="K406" s="4">
        <v>0</v>
      </c>
      <c r="L406" s="4">
        <v>1.3680000000000001</v>
      </c>
      <c r="M406" s="4">
        <v>1.3680000000000001</v>
      </c>
      <c r="N406" s="4">
        <v>1.3680000000000001</v>
      </c>
      <c r="O406" s="4">
        <v>1.3680000000000001</v>
      </c>
      <c r="P406" s="4">
        <v>2</v>
      </c>
      <c r="Q406" s="3" t="s">
        <v>26</v>
      </c>
      <c r="R406" s="3">
        <v>0</v>
      </c>
      <c r="S406" s="3" t="s">
        <v>263</v>
      </c>
      <c r="T406" s="3" t="s">
        <v>424</v>
      </c>
      <c r="U406" s="3">
        <v>0</v>
      </c>
      <c r="V406" s="3">
        <v>39</v>
      </c>
      <c r="W406" s="3">
        <v>73</v>
      </c>
    </row>
    <row r="407" spans="1:23" ht="11.25" customHeight="1" x14ac:dyDescent="0.25">
      <c r="A407" s="3" t="s">
        <v>21</v>
      </c>
      <c r="B407" s="3" t="s">
        <v>39</v>
      </c>
      <c r="C407" s="3" t="s">
        <v>23</v>
      </c>
      <c r="D407" s="3" t="s">
        <v>51</v>
      </c>
      <c r="E407" s="3" t="s">
        <v>25</v>
      </c>
      <c r="F407" s="3" t="s">
        <v>25</v>
      </c>
      <c r="G407" s="3" t="s">
        <v>25</v>
      </c>
      <c r="H407" s="3" t="s">
        <v>25</v>
      </c>
      <c r="I407" s="6">
        <v>44440</v>
      </c>
      <c r="J407" s="4">
        <v>0</v>
      </c>
      <c r="K407" s="4">
        <v>0</v>
      </c>
      <c r="L407" s="4">
        <v>2.2010000000000001</v>
      </c>
      <c r="M407" s="4">
        <v>2.2010000000000001</v>
      </c>
      <c r="N407" s="4">
        <v>2.2010000000000001</v>
      </c>
      <c r="O407" s="4">
        <v>2.2010000000000001</v>
      </c>
      <c r="P407" s="4">
        <v>5</v>
      </c>
      <c r="Q407" s="3" t="s">
        <v>26</v>
      </c>
      <c r="R407" s="3">
        <v>0</v>
      </c>
      <c r="S407" s="3" t="s">
        <v>264</v>
      </c>
      <c r="T407" s="3" t="s">
        <v>425</v>
      </c>
      <c r="U407" s="3">
        <v>0</v>
      </c>
      <c r="V407" s="3">
        <v>39</v>
      </c>
      <c r="W407" s="3">
        <v>73</v>
      </c>
    </row>
    <row r="408" spans="1:23" ht="11.25" customHeight="1" x14ac:dyDescent="0.25">
      <c r="A408" s="3" t="s">
        <v>28</v>
      </c>
      <c r="B408" s="3" t="s">
        <v>39</v>
      </c>
      <c r="C408" s="3" t="s">
        <v>23</v>
      </c>
      <c r="D408" s="3" t="s">
        <v>51</v>
      </c>
      <c r="E408" s="3" t="s">
        <v>25</v>
      </c>
      <c r="F408" s="3" t="s">
        <v>25</v>
      </c>
      <c r="G408" s="3" t="s">
        <v>25</v>
      </c>
      <c r="H408" s="3" t="s">
        <v>25</v>
      </c>
      <c r="I408" s="6">
        <v>44440</v>
      </c>
      <c r="J408" s="4">
        <v>0</v>
      </c>
      <c r="K408" s="4">
        <v>0</v>
      </c>
      <c r="L408" s="4">
        <v>0.1</v>
      </c>
      <c r="M408" s="4">
        <v>0.1</v>
      </c>
      <c r="N408" s="4">
        <v>0.1</v>
      </c>
      <c r="O408" s="4">
        <v>0.1</v>
      </c>
      <c r="P408" s="4">
        <v>1</v>
      </c>
      <c r="Q408" s="3" t="s">
        <v>26</v>
      </c>
      <c r="R408" s="3">
        <v>0</v>
      </c>
      <c r="S408" s="3" t="s">
        <v>264</v>
      </c>
      <c r="T408" s="3" t="s">
        <v>425</v>
      </c>
      <c r="U408" s="3">
        <v>0</v>
      </c>
      <c r="V408" s="3">
        <v>39</v>
      </c>
      <c r="W408" s="3">
        <v>73</v>
      </c>
    </row>
    <row r="409" spans="1:23" ht="11.25" customHeight="1" x14ac:dyDescent="0.25">
      <c r="A409" s="3" t="s">
        <v>21</v>
      </c>
      <c r="B409" s="3" t="s">
        <v>39</v>
      </c>
      <c r="C409" s="3" t="s">
        <v>23</v>
      </c>
      <c r="D409" s="3" t="s">
        <v>51</v>
      </c>
      <c r="E409" s="3" t="s">
        <v>25</v>
      </c>
      <c r="F409" s="3" t="s">
        <v>25</v>
      </c>
      <c r="G409" s="3" t="s">
        <v>25</v>
      </c>
      <c r="H409" s="3" t="s">
        <v>25</v>
      </c>
      <c r="I409" s="6">
        <v>44470</v>
      </c>
      <c r="J409" s="4">
        <v>0</v>
      </c>
      <c r="K409" s="4">
        <v>0</v>
      </c>
      <c r="L409" s="4">
        <v>2.4359999999999999</v>
      </c>
      <c r="M409" s="4">
        <v>2.4359999999999999</v>
      </c>
      <c r="N409" s="4">
        <v>2.4359999999999999</v>
      </c>
      <c r="O409" s="4">
        <v>2.4359999999999999</v>
      </c>
      <c r="P409" s="4">
        <v>5</v>
      </c>
      <c r="Q409" s="3" t="s">
        <v>26</v>
      </c>
      <c r="R409" s="3">
        <v>0</v>
      </c>
      <c r="S409" s="3" t="s">
        <v>265</v>
      </c>
      <c r="T409" s="3" t="s">
        <v>426</v>
      </c>
      <c r="U409" s="3">
        <v>0</v>
      </c>
      <c r="V409" s="3">
        <v>39</v>
      </c>
      <c r="W409" s="3">
        <v>73</v>
      </c>
    </row>
    <row r="410" spans="1:23" ht="11.25" customHeight="1" x14ac:dyDescent="0.25">
      <c r="A410" s="3" t="s">
        <v>28</v>
      </c>
      <c r="B410" s="3" t="s">
        <v>39</v>
      </c>
      <c r="C410" s="3" t="s">
        <v>23</v>
      </c>
      <c r="D410" s="3" t="s">
        <v>51</v>
      </c>
      <c r="E410" s="3" t="s">
        <v>25</v>
      </c>
      <c r="F410" s="3" t="s">
        <v>25</v>
      </c>
      <c r="G410" s="3" t="s">
        <v>25</v>
      </c>
      <c r="H410" s="3" t="s">
        <v>25</v>
      </c>
      <c r="I410" s="6">
        <v>44470</v>
      </c>
      <c r="J410" s="4">
        <v>0</v>
      </c>
      <c r="K410" s="4">
        <v>0</v>
      </c>
      <c r="L410" s="4">
        <v>0.1</v>
      </c>
      <c r="M410" s="4">
        <v>0.1</v>
      </c>
      <c r="N410" s="4">
        <v>0.1</v>
      </c>
      <c r="O410" s="4">
        <v>0.1</v>
      </c>
      <c r="P410" s="4">
        <v>1</v>
      </c>
      <c r="Q410" s="3" t="s">
        <v>26</v>
      </c>
      <c r="R410" s="3">
        <v>0</v>
      </c>
      <c r="S410" s="3" t="s">
        <v>265</v>
      </c>
      <c r="T410" s="3" t="s">
        <v>426</v>
      </c>
      <c r="U410" s="3">
        <v>0</v>
      </c>
      <c r="V410" s="3">
        <v>39</v>
      </c>
      <c r="W410" s="3">
        <v>73</v>
      </c>
    </row>
    <row r="411" spans="1:23" ht="11.25" customHeight="1" x14ac:dyDescent="0.25">
      <c r="A411" s="3" t="s">
        <v>21</v>
      </c>
      <c r="B411" s="3" t="s">
        <v>39</v>
      </c>
      <c r="C411" s="3" t="s">
        <v>23</v>
      </c>
      <c r="D411" s="3" t="s">
        <v>51</v>
      </c>
      <c r="E411" s="3" t="s">
        <v>25</v>
      </c>
      <c r="F411" s="3" t="s">
        <v>25</v>
      </c>
      <c r="G411" s="3" t="s">
        <v>25</v>
      </c>
      <c r="H411" s="3" t="s">
        <v>25</v>
      </c>
      <c r="I411" s="6">
        <v>44501</v>
      </c>
      <c r="J411" s="4">
        <v>0</v>
      </c>
      <c r="K411" s="4">
        <v>0</v>
      </c>
      <c r="L411" s="4">
        <v>2.31</v>
      </c>
      <c r="M411" s="4">
        <v>2.31</v>
      </c>
      <c r="N411" s="4">
        <v>2.31</v>
      </c>
      <c r="O411" s="4">
        <v>2.31</v>
      </c>
      <c r="P411" s="4">
        <v>5</v>
      </c>
      <c r="Q411" s="3" t="s">
        <v>26</v>
      </c>
      <c r="R411" s="3">
        <v>0</v>
      </c>
      <c r="S411" s="3" t="s">
        <v>266</v>
      </c>
      <c r="T411" s="3" t="s">
        <v>427</v>
      </c>
      <c r="U411" s="3">
        <v>0</v>
      </c>
      <c r="V411" s="3">
        <v>39</v>
      </c>
      <c r="W411" s="3">
        <v>73</v>
      </c>
    </row>
    <row r="412" spans="1:23" ht="11.25" customHeight="1" x14ac:dyDescent="0.25">
      <c r="A412" s="3" t="s">
        <v>28</v>
      </c>
      <c r="B412" s="3" t="s">
        <v>39</v>
      </c>
      <c r="C412" s="3" t="s">
        <v>23</v>
      </c>
      <c r="D412" s="3" t="s">
        <v>51</v>
      </c>
      <c r="E412" s="3" t="s">
        <v>25</v>
      </c>
      <c r="F412" s="3" t="s">
        <v>25</v>
      </c>
      <c r="G412" s="3" t="s">
        <v>25</v>
      </c>
      <c r="H412" s="3" t="s">
        <v>25</v>
      </c>
      <c r="I412" s="6">
        <v>44501</v>
      </c>
      <c r="J412" s="4">
        <v>0</v>
      </c>
      <c r="K412" s="4">
        <v>0</v>
      </c>
      <c r="L412" s="4">
        <v>0.1</v>
      </c>
      <c r="M412" s="4">
        <v>0.1</v>
      </c>
      <c r="N412" s="4">
        <v>0.1</v>
      </c>
      <c r="O412" s="4">
        <v>0.1</v>
      </c>
      <c r="P412" s="4">
        <v>1</v>
      </c>
      <c r="Q412" s="3" t="s">
        <v>26</v>
      </c>
      <c r="R412" s="3">
        <v>0</v>
      </c>
      <c r="S412" s="3" t="s">
        <v>266</v>
      </c>
      <c r="T412" s="3" t="s">
        <v>427</v>
      </c>
      <c r="U412" s="3">
        <v>0</v>
      </c>
      <c r="V412" s="3">
        <v>39</v>
      </c>
      <c r="W412" s="3">
        <v>73</v>
      </c>
    </row>
    <row r="413" spans="1:23" ht="11.25" customHeight="1" x14ac:dyDescent="0.25">
      <c r="A413" s="3" t="s">
        <v>21</v>
      </c>
      <c r="B413" s="3" t="s">
        <v>39</v>
      </c>
      <c r="C413" s="3" t="s">
        <v>23</v>
      </c>
      <c r="D413" s="3" t="s">
        <v>51</v>
      </c>
      <c r="E413" s="3" t="s">
        <v>25</v>
      </c>
      <c r="F413" s="3" t="s">
        <v>25</v>
      </c>
      <c r="G413" s="3" t="s">
        <v>25</v>
      </c>
      <c r="H413" s="3" t="s">
        <v>25</v>
      </c>
      <c r="I413" s="6">
        <v>44531</v>
      </c>
      <c r="J413" s="4">
        <v>0</v>
      </c>
      <c r="K413" s="4">
        <v>0</v>
      </c>
      <c r="L413" s="4">
        <v>0.66300000000000003</v>
      </c>
      <c r="M413" s="4">
        <v>0.66300000000000003</v>
      </c>
      <c r="N413" s="4">
        <v>0.66300000000000003</v>
      </c>
      <c r="O413" s="4">
        <v>0.66300000000000003</v>
      </c>
      <c r="P413" s="4">
        <v>4</v>
      </c>
      <c r="Q413" s="3" t="s">
        <v>26</v>
      </c>
      <c r="R413" s="3">
        <v>0</v>
      </c>
      <c r="S413" s="3" t="s">
        <v>267</v>
      </c>
      <c r="T413" s="3" t="s">
        <v>428</v>
      </c>
      <c r="U413" s="3">
        <v>0</v>
      </c>
      <c r="V413" s="3">
        <v>39</v>
      </c>
      <c r="W413" s="3">
        <v>73</v>
      </c>
    </row>
    <row r="414" spans="1:23" ht="11.25" customHeight="1" x14ac:dyDescent="0.25">
      <c r="A414" s="3" t="s">
        <v>28</v>
      </c>
      <c r="B414" s="3" t="s">
        <v>39</v>
      </c>
      <c r="C414" s="3" t="s">
        <v>23</v>
      </c>
      <c r="D414" s="3" t="s">
        <v>51</v>
      </c>
      <c r="E414" s="3" t="s">
        <v>25</v>
      </c>
      <c r="F414" s="3" t="s">
        <v>25</v>
      </c>
      <c r="G414" s="3" t="s">
        <v>25</v>
      </c>
      <c r="H414" s="3" t="s">
        <v>25</v>
      </c>
      <c r="I414" s="6">
        <v>44531</v>
      </c>
      <c r="J414" s="4">
        <v>0</v>
      </c>
      <c r="K414" s="4">
        <v>0</v>
      </c>
      <c r="L414" s="4">
        <v>2.2400000000000002</v>
      </c>
      <c r="M414" s="4">
        <v>2.2400000000000002</v>
      </c>
      <c r="N414" s="4">
        <v>2.2400000000000002</v>
      </c>
      <c r="O414" s="4">
        <v>2.2400000000000002</v>
      </c>
      <c r="P414" s="4">
        <v>2</v>
      </c>
      <c r="Q414" s="3" t="s">
        <v>26</v>
      </c>
      <c r="R414" s="3">
        <v>0</v>
      </c>
      <c r="S414" s="3" t="s">
        <v>267</v>
      </c>
      <c r="T414" s="3" t="s">
        <v>428</v>
      </c>
      <c r="U414" s="3">
        <v>0</v>
      </c>
      <c r="V414" s="3">
        <v>39</v>
      </c>
      <c r="W414" s="3">
        <v>73</v>
      </c>
    </row>
    <row r="415" spans="1:23" ht="11.25" customHeight="1" x14ac:dyDescent="0.25">
      <c r="A415" s="3" t="s">
        <v>21</v>
      </c>
      <c r="B415" s="3" t="s">
        <v>39</v>
      </c>
      <c r="C415" s="3" t="s">
        <v>23</v>
      </c>
      <c r="D415" s="3" t="s">
        <v>51</v>
      </c>
      <c r="E415" s="3" t="s">
        <v>25</v>
      </c>
      <c r="F415" s="3" t="s">
        <v>25</v>
      </c>
      <c r="G415" s="3" t="s">
        <v>25</v>
      </c>
      <c r="H415" s="3" t="s">
        <v>25</v>
      </c>
      <c r="I415" s="6">
        <v>44562</v>
      </c>
      <c r="J415" s="4">
        <v>0</v>
      </c>
      <c r="K415" s="4">
        <v>0</v>
      </c>
      <c r="L415" s="4">
        <v>3.4569999999999999</v>
      </c>
      <c r="M415" s="4">
        <v>3.4569999999999999</v>
      </c>
      <c r="N415" s="4">
        <v>3.4569999999999999</v>
      </c>
      <c r="O415" s="4">
        <v>3.4569999999999999</v>
      </c>
      <c r="P415" s="4">
        <v>5</v>
      </c>
      <c r="Q415" s="3" t="s">
        <v>26</v>
      </c>
      <c r="R415" s="3">
        <v>0</v>
      </c>
      <c r="S415" s="3" t="s">
        <v>268</v>
      </c>
      <c r="T415" s="3" t="s">
        <v>429</v>
      </c>
      <c r="U415" s="3">
        <v>0</v>
      </c>
      <c r="V415" s="3">
        <v>39</v>
      </c>
      <c r="W415" s="3">
        <v>73</v>
      </c>
    </row>
    <row r="416" spans="1:23" ht="11.25" customHeight="1" x14ac:dyDescent="0.25">
      <c r="A416" s="3" t="s">
        <v>28</v>
      </c>
      <c r="B416" s="3" t="s">
        <v>39</v>
      </c>
      <c r="C416" s="3" t="s">
        <v>23</v>
      </c>
      <c r="D416" s="3" t="s">
        <v>51</v>
      </c>
      <c r="E416" s="3" t="s">
        <v>25</v>
      </c>
      <c r="F416" s="3" t="s">
        <v>25</v>
      </c>
      <c r="G416" s="3" t="s">
        <v>25</v>
      </c>
      <c r="H416" s="3" t="s">
        <v>25</v>
      </c>
      <c r="I416" s="6">
        <v>44562</v>
      </c>
      <c r="J416" s="4">
        <v>0</v>
      </c>
      <c r="K416" s="4">
        <v>0</v>
      </c>
      <c r="L416" s="4">
        <v>0.11700000000000001</v>
      </c>
      <c r="M416" s="4">
        <v>0.11700000000000001</v>
      </c>
      <c r="N416" s="4">
        <v>0.11700000000000001</v>
      </c>
      <c r="O416" s="4">
        <v>0.11700000000000001</v>
      </c>
      <c r="P416" s="4">
        <v>1</v>
      </c>
      <c r="Q416" s="3" t="s">
        <v>26</v>
      </c>
      <c r="R416" s="3">
        <v>0</v>
      </c>
      <c r="S416" s="3" t="s">
        <v>268</v>
      </c>
      <c r="T416" s="3" t="s">
        <v>429</v>
      </c>
      <c r="U416" s="3">
        <v>0</v>
      </c>
      <c r="V416" s="3">
        <v>39</v>
      </c>
      <c r="W416" s="3">
        <v>73</v>
      </c>
    </row>
    <row r="417" spans="1:23" ht="11.25" customHeight="1" x14ac:dyDescent="0.25">
      <c r="A417" s="3" t="s">
        <v>21</v>
      </c>
      <c r="B417" s="3" t="s">
        <v>39</v>
      </c>
      <c r="C417" s="3" t="s">
        <v>23</v>
      </c>
      <c r="D417" s="3" t="s">
        <v>51</v>
      </c>
      <c r="E417" s="3" t="s">
        <v>25</v>
      </c>
      <c r="F417" s="3" t="s">
        <v>25</v>
      </c>
      <c r="G417" s="3" t="s">
        <v>25</v>
      </c>
      <c r="H417" s="3" t="s">
        <v>25</v>
      </c>
      <c r="I417" s="6">
        <v>44593</v>
      </c>
      <c r="J417" s="4">
        <v>0</v>
      </c>
      <c r="K417" s="4">
        <v>0</v>
      </c>
      <c r="L417" s="4">
        <v>3.8239999999999998</v>
      </c>
      <c r="M417" s="4">
        <v>3.8239999999999998</v>
      </c>
      <c r="N417" s="4">
        <v>3.8239999999999998</v>
      </c>
      <c r="O417" s="4">
        <v>3.8239999999999998</v>
      </c>
      <c r="P417" s="4">
        <v>5</v>
      </c>
      <c r="Q417" s="3" t="s">
        <v>26</v>
      </c>
      <c r="R417" s="3">
        <v>0</v>
      </c>
      <c r="S417" s="3" t="s">
        <v>269</v>
      </c>
      <c r="T417" s="3" t="s">
        <v>430</v>
      </c>
      <c r="U417" s="3">
        <v>0</v>
      </c>
      <c r="V417" s="3">
        <v>39</v>
      </c>
      <c r="W417" s="3">
        <v>73</v>
      </c>
    </row>
    <row r="418" spans="1:23" ht="11.25" customHeight="1" x14ac:dyDescent="0.25">
      <c r="A418" s="3" t="s">
        <v>28</v>
      </c>
      <c r="B418" s="3" t="s">
        <v>39</v>
      </c>
      <c r="C418" s="3" t="s">
        <v>23</v>
      </c>
      <c r="D418" s="3" t="s">
        <v>51</v>
      </c>
      <c r="E418" s="3" t="s">
        <v>25</v>
      </c>
      <c r="F418" s="3" t="s">
        <v>25</v>
      </c>
      <c r="G418" s="3" t="s">
        <v>25</v>
      </c>
      <c r="H418" s="3" t="s">
        <v>25</v>
      </c>
      <c r="I418" s="6">
        <v>44593</v>
      </c>
      <c r="J418" s="4">
        <v>0</v>
      </c>
      <c r="K418" s="4">
        <v>0</v>
      </c>
      <c r="L418" s="4">
        <v>0.3</v>
      </c>
      <c r="M418" s="4">
        <v>0.3</v>
      </c>
      <c r="N418" s="4">
        <v>0.3</v>
      </c>
      <c r="O418" s="4">
        <v>0.3</v>
      </c>
      <c r="P418" s="4">
        <v>1</v>
      </c>
      <c r="Q418" s="3" t="s">
        <v>26</v>
      </c>
      <c r="R418" s="3">
        <v>0</v>
      </c>
      <c r="S418" s="3" t="s">
        <v>269</v>
      </c>
      <c r="T418" s="3" t="s">
        <v>430</v>
      </c>
      <c r="U418" s="3">
        <v>0</v>
      </c>
      <c r="V418" s="3">
        <v>39</v>
      </c>
      <c r="W418" s="3">
        <v>73</v>
      </c>
    </row>
    <row r="419" spans="1:23" ht="11.25" customHeight="1" x14ac:dyDescent="0.25">
      <c r="A419" s="3" t="s">
        <v>21</v>
      </c>
      <c r="B419" s="3" t="s">
        <v>39</v>
      </c>
      <c r="C419" s="3" t="s">
        <v>23</v>
      </c>
      <c r="D419" s="3" t="s">
        <v>51</v>
      </c>
      <c r="E419" s="3" t="s">
        <v>25</v>
      </c>
      <c r="F419" s="3" t="s">
        <v>25</v>
      </c>
      <c r="G419" s="3" t="s">
        <v>25</v>
      </c>
      <c r="H419" s="3" t="s">
        <v>25</v>
      </c>
      <c r="I419" s="6">
        <v>44621</v>
      </c>
      <c r="J419" s="4">
        <v>0</v>
      </c>
      <c r="K419" s="4">
        <v>0</v>
      </c>
      <c r="L419" s="4">
        <v>3.573</v>
      </c>
      <c r="M419" s="4">
        <v>3.573</v>
      </c>
      <c r="N419" s="4">
        <v>3.573</v>
      </c>
      <c r="O419" s="4">
        <v>3.573</v>
      </c>
      <c r="P419" s="4">
        <v>5</v>
      </c>
      <c r="Q419" s="3" t="s">
        <v>26</v>
      </c>
      <c r="R419" s="3">
        <v>0</v>
      </c>
      <c r="S419" s="3" t="s">
        <v>270</v>
      </c>
      <c r="T419" s="3" t="s">
        <v>431</v>
      </c>
      <c r="U419" s="3">
        <v>0</v>
      </c>
      <c r="V419" s="3">
        <v>39</v>
      </c>
      <c r="W419" s="3">
        <v>73</v>
      </c>
    </row>
    <row r="420" spans="1:23" ht="11.25" customHeight="1" x14ac:dyDescent="0.25">
      <c r="A420" s="3" t="s">
        <v>28</v>
      </c>
      <c r="B420" s="3" t="s">
        <v>39</v>
      </c>
      <c r="C420" s="3" t="s">
        <v>23</v>
      </c>
      <c r="D420" s="3" t="s">
        <v>51</v>
      </c>
      <c r="E420" s="3" t="s">
        <v>25</v>
      </c>
      <c r="F420" s="3" t="s">
        <v>25</v>
      </c>
      <c r="G420" s="3" t="s">
        <v>25</v>
      </c>
      <c r="H420" s="3" t="s">
        <v>25</v>
      </c>
      <c r="I420" s="6">
        <v>44621</v>
      </c>
      <c r="J420" s="4">
        <v>0</v>
      </c>
      <c r="K420" s="4">
        <v>0</v>
      </c>
      <c r="L420" s="4">
        <v>0.3</v>
      </c>
      <c r="M420" s="4">
        <v>0.3</v>
      </c>
      <c r="N420" s="4">
        <v>0.3</v>
      </c>
      <c r="O420" s="4">
        <v>0.3</v>
      </c>
      <c r="P420" s="4">
        <v>1</v>
      </c>
      <c r="Q420" s="3" t="s">
        <v>26</v>
      </c>
      <c r="R420" s="3">
        <v>0</v>
      </c>
      <c r="S420" s="3" t="s">
        <v>270</v>
      </c>
      <c r="T420" s="3" t="s">
        <v>431</v>
      </c>
      <c r="U420" s="3">
        <v>0</v>
      </c>
      <c r="V420" s="3">
        <v>39</v>
      </c>
      <c r="W420" s="3">
        <v>73</v>
      </c>
    </row>
    <row r="421" spans="1:23" ht="11.25" customHeight="1" x14ac:dyDescent="0.25">
      <c r="A421" s="3" t="s">
        <v>21</v>
      </c>
      <c r="B421" s="3" t="s">
        <v>39</v>
      </c>
      <c r="C421" s="3" t="s">
        <v>23</v>
      </c>
      <c r="D421" s="3" t="s">
        <v>40</v>
      </c>
      <c r="E421" s="3" t="s">
        <v>25</v>
      </c>
      <c r="F421" s="3" t="s">
        <v>25</v>
      </c>
      <c r="G421" s="3" t="s">
        <v>25</v>
      </c>
      <c r="H421" s="3" t="s">
        <v>25</v>
      </c>
      <c r="I421" s="6">
        <v>44287</v>
      </c>
      <c r="J421" s="4">
        <v>0</v>
      </c>
      <c r="K421" s="4">
        <v>0</v>
      </c>
      <c r="L421" s="4">
        <v>41.540999999999997</v>
      </c>
      <c r="M421" s="4">
        <v>41.540999999999997</v>
      </c>
      <c r="N421" s="4">
        <v>41.540999999999997</v>
      </c>
      <c r="O421" s="4">
        <v>41.540999999999997</v>
      </c>
      <c r="P421" s="4">
        <v>21</v>
      </c>
      <c r="Q421" s="3" t="s">
        <v>26</v>
      </c>
      <c r="R421" s="3">
        <v>0</v>
      </c>
      <c r="S421" s="3" t="s">
        <v>259</v>
      </c>
      <c r="T421" s="3" t="s">
        <v>420</v>
      </c>
      <c r="U421" s="3">
        <v>0</v>
      </c>
      <c r="V421" s="3">
        <v>39</v>
      </c>
      <c r="W421" s="3">
        <v>73</v>
      </c>
    </row>
    <row r="422" spans="1:23" ht="11.25" customHeight="1" x14ac:dyDescent="0.25">
      <c r="A422" s="3" t="s">
        <v>21</v>
      </c>
      <c r="B422" s="3" t="s">
        <v>39</v>
      </c>
      <c r="C422" s="3" t="s">
        <v>23</v>
      </c>
      <c r="D422" s="3" t="s">
        <v>40</v>
      </c>
      <c r="E422" s="3" t="s">
        <v>25</v>
      </c>
      <c r="F422" s="3" t="s">
        <v>25</v>
      </c>
      <c r="G422" s="3" t="s">
        <v>25</v>
      </c>
      <c r="H422" s="3" t="s">
        <v>25</v>
      </c>
      <c r="I422" s="6">
        <v>44317</v>
      </c>
      <c r="J422" s="4">
        <v>0</v>
      </c>
      <c r="K422" s="4">
        <v>0</v>
      </c>
      <c r="L422" s="4">
        <v>43.133000000000003</v>
      </c>
      <c r="M422" s="4">
        <v>43.133000000000003</v>
      </c>
      <c r="N422" s="4">
        <v>43.133000000000003</v>
      </c>
      <c r="O422" s="4">
        <v>43.133000000000003</v>
      </c>
      <c r="P422" s="4">
        <v>21</v>
      </c>
      <c r="Q422" s="3" t="s">
        <v>26</v>
      </c>
      <c r="R422" s="3">
        <v>0</v>
      </c>
      <c r="S422" s="3" t="s">
        <v>260</v>
      </c>
      <c r="T422" s="3" t="s">
        <v>421</v>
      </c>
      <c r="U422" s="3">
        <v>0</v>
      </c>
      <c r="V422" s="3">
        <v>39</v>
      </c>
      <c r="W422" s="3">
        <v>73</v>
      </c>
    </row>
    <row r="423" spans="1:23" ht="11.25" customHeight="1" x14ac:dyDescent="0.25">
      <c r="A423" s="3" t="s">
        <v>21</v>
      </c>
      <c r="B423" s="3" t="s">
        <v>39</v>
      </c>
      <c r="C423" s="3" t="s">
        <v>23</v>
      </c>
      <c r="D423" s="3" t="s">
        <v>40</v>
      </c>
      <c r="E423" s="3" t="s">
        <v>25</v>
      </c>
      <c r="F423" s="3" t="s">
        <v>25</v>
      </c>
      <c r="G423" s="3" t="s">
        <v>25</v>
      </c>
      <c r="H423" s="3" t="s">
        <v>25</v>
      </c>
      <c r="I423" s="6">
        <v>44348</v>
      </c>
      <c r="J423" s="4">
        <v>0</v>
      </c>
      <c r="K423" s="4">
        <v>0</v>
      </c>
      <c r="L423" s="4">
        <v>38.334000000000003</v>
      </c>
      <c r="M423" s="4">
        <v>38.334000000000003</v>
      </c>
      <c r="N423" s="4">
        <v>38.334000000000003</v>
      </c>
      <c r="O423" s="4">
        <v>38.334000000000003</v>
      </c>
      <c r="P423" s="4">
        <v>21</v>
      </c>
      <c r="Q423" s="3" t="s">
        <v>26</v>
      </c>
      <c r="R423" s="3">
        <v>0</v>
      </c>
      <c r="S423" s="3" t="s">
        <v>261</v>
      </c>
      <c r="T423" s="3" t="s">
        <v>422</v>
      </c>
      <c r="U423" s="3">
        <v>0</v>
      </c>
      <c r="V423" s="3">
        <v>39</v>
      </c>
      <c r="W423" s="3">
        <v>73</v>
      </c>
    </row>
    <row r="424" spans="1:23" ht="11.25" customHeight="1" x14ac:dyDescent="0.25">
      <c r="A424" s="3" t="s">
        <v>21</v>
      </c>
      <c r="B424" s="3" t="s">
        <v>39</v>
      </c>
      <c r="C424" s="3" t="s">
        <v>23</v>
      </c>
      <c r="D424" s="3" t="s">
        <v>40</v>
      </c>
      <c r="E424" s="3" t="s">
        <v>25</v>
      </c>
      <c r="F424" s="3" t="s">
        <v>25</v>
      </c>
      <c r="G424" s="3" t="s">
        <v>25</v>
      </c>
      <c r="H424" s="3" t="s">
        <v>25</v>
      </c>
      <c r="I424" s="6">
        <v>44378</v>
      </c>
      <c r="J424" s="4">
        <v>0</v>
      </c>
      <c r="K424" s="4">
        <v>0</v>
      </c>
      <c r="L424" s="4">
        <v>36.808999999999997</v>
      </c>
      <c r="M424" s="4">
        <v>36.808999999999997</v>
      </c>
      <c r="N424" s="4">
        <v>36.808999999999997</v>
      </c>
      <c r="O424" s="4">
        <v>36.808999999999997</v>
      </c>
      <c r="P424" s="4">
        <v>22</v>
      </c>
      <c r="Q424" s="3" t="s">
        <v>26</v>
      </c>
      <c r="R424" s="3">
        <v>0</v>
      </c>
      <c r="S424" s="3" t="s">
        <v>262</v>
      </c>
      <c r="T424" s="3" t="s">
        <v>423</v>
      </c>
      <c r="U424" s="3">
        <v>0</v>
      </c>
      <c r="V424" s="3">
        <v>39</v>
      </c>
      <c r="W424" s="3">
        <v>73</v>
      </c>
    </row>
    <row r="425" spans="1:23" ht="11.25" customHeight="1" x14ac:dyDescent="0.25">
      <c r="A425" s="3" t="s">
        <v>21</v>
      </c>
      <c r="B425" s="3" t="s">
        <v>39</v>
      </c>
      <c r="C425" s="3" t="s">
        <v>23</v>
      </c>
      <c r="D425" s="3" t="s">
        <v>40</v>
      </c>
      <c r="E425" s="3" t="s">
        <v>25</v>
      </c>
      <c r="F425" s="3" t="s">
        <v>25</v>
      </c>
      <c r="G425" s="3" t="s">
        <v>25</v>
      </c>
      <c r="H425" s="3" t="s">
        <v>25</v>
      </c>
      <c r="I425" s="6">
        <v>44409</v>
      </c>
      <c r="J425" s="4">
        <v>0</v>
      </c>
      <c r="K425" s="4">
        <v>0</v>
      </c>
      <c r="L425" s="4">
        <v>32.061</v>
      </c>
      <c r="M425" s="4">
        <v>32.061</v>
      </c>
      <c r="N425" s="4">
        <v>32.061</v>
      </c>
      <c r="O425" s="4">
        <v>32.061</v>
      </c>
      <c r="P425" s="4">
        <v>22</v>
      </c>
      <c r="Q425" s="3" t="s">
        <v>26</v>
      </c>
      <c r="R425" s="3">
        <v>0</v>
      </c>
      <c r="S425" s="3" t="s">
        <v>263</v>
      </c>
      <c r="T425" s="3" t="s">
        <v>424</v>
      </c>
      <c r="U425" s="3">
        <v>0</v>
      </c>
      <c r="V425" s="3">
        <v>39</v>
      </c>
      <c r="W425" s="3">
        <v>73</v>
      </c>
    </row>
    <row r="426" spans="1:23" ht="11.25" customHeight="1" x14ac:dyDescent="0.25">
      <c r="A426" s="3" t="s">
        <v>21</v>
      </c>
      <c r="B426" s="3" t="s">
        <v>39</v>
      </c>
      <c r="C426" s="3" t="s">
        <v>23</v>
      </c>
      <c r="D426" s="3" t="s">
        <v>40</v>
      </c>
      <c r="E426" s="3" t="s">
        <v>25</v>
      </c>
      <c r="F426" s="3" t="s">
        <v>25</v>
      </c>
      <c r="G426" s="3" t="s">
        <v>25</v>
      </c>
      <c r="H426" s="3" t="s">
        <v>25</v>
      </c>
      <c r="I426" s="6">
        <v>44440</v>
      </c>
      <c r="J426" s="4">
        <v>0</v>
      </c>
      <c r="K426" s="4">
        <v>0</v>
      </c>
      <c r="L426" s="4">
        <v>38.393000000000001</v>
      </c>
      <c r="M426" s="4">
        <v>38.393000000000001</v>
      </c>
      <c r="N426" s="4">
        <v>38.393000000000001</v>
      </c>
      <c r="O426" s="4">
        <v>38.393000000000001</v>
      </c>
      <c r="P426" s="4">
        <v>22</v>
      </c>
      <c r="Q426" s="3" t="s">
        <v>26</v>
      </c>
      <c r="R426" s="3">
        <v>0</v>
      </c>
      <c r="S426" s="3" t="s">
        <v>264</v>
      </c>
      <c r="T426" s="3" t="s">
        <v>425</v>
      </c>
      <c r="U426" s="3">
        <v>0</v>
      </c>
      <c r="V426" s="3">
        <v>39</v>
      </c>
      <c r="W426" s="3">
        <v>73</v>
      </c>
    </row>
    <row r="427" spans="1:23" ht="11.25" customHeight="1" x14ac:dyDescent="0.25">
      <c r="A427" s="3" t="s">
        <v>21</v>
      </c>
      <c r="B427" s="3" t="s">
        <v>39</v>
      </c>
      <c r="C427" s="3" t="s">
        <v>23</v>
      </c>
      <c r="D427" s="3" t="s">
        <v>40</v>
      </c>
      <c r="E427" s="3" t="s">
        <v>25</v>
      </c>
      <c r="F427" s="3" t="s">
        <v>25</v>
      </c>
      <c r="G427" s="3" t="s">
        <v>25</v>
      </c>
      <c r="H427" s="3" t="s">
        <v>25</v>
      </c>
      <c r="I427" s="6">
        <v>44470</v>
      </c>
      <c r="J427" s="4">
        <v>0</v>
      </c>
      <c r="K427" s="4">
        <v>0</v>
      </c>
      <c r="L427" s="4">
        <v>35.210999999999999</v>
      </c>
      <c r="M427" s="4">
        <v>35.210999999999999</v>
      </c>
      <c r="N427" s="4">
        <v>35.210999999999999</v>
      </c>
      <c r="O427" s="4">
        <v>35.210999999999999</v>
      </c>
      <c r="P427" s="4">
        <v>22</v>
      </c>
      <c r="Q427" s="3" t="s">
        <v>26</v>
      </c>
      <c r="R427" s="3">
        <v>0</v>
      </c>
      <c r="S427" s="3" t="s">
        <v>265</v>
      </c>
      <c r="T427" s="3" t="s">
        <v>426</v>
      </c>
      <c r="U427" s="3">
        <v>0</v>
      </c>
      <c r="V427" s="3">
        <v>39</v>
      </c>
      <c r="W427" s="3">
        <v>73</v>
      </c>
    </row>
    <row r="428" spans="1:23" ht="11.25" customHeight="1" x14ac:dyDescent="0.25">
      <c r="A428" s="3" t="s">
        <v>21</v>
      </c>
      <c r="B428" s="3" t="s">
        <v>39</v>
      </c>
      <c r="C428" s="3" t="s">
        <v>23</v>
      </c>
      <c r="D428" s="3" t="s">
        <v>40</v>
      </c>
      <c r="E428" s="3" t="s">
        <v>25</v>
      </c>
      <c r="F428" s="3" t="s">
        <v>25</v>
      </c>
      <c r="G428" s="3" t="s">
        <v>25</v>
      </c>
      <c r="H428" s="3" t="s">
        <v>25</v>
      </c>
      <c r="I428" s="6">
        <v>44501</v>
      </c>
      <c r="J428" s="4">
        <v>0</v>
      </c>
      <c r="K428" s="4">
        <v>0</v>
      </c>
      <c r="L428" s="4">
        <v>38.518000000000001</v>
      </c>
      <c r="M428" s="4">
        <v>38.518000000000001</v>
      </c>
      <c r="N428" s="4">
        <v>38.518000000000001</v>
      </c>
      <c r="O428" s="4">
        <v>38.518000000000001</v>
      </c>
      <c r="P428" s="4">
        <v>22</v>
      </c>
      <c r="Q428" s="3" t="s">
        <v>26</v>
      </c>
      <c r="R428" s="3">
        <v>0</v>
      </c>
      <c r="S428" s="3" t="s">
        <v>266</v>
      </c>
      <c r="T428" s="3" t="s">
        <v>427</v>
      </c>
      <c r="U428" s="3">
        <v>0</v>
      </c>
      <c r="V428" s="3">
        <v>39</v>
      </c>
      <c r="W428" s="3">
        <v>73</v>
      </c>
    </row>
    <row r="429" spans="1:23" ht="11.25" customHeight="1" x14ac:dyDescent="0.25">
      <c r="A429" s="3" t="s">
        <v>21</v>
      </c>
      <c r="B429" s="3" t="s">
        <v>39</v>
      </c>
      <c r="C429" s="3" t="s">
        <v>23</v>
      </c>
      <c r="D429" s="3" t="s">
        <v>40</v>
      </c>
      <c r="E429" s="3" t="s">
        <v>25</v>
      </c>
      <c r="F429" s="3" t="s">
        <v>25</v>
      </c>
      <c r="G429" s="3" t="s">
        <v>25</v>
      </c>
      <c r="H429" s="3" t="s">
        <v>25</v>
      </c>
      <c r="I429" s="6">
        <v>44531</v>
      </c>
      <c r="J429" s="4">
        <v>0</v>
      </c>
      <c r="K429" s="4">
        <v>0</v>
      </c>
      <c r="L429" s="4">
        <v>40.960999999999999</v>
      </c>
      <c r="M429" s="4">
        <v>40.960999999999999</v>
      </c>
      <c r="N429" s="4">
        <v>40.960999999999999</v>
      </c>
      <c r="O429" s="4">
        <v>40.960999999999999</v>
      </c>
      <c r="P429" s="4">
        <v>22</v>
      </c>
      <c r="Q429" s="3" t="s">
        <v>26</v>
      </c>
      <c r="R429" s="3">
        <v>0</v>
      </c>
      <c r="S429" s="3" t="s">
        <v>267</v>
      </c>
      <c r="T429" s="3" t="s">
        <v>428</v>
      </c>
      <c r="U429" s="3">
        <v>0</v>
      </c>
      <c r="V429" s="3">
        <v>39</v>
      </c>
      <c r="W429" s="3">
        <v>73</v>
      </c>
    </row>
    <row r="430" spans="1:23" ht="11.25" customHeight="1" x14ac:dyDescent="0.25">
      <c r="A430" s="3" t="s">
        <v>21</v>
      </c>
      <c r="B430" s="3" t="s">
        <v>39</v>
      </c>
      <c r="C430" s="3" t="s">
        <v>23</v>
      </c>
      <c r="D430" s="3" t="s">
        <v>40</v>
      </c>
      <c r="E430" s="3" t="s">
        <v>25</v>
      </c>
      <c r="F430" s="3" t="s">
        <v>25</v>
      </c>
      <c r="G430" s="3" t="s">
        <v>25</v>
      </c>
      <c r="H430" s="3" t="s">
        <v>25</v>
      </c>
      <c r="I430" s="6">
        <v>44562</v>
      </c>
      <c r="J430" s="4">
        <v>0</v>
      </c>
      <c r="K430" s="4">
        <v>0</v>
      </c>
      <c r="L430" s="4">
        <v>39.140999999999998</v>
      </c>
      <c r="M430" s="4">
        <v>39.140999999999998</v>
      </c>
      <c r="N430" s="4">
        <v>39.140999999999998</v>
      </c>
      <c r="O430" s="4">
        <v>39.140999999999998</v>
      </c>
      <c r="P430" s="4">
        <v>22</v>
      </c>
      <c r="Q430" s="3" t="s">
        <v>26</v>
      </c>
      <c r="R430" s="3">
        <v>0</v>
      </c>
      <c r="S430" s="3" t="s">
        <v>268</v>
      </c>
      <c r="T430" s="3" t="s">
        <v>429</v>
      </c>
      <c r="U430" s="3">
        <v>0</v>
      </c>
      <c r="V430" s="3">
        <v>39</v>
      </c>
      <c r="W430" s="3">
        <v>73</v>
      </c>
    </row>
    <row r="431" spans="1:23" ht="11.25" customHeight="1" x14ac:dyDescent="0.25">
      <c r="A431" s="3" t="s">
        <v>21</v>
      </c>
      <c r="B431" s="3" t="s">
        <v>39</v>
      </c>
      <c r="C431" s="3" t="s">
        <v>23</v>
      </c>
      <c r="D431" s="3" t="s">
        <v>40</v>
      </c>
      <c r="E431" s="3" t="s">
        <v>25</v>
      </c>
      <c r="F431" s="3" t="s">
        <v>25</v>
      </c>
      <c r="G431" s="3" t="s">
        <v>25</v>
      </c>
      <c r="H431" s="3" t="s">
        <v>25</v>
      </c>
      <c r="I431" s="6">
        <v>44593</v>
      </c>
      <c r="J431" s="4">
        <v>0</v>
      </c>
      <c r="K431" s="4">
        <v>0</v>
      </c>
      <c r="L431" s="4">
        <v>49.326999999999998</v>
      </c>
      <c r="M431" s="4">
        <v>49.326999999999998</v>
      </c>
      <c r="N431" s="4">
        <v>49.326999999999998</v>
      </c>
      <c r="O431" s="4">
        <v>49.326999999999998</v>
      </c>
      <c r="P431" s="4">
        <v>23</v>
      </c>
      <c r="Q431" s="3" t="s">
        <v>26</v>
      </c>
      <c r="R431" s="3">
        <v>0</v>
      </c>
      <c r="S431" s="3" t="s">
        <v>269</v>
      </c>
      <c r="T431" s="3" t="s">
        <v>430</v>
      </c>
      <c r="U431" s="3">
        <v>0</v>
      </c>
      <c r="V431" s="3">
        <v>39</v>
      </c>
      <c r="W431" s="3">
        <v>73</v>
      </c>
    </row>
    <row r="432" spans="1:23" ht="11.25" customHeight="1" x14ac:dyDescent="0.25">
      <c r="A432" s="3" t="s">
        <v>21</v>
      </c>
      <c r="B432" s="3" t="s">
        <v>39</v>
      </c>
      <c r="C432" s="3" t="s">
        <v>23</v>
      </c>
      <c r="D432" s="3" t="s">
        <v>40</v>
      </c>
      <c r="E432" s="3" t="s">
        <v>25</v>
      </c>
      <c r="F432" s="3" t="s">
        <v>25</v>
      </c>
      <c r="G432" s="3" t="s">
        <v>25</v>
      </c>
      <c r="H432" s="3" t="s">
        <v>25</v>
      </c>
      <c r="I432" s="6">
        <v>44621</v>
      </c>
      <c r="J432" s="4">
        <v>0</v>
      </c>
      <c r="K432" s="4">
        <v>0</v>
      </c>
      <c r="L432" s="4">
        <v>50.21</v>
      </c>
      <c r="M432" s="4">
        <v>50.21</v>
      </c>
      <c r="N432" s="4">
        <v>50.21</v>
      </c>
      <c r="O432" s="4">
        <v>50.21</v>
      </c>
      <c r="P432" s="4">
        <v>23</v>
      </c>
      <c r="Q432" s="3" t="s">
        <v>26</v>
      </c>
      <c r="R432" s="3">
        <v>0</v>
      </c>
      <c r="S432" s="3" t="s">
        <v>270</v>
      </c>
      <c r="T432" s="3" t="s">
        <v>431</v>
      </c>
      <c r="U432" s="3">
        <v>0</v>
      </c>
      <c r="V432" s="3">
        <v>39</v>
      </c>
      <c r="W432" s="3">
        <v>73</v>
      </c>
    </row>
    <row r="433" spans="1:23" ht="11.25" customHeight="1" x14ac:dyDescent="0.25">
      <c r="A433" s="3" t="s">
        <v>21</v>
      </c>
      <c r="B433" s="3" t="s">
        <v>39</v>
      </c>
      <c r="C433" s="3" t="s">
        <v>23</v>
      </c>
      <c r="D433" s="3" t="s">
        <v>45</v>
      </c>
      <c r="E433" s="3" t="s">
        <v>25</v>
      </c>
      <c r="F433" s="3" t="s">
        <v>25</v>
      </c>
      <c r="G433" s="3" t="s">
        <v>25</v>
      </c>
      <c r="H433" s="3" t="s">
        <v>25</v>
      </c>
      <c r="I433" s="6">
        <v>44287</v>
      </c>
      <c r="J433" s="4">
        <v>0</v>
      </c>
      <c r="K433" s="4">
        <v>0</v>
      </c>
      <c r="L433" s="4">
        <v>44.279000000000003</v>
      </c>
      <c r="M433" s="4">
        <v>44.279000000000003</v>
      </c>
      <c r="N433" s="4">
        <v>44.279000000000003</v>
      </c>
      <c r="O433" s="4">
        <v>44.279000000000003</v>
      </c>
      <c r="P433" s="4">
        <v>94</v>
      </c>
      <c r="Q433" s="3" t="s">
        <v>26</v>
      </c>
      <c r="R433" s="3">
        <v>0</v>
      </c>
      <c r="S433" s="3" t="s">
        <v>259</v>
      </c>
      <c r="T433" s="3" t="s">
        <v>420</v>
      </c>
      <c r="U433" s="3">
        <v>0</v>
      </c>
      <c r="V433" s="3">
        <v>39</v>
      </c>
      <c r="W433" s="3">
        <v>73</v>
      </c>
    </row>
    <row r="434" spans="1:23" ht="11.25" customHeight="1" x14ac:dyDescent="0.25">
      <c r="A434" s="3" t="s">
        <v>21</v>
      </c>
      <c r="B434" s="3" t="s">
        <v>39</v>
      </c>
      <c r="C434" s="3" t="s">
        <v>23</v>
      </c>
      <c r="D434" s="3" t="s">
        <v>45</v>
      </c>
      <c r="E434" s="3" t="s">
        <v>25</v>
      </c>
      <c r="F434" s="3" t="s">
        <v>25</v>
      </c>
      <c r="G434" s="3" t="s">
        <v>25</v>
      </c>
      <c r="H434" s="3" t="s">
        <v>25</v>
      </c>
      <c r="I434" s="6">
        <v>44317</v>
      </c>
      <c r="J434" s="4">
        <v>0</v>
      </c>
      <c r="K434" s="4">
        <v>0</v>
      </c>
      <c r="L434" s="4">
        <v>37.851999999999997</v>
      </c>
      <c r="M434" s="4">
        <v>37.851999999999997</v>
      </c>
      <c r="N434" s="4">
        <v>37.851999999999997</v>
      </c>
      <c r="O434" s="4">
        <v>37.851999999999997</v>
      </c>
      <c r="P434" s="4">
        <v>92</v>
      </c>
      <c r="Q434" s="3" t="s">
        <v>26</v>
      </c>
      <c r="R434" s="3">
        <v>0</v>
      </c>
      <c r="S434" s="3" t="s">
        <v>260</v>
      </c>
      <c r="T434" s="3" t="s">
        <v>421</v>
      </c>
      <c r="U434" s="3">
        <v>0</v>
      </c>
      <c r="V434" s="3">
        <v>39</v>
      </c>
      <c r="W434" s="3">
        <v>73</v>
      </c>
    </row>
    <row r="435" spans="1:23" ht="11.25" customHeight="1" x14ac:dyDescent="0.25">
      <c r="A435" s="3" t="s">
        <v>21</v>
      </c>
      <c r="B435" s="3" t="s">
        <v>39</v>
      </c>
      <c r="C435" s="3" t="s">
        <v>23</v>
      </c>
      <c r="D435" s="3" t="s">
        <v>45</v>
      </c>
      <c r="E435" s="3" t="s">
        <v>25</v>
      </c>
      <c r="F435" s="3" t="s">
        <v>25</v>
      </c>
      <c r="G435" s="3" t="s">
        <v>25</v>
      </c>
      <c r="H435" s="3" t="s">
        <v>25</v>
      </c>
      <c r="I435" s="6">
        <v>44348</v>
      </c>
      <c r="J435" s="4">
        <v>0</v>
      </c>
      <c r="K435" s="4">
        <v>0</v>
      </c>
      <c r="L435" s="4">
        <v>38.540999999999997</v>
      </c>
      <c r="M435" s="4">
        <v>38.540999999999997</v>
      </c>
      <c r="N435" s="4">
        <v>38.540999999999997</v>
      </c>
      <c r="O435" s="4">
        <v>38.540999999999997</v>
      </c>
      <c r="P435" s="4">
        <v>92</v>
      </c>
      <c r="Q435" s="3" t="s">
        <v>26</v>
      </c>
      <c r="R435" s="3">
        <v>0</v>
      </c>
      <c r="S435" s="3" t="s">
        <v>261</v>
      </c>
      <c r="T435" s="3" t="s">
        <v>422</v>
      </c>
      <c r="U435" s="3">
        <v>0</v>
      </c>
      <c r="V435" s="3">
        <v>39</v>
      </c>
      <c r="W435" s="3">
        <v>73</v>
      </c>
    </row>
    <row r="436" spans="1:23" ht="11.25" customHeight="1" x14ac:dyDescent="0.25">
      <c r="A436" s="3" t="s">
        <v>21</v>
      </c>
      <c r="B436" s="3" t="s">
        <v>39</v>
      </c>
      <c r="C436" s="3" t="s">
        <v>23</v>
      </c>
      <c r="D436" s="3" t="s">
        <v>45</v>
      </c>
      <c r="E436" s="3" t="s">
        <v>25</v>
      </c>
      <c r="F436" s="3" t="s">
        <v>25</v>
      </c>
      <c r="G436" s="3" t="s">
        <v>25</v>
      </c>
      <c r="H436" s="3" t="s">
        <v>25</v>
      </c>
      <c r="I436" s="6">
        <v>44378</v>
      </c>
      <c r="J436" s="4">
        <v>0</v>
      </c>
      <c r="K436" s="4">
        <v>0</v>
      </c>
      <c r="L436" s="4">
        <v>35.408000000000001</v>
      </c>
      <c r="M436" s="4">
        <v>35.408000000000001</v>
      </c>
      <c r="N436" s="4">
        <v>35.408000000000001</v>
      </c>
      <c r="O436" s="4">
        <v>35.408000000000001</v>
      </c>
      <c r="P436" s="4">
        <v>92</v>
      </c>
      <c r="Q436" s="3" t="s">
        <v>26</v>
      </c>
      <c r="R436" s="3">
        <v>0</v>
      </c>
      <c r="S436" s="3" t="s">
        <v>262</v>
      </c>
      <c r="T436" s="3" t="s">
        <v>423</v>
      </c>
      <c r="U436" s="3">
        <v>0</v>
      </c>
      <c r="V436" s="3">
        <v>39</v>
      </c>
      <c r="W436" s="3">
        <v>73</v>
      </c>
    </row>
    <row r="437" spans="1:23" ht="11.25" customHeight="1" x14ac:dyDescent="0.25">
      <c r="A437" s="3" t="s">
        <v>21</v>
      </c>
      <c r="B437" s="3" t="s">
        <v>39</v>
      </c>
      <c r="C437" s="3" t="s">
        <v>23</v>
      </c>
      <c r="D437" s="3" t="s">
        <v>45</v>
      </c>
      <c r="E437" s="3" t="s">
        <v>25</v>
      </c>
      <c r="F437" s="3" t="s">
        <v>25</v>
      </c>
      <c r="G437" s="3" t="s">
        <v>25</v>
      </c>
      <c r="H437" s="3" t="s">
        <v>25</v>
      </c>
      <c r="I437" s="6">
        <v>44409</v>
      </c>
      <c r="J437" s="4">
        <v>0</v>
      </c>
      <c r="K437" s="4">
        <v>0</v>
      </c>
      <c r="L437" s="4">
        <v>37.517000000000003</v>
      </c>
      <c r="M437" s="4">
        <v>37.517000000000003</v>
      </c>
      <c r="N437" s="4">
        <v>37.517000000000003</v>
      </c>
      <c r="O437" s="4">
        <v>37.517000000000003</v>
      </c>
      <c r="P437" s="4">
        <v>92</v>
      </c>
      <c r="Q437" s="3" t="s">
        <v>26</v>
      </c>
      <c r="R437" s="3">
        <v>0</v>
      </c>
      <c r="S437" s="3" t="s">
        <v>263</v>
      </c>
      <c r="T437" s="3" t="s">
        <v>424</v>
      </c>
      <c r="U437" s="3">
        <v>0</v>
      </c>
      <c r="V437" s="3">
        <v>39</v>
      </c>
      <c r="W437" s="3">
        <v>73</v>
      </c>
    </row>
    <row r="438" spans="1:23" ht="11.25" customHeight="1" x14ac:dyDescent="0.25">
      <c r="A438" s="3" t="s">
        <v>21</v>
      </c>
      <c r="B438" s="3" t="s">
        <v>39</v>
      </c>
      <c r="C438" s="3" t="s">
        <v>23</v>
      </c>
      <c r="D438" s="3" t="s">
        <v>45</v>
      </c>
      <c r="E438" s="3" t="s">
        <v>25</v>
      </c>
      <c r="F438" s="3" t="s">
        <v>25</v>
      </c>
      <c r="G438" s="3" t="s">
        <v>25</v>
      </c>
      <c r="H438" s="3" t="s">
        <v>25</v>
      </c>
      <c r="I438" s="6">
        <v>44440</v>
      </c>
      <c r="J438" s="4">
        <v>0</v>
      </c>
      <c r="K438" s="4">
        <v>0</v>
      </c>
      <c r="L438" s="4">
        <v>42.250999999999998</v>
      </c>
      <c r="M438" s="4">
        <v>42.250999999999998</v>
      </c>
      <c r="N438" s="4">
        <v>42.250999999999998</v>
      </c>
      <c r="O438" s="4">
        <v>42.250999999999998</v>
      </c>
      <c r="P438" s="4">
        <v>91</v>
      </c>
      <c r="Q438" s="3" t="s">
        <v>26</v>
      </c>
      <c r="R438" s="3">
        <v>0</v>
      </c>
      <c r="S438" s="3" t="s">
        <v>264</v>
      </c>
      <c r="T438" s="3" t="s">
        <v>425</v>
      </c>
      <c r="U438" s="3">
        <v>0</v>
      </c>
      <c r="V438" s="3">
        <v>39</v>
      </c>
      <c r="W438" s="3">
        <v>73</v>
      </c>
    </row>
    <row r="439" spans="1:23" ht="11.25" customHeight="1" x14ac:dyDescent="0.25">
      <c r="A439" s="3" t="s">
        <v>21</v>
      </c>
      <c r="B439" s="3" t="s">
        <v>39</v>
      </c>
      <c r="C439" s="3" t="s">
        <v>23</v>
      </c>
      <c r="D439" s="3" t="s">
        <v>45</v>
      </c>
      <c r="E439" s="3" t="s">
        <v>25</v>
      </c>
      <c r="F439" s="3" t="s">
        <v>25</v>
      </c>
      <c r="G439" s="3" t="s">
        <v>25</v>
      </c>
      <c r="H439" s="3" t="s">
        <v>25</v>
      </c>
      <c r="I439" s="6">
        <v>44470</v>
      </c>
      <c r="J439" s="4">
        <v>0</v>
      </c>
      <c r="K439" s="4">
        <v>0</v>
      </c>
      <c r="L439" s="4">
        <v>42.232999999999997</v>
      </c>
      <c r="M439" s="4">
        <v>42.232999999999997</v>
      </c>
      <c r="N439" s="4">
        <v>42.232999999999997</v>
      </c>
      <c r="O439" s="4">
        <v>42.232999999999997</v>
      </c>
      <c r="P439" s="4">
        <v>91</v>
      </c>
      <c r="Q439" s="3" t="s">
        <v>26</v>
      </c>
      <c r="R439" s="3">
        <v>0</v>
      </c>
      <c r="S439" s="3" t="s">
        <v>265</v>
      </c>
      <c r="T439" s="3" t="s">
        <v>426</v>
      </c>
      <c r="U439" s="3">
        <v>0</v>
      </c>
      <c r="V439" s="3">
        <v>39</v>
      </c>
      <c r="W439" s="3">
        <v>73</v>
      </c>
    </row>
    <row r="440" spans="1:23" ht="11.25" customHeight="1" x14ac:dyDescent="0.25">
      <c r="A440" s="3" t="s">
        <v>21</v>
      </c>
      <c r="B440" s="3" t="s">
        <v>39</v>
      </c>
      <c r="C440" s="3" t="s">
        <v>23</v>
      </c>
      <c r="D440" s="3" t="s">
        <v>45</v>
      </c>
      <c r="E440" s="3" t="s">
        <v>25</v>
      </c>
      <c r="F440" s="3" t="s">
        <v>25</v>
      </c>
      <c r="G440" s="3" t="s">
        <v>25</v>
      </c>
      <c r="H440" s="3" t="s">
        <v>25</v>
      </c>
      <c r="I440" s="6">
        <v>44501</v>
      </c>
      <c r="J440" s="4">
        <v>0</v>
      </c>
      <c r="K440" s="4">
        <v>0</v>
      </c>
      <c r="L440" s="4">
        <v>41.207000000000001</v>
      </c>
      <c r="M440" s="4">
        <v>41.207000000000001</v>
      </c>
      <c r="N440" s="4">
        <v>41.207000000000001</v>
      </c>
      <c r="O440" s="4">
        <v>41.207000000000001</v>
      </c>
      <c r="P440" s="4">
        <v>91</v>
      </c>
      <c r="Q440" s="3" t="s">
        <v>26</v>
      </c>
      <c r="R440" s="3">
        <v>0</v>
      </c>
      <c r="S440" s="3" t="s">
        <v>266</v>
      </c>
      <c r="T440" s="3" t="s">
        <v>427</v>
      </c>
      <c r="U440" s="3">
        <v>0</v>
      </c>
      <c r="V440" s="3">
        <v>39</v>
      </c>
      <c r="W440" s="3">
        <v>73</v>
      </c>
    </row>
    <row r="441" spans="1:23" ht="11.25" customHeight="1" x14ac:dyDescent="0.25">
      <c r="A441" s="3" t="s">
        <v>21</v>
      </c>
      <c r="B441" s="3" t="s">
        <v>39</v>
      </c>
      <c r="C441" s="3" t="s">
        <v>23</v>
      </c>
      <c r="D441" s="3" t="s">
        <v>45</v>
      </c>
      <c r="E441" s="3" t="s">
        <v>25</v>
      </c>
      <c r="F441" s="3" t="s">
        <v>25</v>
      </c>
      <c r="G441" s="3" t="s">
        <v>25</v>
      </c>
      <c r="H441" s="3" t="s">
        <v>25</v>
      </c>
      <c r="I441" s="6">
        <v>44531</v>
      </c>
      <c r="J441" s="4">
        <v>0</v>
      </c>
      <c r="K441" s="4">
        <v>0</v>
      </c>
      <c r="L441" s="4">
        <v>48.945</v>
      </c>
      <c r="M441" s="4">
        <v>48.945</v>
      </c>
      <c r="N441" s="4">
        <v>48.945</v>
      </c>
      <c r="O441" s="4">
        <v>48.945</v>
      </c>
      <c r="P441" s="4">
        <v>91</v>
      </c>
      <c r="Q441" s="3" t="s">
        <v>26</v>
      </c>
      <c r="R441" s="3">
        <v>0</v>
      </c>
      <c r="S441" s="3" t="s">
        <v>267</v>
      </c>
      <c r="T441" s="3" t="s">
        <v>428</v>
      </c>
      <c r="U441" s="3">
        <v>0</v>
      </c>
      <c r="V441" s="3">
        <v>39</v>
      </c>
      <c r="W441" s="3">
        <v>73</v>
      </c>
    </row>
    <row r="442" spans="1:23" ht="11.25" customHeight="1" x14ac:dyDescent="0.25">
      <c r="A442" s="3" t="s">
        <v>21</v>
      </c>
      <c r="B442" s="3" t="s">
        <v>39</v>
      </c>
      <c r="C442" s="3" t="s">
        <v>23</v>
      </c>
      <c r="D442" s="3" t="s">
        <v>45</v>
      </c>
      <c r="E442" s="3" t="s">
        <v>25</v>
      </c>
      <c r="F442" s="3" t="s">
        <v>25</v>
      </c>
      <c r="G442" s="3" t="s">
        <v>25</v>
      </c>
      <c r="H442" s="3" t="s">
        <v>25</v>
      </c>
      <c r="I442" s="6">
        <v>44562</v>
      </c>
      <c r="J442" s="4">
        <v>0</v>
      </c>
      <c r="K442" s="4">
        <v>0</v>
      </c>
      <c r="L442" s="4">
        <v>46.067</v>
      </c>
      <c r="M442" s="4">
        <v>46.067</v>
      </c>
      <c r="N442" s="4">
        <v>46.067</v>
      </c>
      <c r="O442" s="4">
        <v>46.067</v>
      </c>
      <c r="P442" s="4">
        <v>91</v>
      </c>
      <c r="Q442" s="3" t="s">
        <v>26</v>
      </c>
      <c r="R442" s="3">
        <v>0</v>
      </c>
      <c r="S442" s="3" t="s">
        <v>268</v>
      </c>
      <c r="T442" s="3" t="s">
        <v>429</v>
      </c>
      <c r="U442" s="3">
        <v>0</v>
      </c>
      <c r="V442" s="3">
        <v>39</v>
      </c>
      <c r="W442" s="3">
        <v>73</v>
      </c>
    </row>
    <row r="443" spans="1:23" ht="11.25" customHeight="1" x14ac:dyDescent="0.25">
      <c r="A443" s="3" t="s">
        <v>21</v>
      </c>
      <c r="B443" s="3" t="s">
        <v>39</v>
      </c>
      <c r="C443" s="3" t="s">
        <v>23</v>
      </c>
      <c r="D443" s="3" t="s">
        <v>45</v>
      </c>
      <c r="E443" s="3" t="s">
        <v>25</v>
      </c>
      <c r="F443" s="3" t="s">
        <v>25</v>
      </c>
      <c r="G443" s="3" t="s">
        <v>25</v>
      </c>
      <c r="H443" s="3" t="s">
        <v>25</v>
      </c>
      <c r="I443" s="6">
        <v>44593</v>
      </c>
      <c r="J443" s="4">
        <v>0</v>
      </c>
      <c r="K443" s="4">
        <v>0</v>
      </c>
      <c r="L443" s="4">
        <v>53.371000000000002</v>
      </c>
      <c r="M443" s="4">
        <v>53.371000000000002</v>
      </c>
      <c r="N443" s="4">
        <v>53.371000000000002</v>
      </c>
      <c r="O443" s="4">
        <v>53.371000000000002</v>
      </c>
      <c r="P443" s="4">
        <v>91</v>
      </c>
      <c r="Q443" s="3" t="s">
        <v>26</v>
      </c>
      <c r="R443" s="3">
        <v>0</v>
      </c>
      <c r="S443" s="3" t="s">
        <v>269</v>
      </c>
      <c r="T443" s="3" t="s">
        <v>430</v>
      </c>
      <c r="U443" s="3">
        <v>0</v>
      </c>
      <c r="V443" s="3">
        <v>39</v>
      </c>
      <c r="W443" s="3">
        <v>73</v>
      </c>
    </row>
    <row r="444" spans="1:23" ht="11.25" customHeight="1" x14ac:dyDescent="0.25">
      <c r="A444" s="3" t="s">
        <v>21</v>
      </c>
      <c r="B444" s="3" t="s">
        <v>39</v>
      </c>
      <c r="C444" s="3" t="s">
        <v>23</v>
      </c>
      <c r="D444" s="3" t="s">
        <v>45</v>
      </c>
      <c r="E444" s="3" t="s">
        <v>25</v>
      </c>
      <c r="F444" s="3" t="s">
        <v>25</v>
      </c>
      <c r="G444" s="3" t="s">
        <v>25</v>
      </c>
      <c r="H444" s="3" t="s">
        <v>25</v>
      </c>
      <c r="I444" s="6">
        <v>44621</v>
      </c>
      <c r="J444" s="4">
        <v>0</v>
      </c>
      <c r="K444" s="4">
        <v>0</v>
      </c>
      <c r="L444" s="4">
        <v>60.41</v>
      </c>
      <c r="M444" s="4">
        <v>60.41</v>
      </c>
      <c r="N444" s="4">
        <v>60.41</v>
      </c>
      <c r="O444" s="4">
        <v>60.41</v>
      </c>
      <c r="P444" s="4">
        <v>91</v>
      </c>
      <c r="Q444" s="3" t="s">
        <v>26</v>
      </c>
      <c r="R444" s="3">
        <v>0</v>
      </c>
      <c r="S444" s="3" t="s">
        <v>270</v>
      </c>
      <c r="T444" s="3" t="s">
        <v>431</v>
      </c>
      <c r="U444" s="3">
        <v>0</v>
      </c>
      <c r="V444" s="3">
        <v>39</v>
      </c>
      <c r="W444" s="3">
        <v>73</v>
      </c>
    </row>
    <row r="445" spans="1:23" ht="11.25" customHeight="1" x14ac:dyDescent="0.25">
      <c r="A445" s="3" t="s">
        <v>21</v>
      </c>
      <c r="B445" s="3" t="s">
        <v>39</v>
      </c>
      <c r="C445" s="3" t="s">
        <v>23</v>
      </c>
      <c r="D445" s="3" t="s">
        <v>49</v>
      </c>
      <c r="E445" s="3" t="s">
        <v>50</v>
      </c>
      <c r="F445" s="3" t="s">
        <v>25</v>
      </c>
      <c r="G445" s="3" t="s">
        <v>25</v>
      </c>
      <c r="H445" s="3" t="s">
        <v>25</v>
      </c>
      <c r="I445" s="6">
        <v>44287</v>
      </c>
      <c r="J445" s="4">
        <v>0</v>
      </c>
      <c r="K445" s="4">
        <v>0</v>
      </c>
      <c r="L445" s="4">
        <v>18.096</v>
      </c>
      <c r="M445" s="4">
        <v>17.01024</v>
      </c>
      <c r="N445" s="4">
        <v>18.096</v>
      </c>
      <c r="O445" s="4">
        <v>17.01024</v>
      </c>
      <c r="P445" s="4">
        <v>7</v>
      </c>
      <c r="Q445" s="3" t="s">
        <v>26</v>
      </c>
      <c r="R445" s="3">
        <v>0</v>
      </c>
      <c r="S445" s="3" t="s">
        <v>259</v>
      </c>
      <c r="T445" s="3" t="s">
        <v>420</v>
      </c>
      <c r="U445" s="3">
        <v>0</v>
      </c>
      <c r="V445" s="3">
        <v>39</v>
      </c>
      <c r="W445" s="3">
        <v>73</v>
      </c>
    </row>
    <row r="446" spans="1:23" ht="11.25" customHeight="1" x14ac:dyDescent="0.25">
      <c r="A446" s="3" t="s">
        <v>21</v>
      </c>
      <c r="B446" s="3" t="s">
        <v>39</v>
      </c>
      <c r="C446" s="3" t="s">
        <v>23</v>
      </c>
      <c r="D446" s="3" t="s">
        <v>49</v>
      </c>
      <c r="E446" s="3" t="s">
        <v>50</v>
      </c>
      <c r="F446" s="3" t="s">
        <v>25</v>
      </c>
      <c r="G446" s="3" t="s">
        <v>25</v>
      </c>
      <c r="H446" s="3" t="s">
        <v>25</v>
      </c>
      <c r="I446" s="6">
        <v>44317</v>
      </c>
      <c r="J446" s="4">
        <v>0</v>
      </c>
      <c r="K446" s="4">
        <v>0</v>
      </c>
      <c r="L446" s="4">
        <v>17.581</v>
      </c>
      <c r="M446" s="4">
        <v>16.526140000000002</v>
      </c>
      <c r="N446" s="4">
        <v>17.581</v>
      </c>
      <c r="O446" s="4">
        <v>16.526140000000002</v>
      </c>
      <c r="P446" s="4">
        <v>7</v>
      </c>
      <c r="Q446" s="3" t="s">
        <v>26</v>
      </c>
      <c r="R446" s="3">
        <v>0</v>
      </c>
      <c r="S446" s="3" t="s">
        <v>260</v>
      </c>
      <c r="T446" s="3" t="s">
        <v>421</v>
      </c>
      <c r="U446" s="3">
        <v>0</v>
      </c>
      <c r="V446" s="3">
        <v>39</v>
      </c>
      <c r="W446" s="3">
        <v>73</v>
      </c>
    </row>
    <row r="447" spans="1:23" ht="11.25" customHeight="1" x14ac:dyDescent="0.25">
      <c r="A447" s="3" t="s">
        <v>21</v>
      </c>
      <c r="B447" s="3" t="s">
        <v>39</v>
      </c>
      <c r="C447" s="3" t="s">
        <v>23</v>
      </c>
      <c r="D447" s="3" t="s">
        <v>49</v>
      </c>
      <c r="E447" s="3" t="s">
        <v>50</v>
      </c>
      <c r="F447" s="3" t="s">
        <v>25</v>
      </c>
      <c r="G447" s="3" t="s">
        <v>25</v>
      </c>
      <c r="H447" s="3" t="s">
        <v>25</v>
      </c>
      <c r="I447" s="6">
        <v>44348</v>
      </c>
      <c r="J447" s="4">
        <v>0</v>
      </c>
      <c r="K447" s="4">
        <v>0</v>
      </c>
      <c r="L447" s="4">
        <v>17.135999999999999</v>
      </c>
      <c r="M447" s="4">
        <v>16.107839999999999</v>
      </c>
      <c r="N447" s="4">
        <v>17.135999999999999</v>
      </c>
      <c r="O447" s="4">
        <v>16.107839999999999</v>
      </c>
      <c r="P447" s="4">
        <v>7</v>
      </c>
      <c r="Q447" s="3" t="s">
        <v>26</v>
      </c>
      <c r="R447" s="3">
        <v>0</v>
      </c>
      <c r="S447" s="3" t="s">
        <v>261</v>
      </c>
      <c r="T447" s="3" t="s">
        <v>422</v>
      </c>
      <c r="U447" s="3">
        <v>0</v>
      </c>
      <c r="V447" s="3">
        <v>39</v>
      </c>
      <c r="W447" s="3">
        <v>73</v>
      </c>
    </row>
    <row r="448" spans="1:23" ht="11.25" customHeight="1" x14ac:dyDescent="0.25">
      <c r="A448" s="3" t="s">
        <v>21</v>
      </c>
      <c r="B448" s="3" t="s">
        <v>39</v>
      </c>
      <c r="C448" s="3" t="s">
        <v>23</v>
      </c>
      <c r="D448" s="3" t="s">
        <v>49</v>
      </c>
      <c r="E448" s="3" t="s">
        <v>50</v>
      </c>
      <c r="F448" s="3" t="s">
        <v>25</v>
      </c>
      <c r="G448" s="3" t="s">
        <v>25</v>
      </c>
      <c r="H448" s="3" t="s">
        <v>25</v>
      </c>
      <c r="I448" s="6">
        <v>44378</v>
      </c>
      <c r="J448" s="4">
        <v>0</v>
      </c>
      <c r="K448" s="4">
        <v>0</v>
      </c>
      <c r="L448" s="4">
        <v>17.015999999999998</v>
      </c>
      <c r="M448" s="4">
        <v>15.995039999999999</v>
      </c>
      <c r="N448" s="4">
        <v>17.015999999999998</v>
      </c>
      <c r="O448" s="4">
        <v>15.995039999999999</v>
      </c>
      <c r="P448" s="4">
        <v>7</v>
      </c>
      <c r="Q448" s="3" t="s">
        <v>26</v>
      </c>
      <c r="R448" s="3">
        <v>0</v>
      </c>
      <c r="S448" s="3" t="s">
        <v>262</v>
      </c>
      <c r="T448" s="3" t="s">
        <v>423</v>
      </c>
      <c r="U448" s="3">
        <v>0</v>
      </c>
      <c r="V448" s="3">
        <v>39</v>
      </c>
      <c r="W448" s="3">
        <v>73</v>
      </c>
    </row>
    <row r="449" spans="1:23" ht="11.25" customHeight="1" x14ac:dyDescent="0.25">
      <c r="A449" s="3" t="s">
        <v>21</v>
      </c>
      <c r="B449" s="3" t="s">
        <v>39</v>
      </c>
      <c r="C449" s="3" t="s">
        <v>23</v>
      </c>
      <c r="D449" s="3" t="s">
        <v>49</v>
      </c>
      <c r="E449" s="3" t="s">
        <v>50</v>
      </c>
      <c r="F449" s="3" t="s">
        <v>25</v>
      </c>
      <c r="G449" s="3" t="s">
        <v>25</v>
      </c>
      <c r="H449" s="3" t="s">
        <v>25</v>
      </c>
      <c r="I449" s="6">
        <v>44409</v>
      </c>
      <c r="J449" s="4">
        <v>0</v>
      </c>
      <c r="K449" s="4">
        <v>0</v>
      </c>
      <c r="L449" s="4">
        <v>16.446999999999999</v>
      </c>
      <c r="M449" s="4">
        <v>15.460179999999999</v>
      </c>
      <c r="N449" s="4">
        <v>16.446999999999999</v>
      </c>
      <c r="O449" s="4">
        <v>15.460179999999999</v>
      </c>
      <c r="P449" s="4">
        <v>7</v>
      </c>
      <c r="Q449" s="3" t="s">
        <v>26</v>
      </c>
      <c r="R449" s="3">
        <v>0</v>
      </c>
      <c r="S449" s="3" t="s">
        <v>263</v>
      </c>
      <c r="T449" s="3" t="s">
        <v>424</v>
      </c>
      <c r="U449" s="3">
        <v>0</v>
      </c>
      <c r="V449" s="3">
        <v>39</v>
      </c>
      <c r="W449" s="3">
        <v>73</v>
      </c>
    </row>
    <row r="450" spans="1:23" ht="11.25" customHeight="1" x14ac:dyDescent="0.25">
      <c r="A450" s="3" t="s">
        <v>21</v>
      </c>
      <c r="B450" s="3" t="s">
        <v>39</v>
      </c>
      <c r="C450" s="3" t="s">
        <v>23</v>
      </c>
      <c r="D450" s="3" t="s">
        <v>49</v>
      </c>
      <c r="E450" s="3" t="s">
        <v>50</v>
      </c>
      <c r="F450" s="3" t="s">
        <v>25</v>
      </c>
      <c r="G450" s="3" t="s">
        <v>25</v>
      </c>
      <c r="H450" s="3" t="s">
        <v>25</v>
      </c>
      <c r="I450" s="6">
        <v>44440</v>
      </c>
      <c r="J450" s="4">
        <v>0</v>
      </c>
      <c r="K450" s="4">
        <v>0</v>
      </c>
      <c r="L450" s="4">
        <v>18.122</v>
      </c>
      <c r="M450" s="4">
        <v>17.034680000000002</v>
      </c>
      <c r="N450" s="4">
        <v>18.122</v>
      </c>
      <c r="O450" s="4">
        <v>17.034680000000002</v>
      </c>
      <c r="P450" s="4">
        <v>7</v>
      </c>
      <c r="Q450" s="3" t="s">
        <v>26</v>
      </c>
      <c r="R450" s="3">
        <v>0</v>
      </c>
      <c r="S450" s="3" t="s">
        <v>264</v>
      </c>
      <c r="T450" s="3" t="s">
        <v>425</v>
      </c>
      <c r="U450" s="3">
        <v>0</v>
      </c>
      <c r="V450" s="3">
        <v>39</v>
      </c>
      <c r="W450" s="3">
        <v>73</v>
      </c>
    </row>
    <row r="451" spans="1:23" ht="11.25" customHeight="1" x14ac:dyDescent="0.25">
      <c r="A451" s="3" t="s">
        <v>21</v>
      </c>
      <c r="B451" s="3" t="s">
        <v>39</v>
      </c>
      <c r="C451" s="3" t="s">
        <v>23</v>
      </c>
      <c r="D451" s="3" t="s">
        <v>49</v>
      </c>
      <c r="E451" s="3" t="s">
        <v>50</v>
      </c>
      <c r="F451" s="3" t="s">
        <v>25</v>
      </c>
      <c r="G451" s="3" t="s">
        <v>25</v>
      </c>
      <c r="H451" s="3" t="s">
        <v>25</v>
      </c>
      <c r="I451" s="6">
        <v>44470</v>
      </c>
      <c r="J451" s="4">
        <v>0</v>
      </c>
      <c r="K451" s="4">
        <v>0</v>
      </c>
      <c r="L451" s="4">
        <v>16.600000000000001</v>
      </c>
      <c r="M451" s="4">
        <v>15.603999999999999</v>
      </c>
      <c r="N451" s="4">
        <v>16.600000000000001</v>
      </c>
      <c r="O451" s="4">
        <v>15.603999999999999</v>
      </c>
      <c r="P451" s="4">
        <v>7</v>
      </c>
      <c r="Q451" s="3" t="s">
        <v>26</v>
      </c>
      <c r="R451" s="3">
        <v>0</v>
      </c>
      <c r="S451" s="3" t="s">
        <v>265</v>
      </c>
      <c r="T451" s="3" t="s">
        <v>426</v>
      </c>
      <c r="U451" s="3">
        <v>0</v>
      </c>
      <c r="V451" s="3">
        <v>39</v>
      </c>
      <c r="W451" s="3">
        <v>73</v>
      </c>
    </row>
    <row r="452" spans="1:23" ht="11.25" customHeight="1" x14ac:dyDescent="0.25">
      <c r="A452" s="3" t="s">
        <v>21</v>
      </c>
      <c r="B452" s="3" t="s">
        <v>39</v>
      </c>
      <c r="C452" s="3" t="s">
        <v>23</v>
      </c>
      <c r="D452" s="3" t="s">
        <v>49</v>
      </c>
      <c r="E452" s="3" t="s">
        <v>50</v>
      </c>
      <c r="F452" s="3" t="s">
        <v>25</v>
      </c>
      <c r="G452" s="3" t="s">
        <v>25</v>
      </c>
      <c r="H452" s="3" t="s">
        <v>25</v>
      </c>
      <c r="I452" s="6">
        <v>44501</v>
      </c>
      <c r="J452" s="4">
        <v>0</v>
      </c>
      <c r="K452" s="4">
        <v>0</v>
      </c>
      <c r="L452" s="4">
        <v>16.931999999999999</v>
      </c>
      <c r="M452" s="4">
        <v>15.916079999999999</v>
      </c>
      <c r="N452" s="4">
        <v>16.931999999999999</v>
      </c>
      <c r="O452" s="4">
        <v>15.916079999999999</v>
      </c>
      <c r="P452" s="4">
        <v>7</v>
      </c>
      <c r="Q452" s="3" t="s">
        <v>26</v>
      </c>
      <c r="R452" s="3">
        <v>0</v>
      </c>
      <c r="S452" s="3" t="s">
        <v>266</v>
      </c>
      <c r="T452" s="3" t="s">
        <v>427</v>
      </c>
      <c r="U452" s="3">
        <v>0</v>
      </c>
      <c r="V452" s="3">
        <v>39</v>
      </c>
      <c r="W452" s="3">
        <v>73</v>
      </c>
    </row>
    <row r="453" spans="1:23" ht="11.25" customHeight="1" x14ac:dyDescent="0.25">
      <c r="A453" s="3" t="s">
        <v>21</v>
      </c>
      <c r="B453" s="3" t="s">
        <v>39</v>
      </c>
      <c r="C453" s="3" t="s">
        <v>23</v>
      </c>
      <c r="D453" s="3" t="s">
        <v>49</v>
      </c>
      <c r="E453" s="3" t="s">
        <v>50</v>
      </c>
      <c r="F453" s="3" t="s">
        <v>25</v>
      </c>
      <c r="G453" s="3" t="s">
        <v>25</v>
      </c>
      <c r="H453" s="3" t="s">
        <v>25</v>
      </c>
      <c r="I453" s="6">
        <v>44531</v>
      </c>
      <c r="J453" s="4">
        <v>0</v>
      </c>
      <c r="K453" s="4">
        <v>0</v>
      </c>
      <c r="L453" s="4">
        <v>16.931000000000001</v>
      </c>
      <c r="M453" s="4">
        <v>15.915139999999999</v>
      </c>
      <c r="N453" s="4">
        <v>16.931000000000001</v>
      </c>
      <c r="O453" s="4">
        <v>15.915139999999999</v>
      </c>
      <c r="P453" s="4">
        <v>7</v>
      </c>
      <c r="Q453" s="3" t="s">
        <v>26</v>
      </c>
      <c r="R453" s="3">
        <v>0</v>
      </c>
      <c r="S453" s="3" t="s">
        <v>267</v>
      </c>
      <c r="T453" s="3" t="s">
        <v>428</v>
      </c>
      <c r="U453" s="3">
        <v>0</v>
      </c>
      <c r="V453" s="3">
        <v>39</v>
      </c>
      <c r="W453" s="3">
        <v>73</v>
      </c>
    </row>
    <row r="454" spans="1:23" ht="11.25" customHeight="1" x14ac:dyDescent="0.25">
      <c r="A454" s="3" t="s">
        <v>21</v>
      </c>
      <c r="B454" s="3" t="s">
        <v>39</v>
      </c>
      <c r="C454" s="3" t="s">
        <v>23</v>
      </c>
      <c r="D454" s="3" t="s">
        <v>49</v>
      </c>
      <c r="E454" s="3" t="s">
        <v>50</v>
      </c>
      <c r="F454" s="3" t="s">
        <v>25</v>
      </c>
      <c r="G454" s="3" t="s">
        <v>25</v>
      </c>
      <c r="H454" s="3" t="s">
        <v>25</v>
      </c>
      <c r="I454" s="6">
        <v>44562</v>
      </c>
      <c r="J454" s="4">
        <v>0</v>
      </c>
      <c r="K454" s="4">
        <v>0</v>
      </c>
      <c r="L454" s="4">
        <v>17.318000000000001</v>
      </c>
      <c r="M454" s="4">
        <v>16.278919999999999</v>
      </c>
      <c r="N454" s="4">
        <v>17.318000000000001</v>
      </c>
      <c r="O454" s="4">
        <v>16.278919999999999</v>
      </c>
      <c r="P454" s="4">
        <v>7</v>
      </c>
      <c r="Q454" s="3" t="s">
        <v>26</v>
      </c>
      <c r="R454" s="3">
        <v>0</v>
      </c>
      <c r="S454" s="3" t="s">
        <v>268</v>
      </c>
      <c r="T454" s="3" t="s">
        <v>429</v>
      </c>
      <c r="U454" s="3">
        <v>0</v>
      </c>
      <c r="V454" s="3">
        <v>39</v>
      </c>
      <c r="W454" s="3">
        <v>73</v>
      </c>
    </row>
    <row r="455" spans="1:23" ht="11.25" customHeight="1" x14ac:dyDescent="0.25">
      <c r="A455" s="3" t="s">
        <v>21</v>
      </c>
      <c r="B455" s="3" t="s">
        <v>39</v>
      </c>
      <c r="C455" s="3" t="s">
        <v>23</v>
      </c>
      <c r="D455" s="3" t="s">
        <v>49</v>
      </c>
      <c r="E455" s="3" t="s">
        <v>50</v>
      </c>
      <c r="F455" s="3" t="s">
        <v>25</v>
      </c>
      <c r="G455" s="3" t="s">
        <v>25</v>
      </c>
      <c r="H455" s="3" t="s">
        <v>25</v>
      </c>
      <c r="I455" s="6">
        <v>44593</v>
      </c>
      <c r="J455" s="4">
        <v>0</v>
      </c>
      <c r="K455" s="4">
        <v>0</v>
      </c>
      <c r="L455" s="4">
        <v>18.584</v>
      </c>
      <c r="M455" s="4">
        <v>17.468959999999999</v>
      </c>
      <c r="N455" s="4">
        <v>18.584</v>
      </c>
      <c r="O455" s="4">
        <v>17.468959999999999</v>
      </c>
      <c r="P455" s="4">
        <v>7</v>
      </c>
      <c r="Q455" s="3" t="s">
        <v>26</v>
      </c>
      <c r="R455" s="3">
        <v>0</v>
      </c>
      <c r="S455" s="3" t="s">
        <v>269</v>
      </c>
      <c r="T455" s="3" t="s">
        <v>430</v>
      </c>
      <c r="U455" s="3">
        <v>0</v>
      </c>
      <c r="V455" s="3">
        <v>39</v>
      </c>
      <c r="W455" s="3">
        <v>73</v>
      </c>
    </row>
    <row r="456" spans="1:23" ht="11.25" customHeight="1" x14ac:dyDescent="0.25">
      <c r="A456" s="3" t="s">
        <v>21</v>
      </c>
      <c r="B456" s="3" t="s">
        <v>39</v>
      </c>
      <c r="C456" s="3" t="s">
        <v>23</v>
      </c>
      <c r="D456" s="3" t="s">
        <v>49</v>
      </c>
      <c r="E456" s="3" t="s">
        <v>50</v>
      </c>
      <c r="F456" s="3" t="s">
        <v>25</v>
      </c>
      <c r="G456" s="3" t="s">
        <v>25</v>
      </c>
      <c r="H456" s="3" t="s">
        <v>25</v>
      </c>
      <c r="I456" s="6">
        <v>44621</v>
      </c>
      <c r="J456" s="4">
        <v>0</v>
      </c>
      <c r="K456" s="4">
        <v>0</v>
      </c>
      <c r="L456" s="4">
        <v>17.818000000000001</v>
      </c>
      <c r="M456" s="4">
        <v>16.748919999999998</v>
      </c>
      <c r="N456" s="4">
        <v>17.818000000000001</v>
      </c>
      <c r="O456" s="4">
        <v>16.748919999999998</v>
      </c>
      <c r="P456" s="4">
        <v>8</v>
      </c>
      <c r="Q456" s="3" t="s">
        <v>26</v>
      </c>
      <c r="R456" s="3">
        <v>0</v>
      </c>
      <c r="S456" s="3" t="s">
        <v>270</v>
      </c>
      <c r="T456" s="3" t="s">
        <v>431</v>
      </c>
      <c r="U456" s="3">
        <v>0</v>
      </c>
      <c r="V456" s="3">
        <v>39</v>
      </c>
      <c r="W456" s="3">
        <v>73</v>
      </c>
    </row>
    <row r="457" spans="1:23" ht="11.25" customHeight="1" x14ac:dyDescent="0.25">
      <c r="A457" s="3" t="s">
        <v>21</v>
      </c>
      <c r="B457" s="3" t="s">
        <v>46</v>
      </c>
      <c r="C457" s="3" t="s">
        <v>23</v>
      </c>
      <c r="D457" s="3" t="s">
        <v>47</v>
      </c>
      <c r="E457" s="3" t="s">
        <v>48</v>
      </c>
      <c r="F457" s="3" t="s">
        <v>25</v>
      </c>
      <c r="G457" s="3" t="s">
        <v>25</v>
      </c>
      <c r="H457" s="3" t="s">
        <v>25</v>
      </c>
      <c r="I457" s="6">
        <v>44287</v>
      </c>
      <c r="J457" s="4">
        <v>0</v>
      </c>
      <c r="K457" s="4">
        <v>0</v>
      </c>
      <c r="L457" s="4">
        <v>274.584</v>
      </c>
      <c r="M457" s="4">
        <v>274.584</v>
      </c>
      <c r="N457" s="4">
        <v>274.584</v>
      </c>
      <c r="O457" s="4">
        <v>274.584</v>
      </c>
      <c r="P457" s="4">
        <v>5</v>
      </c>
      <c r="Q457" s="3" t="s">
        <v>26</v>
      </c>
      <c r="R457" s="3">
        <v>0</v>
      </c>
      <c r="S457" s="3" t="s">
        <v>271</v>
      </c>
      <c r="T457" s="3" t="s">
        <v>432</v>
      </c>
      <c r="U457" s="3">
        <v>0</v>
      </c>
      <c r="V457" s="3">
        <v>41</v>
      </c>
      <c r="W457" s="3">
        <v>75</v>
      </c>
    </row>
    <row r="458" spans="1:23" ht="11.25" customHeight="1" x14ac:dyDescent="0.25">
      <c r="A458" s="3" t="s">
        <v>21</v>
      </c>
      <c r="B458" s="3" t="s">
        <v>46</v>
      </c>
      <c r="C458" s="3" t="s">
        <v>23</v>
      </c>
      <c r="D458" s="3" t="s">
        <v>47</v>
      </c>
      <c r="E458" s="3" t="s">
        <v>48</v>
      </c>
      <c r="F458" s="3" t="s">
        <v>25</v>
      </c>
      <c r="G458" s="3" t="s">
        <v>25</v>
      </c>
      <c r="H458" s="3" t="s">
        <v>25</v>
      </c>
      <c r="I458" s="6">
        <v>44317</v>
      </c>
      <c r="J458" s="4">
        <v>0</v>
      </c>
      <c r="K458" s="4">
        <v>0</v>
      </c>
      <c r="L458" s="4">
        <v>283.738</v>
      </c>
      <c r="M458" s="4">
        <v>283.738</v>
      </c>
      <c r="N458" s="4">
        <v>283.738</v>
      </c>
      <c r="O458" s="4">
        <v>283.738</v>
      </c>
      <c r="P458" s="4">
        <v>5</v>
      </c>
      <c r="Q458" s="3" t="s">
        <v>26</v>
      </c>
      <c r="R458" s="3">
        <v>0</v>
      </c>
      <c r="S458" s="3" t="s">
        <v>272</v>
      </c>
      <c r="T458" s="3" t="s">
        <v>433</v>
      </c>
      <c r="U458" s="3">
        <v>0</v>
      </c>
      <c r="V458" s="3">
        <v>41</v>
      </c>
      <c r="W458" s="3">
        <v>75</v>
      </c>
    </row>
    <row r="459" spans="1:23" ht="11.25" customHeight="1" x14ac:dyDescent="0.25">
      <c r="A459" s="3" t="s">
        <v>21</v>
      </c>
      <c r="B459" s="3" t="s">
        <v>46</v>
      </c>
      <c r="C459" s="3" t="s">
        <v>23</v>
      </c>
      <c r="D459" s="3" t="s">
        <v>47</v>
      </c>
      <c r="E459" s="3" t="s">
        <v>48</v>
      </c>
      <c r="F459" s="3" t="s">
        <v>25</v>
      </c>
      <c r="G459" s="3" t="s">
        <v>25</v>
      </c>
      <c r="H459" s="3" t="s">
        <v>25</v>
      </c>
      <c r="I459" s="6">
        <v>44348</v>
      </c>
      <c r="J459" s="4">
        <v>0</v>
      </c>
      <c r="K459" s="4">
        <v>0</v>
      </c>
      <c r="L459" s="4">
        <v>274.584</v>
      </c>
      <c r="M459" s="4">
        <v>274.584</v>
      </c>
      <c r="N459" s="4">
        <v>274.584</v>
      </c>
      <c r="O459" s="4">
        <v>274.584</v>
      </c>
      <c r="P459" s="4">
        <v>5</v>
      </c>
      <c r="Q459" s="3" t="s">
        <v>26</v>
      </c>
      <c r="R459" s="3">
        <v>0</v>
      </c>
      <c r="S459" s="3" t="s">
        <v>273</v>
      </c>
      <c r="T459" s="3" t="s">
        <v>434</v>
      </c>
      <c r="U459" s="3">
        <v>0</v>
      </c>
      <c r="V459" s="3">
        <v>41</v>
      </c>
      <c r="W459" s="3">
        <v>75</v>
      </c>
    </row>
    <row r="460" spans="1:23" ht="11.25" customHeight="1" x14ac:dyDescent="0.25">
      <c r="A460" s="3" t="s">
        <v>21</v>
      </c>
      <c r="B460" s="3" t="s">
        <v>46</v>
      </c>
      <c r="C460" s="3" t="s">
        <v>23</v>
      </c>
      <c r="D460" s="3" t="s">
        <v>47</v>
      </c>
      <c r="E460" s="3" t="s">
        <v>48</v>
      </c>
      <c r="F460" s="3" t="s">
        <v>25</v>
      </c>
      <c r="G460" s="3" t="s">
        <v>25</v>
      </c>
      <c r="H460" s="3" t="s">
        <v>25</v>
      </c>
      <c r="I460" s="6">
        <v>44378</v>
      </c>
      <c r="J460" s="4">
        <v>0</v>
      </c>
      <c r="K460" s="4">
        <v>0</v>
      </c>
      <c r="L460" s="4">
        <v>283.738</v>
      </c>
      <c r="M460" s="4">
        <v>283.738</v>
      </c>
      <c r="N460" s="4">
        <v>283.738</v>
      </c>
      <c r="O460" s="4">
        <v>283.738</v>
      </c>
      <c r="P460" s="4">
        <v>5</v>
      </c>
      <c r="Q460" s="3" t="s">
        <v>26</v>
      </c>
      <c r="R460" s="3">
        <v>0</v>
      </c>
      <c r="S460" s="3" t="s">
        <v>274</v>
      </c>
      <c r="T460" s="3" t="s">
        <v>435</v>
      </c>
      <c r="U460" s="3">
        <v>0</v>
      </c>
      <c r="V460" s="3">
        <v>41</v>
      </c>
      <c r="W460" s="3">
        <v>75</v>
      </c>
    </row>
    <row r="461" spans="1:23" ht="11.25" customHeight="1" x14ac:dyDescent="0.25">
      <c r="A461" s="3" t="s">
        <v>21</v>
      </c>
      <c r="B461" s="3" t="s">
        <v>46</v>
      </c>
      <c r="C461" s="3" t="s">
        <v>23</v>
      </c>
      <c r="D461" s="3" t="s">
        <v>47</v>
      </c>
      <c r="E461" s="3" t="s">
        <v>48</v>
      </c>
      <c r="F461" s="3" t="s">
        <v>25</v>
      </c>
      <c r="G461" s="3" t="s">
        <v>25</v>
      </c>
      <c r="H461" s="3" t="s">
        <v>25</v>
      </c>
      <c r="I461" s="6">
        <v>44409</v>
      </c>
      <c r="J461" s="4">
        <v>0</v>
      </c>
      <c r="K461" s="4">
        <v>0</v>
      </c>
      <c r="L461" s="4">
        <v>283.738</v>
      </c>
      <c r="M461" s="4">
        <v>283.738</v>
      </c>
      <c r="N461" s="4">
        <v>283.738</v>
      </c>
      <c r="O461" s="4">
        <v>283.738</v>
      </c>
      <c r="P461" s="4">
        <v>5</v>
      </c>
      <c r="Q461" s="3" t="s">
        <v>26</v>
      </c>
      <c r="R461" s="3">
        <v>0</v>
      </c>
      <c r="S461" s="3" t="s">
        <v>275</v>
      </c>
      <c r="T461" s="3" t="s">
        <v>436</v>
      </c>
      <c r="U461" s="3">
        <v>0</v>
      </c>
      <c r="V461" s="3">
        <v>41</v>
      </c>
      <c r="W461" s="3">
        <v>75</v>
      </c>
    </row>
    <row r="462" spans="1:23" ht="11.25" customHeight="1" x14ac:dyDescent="0.25">
      <c r="A462" s="3" t="s">
        <v>21</v>
      </c>
      <c r="B462" s="3" t="s">
        <v>46</v>
      </c>
      <c r="C462" s="3" t="s">
        <v>23</v>
      </c>
      <c r="D462" s="3" t="s">
        <v>47</v>
      </c>
      <c r="E462" s="3" t="s">
        <v>48</v>
      </c>
      <c r="F462" s="3" t="s">
        <v>25</v>
      </c>
      <c r="G462" s="3" t="s">
        <v>25</v>
      </c>
      <c r="H462" s="3" t="s">
        <v>25</v>
      </c>
      <c r="I462" s="6">
        <v>44440</v>
      </c>
      <c r="J462" s="4">
        <v>0</v>
      </c>
      <c r="K462" s="4">
        <v>0</v>
      </c>
      <c r="L462" s="4">
        <v>274.584</v>
      </c>
      <c r="M462" s="4">
        <v>274.584</v>
      </c>
      <c r="N462" s="4">
        <v>274.584</v>
      </c>
      <c r="O462" s="4">
        <v>274.584</v>
      </c>
      <c r="P462" s="4">
        <v>5</v>
      </c>
      <c r="Q462" s="3" t="s">
        <v>26</v>
      </c>
      <c r="R462" s="3">
        <v>0</v>
      </c>
      <c r="S462" s="3" t="s">
        <v>276</v>
      </c>
      <c r="T462" s="3" t="s">
        <v>437</v>
      </c>
      <c r="U462" s="3">
        <v>0</v>
      </c>
      <c r="V462" s="3">
        <v>41</v>
      </c>
      <c r="W462" s="3">
        <v>75</v>
      </c>
    </row>
    <row r="463" spans="1:23" ht="11.25" customHeight="1" x14ac:dyDescent="0.25">
      <c r="A463" s="3" t="s">
        <v>21</v>
      </c>
      <c r="B463" s="3" t="s">
        <v>46</v>
      </c>
      <c r="C463" s="3" t="s">
        <v>23</v>
      </c>
      <c r="D463" s="3" t="s">
        <v>47</v>
      </c>
      <c r="E463" s="3" t="s">
        <v>48</v>
      </c>
      <c r="F463" s="3" t="s">
        <v>25</v>
      </c>
      <c r="G463" s="3" t="s">
        <v>25</v>
      </c>
      <c r="H463" s="3" t="s">
        <v>25</v>
      </c>
      <c r="I463" s="6">
        <v>44470</v>
      </c>
      <c r="J463" s="4">
        <v>0</v>
      </c>
      <c r="K463" s="4">
        <v>0</v>
      </c>
      <c r="L463" s="4">
        <v>283.738</v>
      </c>
      <c r="M463" s="4">
        <v>283.738</v>
      </c>
      <c r="N463" s="4">
        <v>283.738</v>
      </c>
      <c r="O463" s="4">
        <v>283.738</v>
      </c>
      <c r="P463" s="4">
        <v>5</v>
      </c>
      <c r="Q463" s="3" t="s">
        <v>26</v>
      </c>
      <c r="R463" s="3">
        <v>0</v>
      </c>
      <c r="S463" s="3" t="s">
        <v>277</v>
      </c>
      <c r="T463" s="3" t="s">
        <v>438</v>
      </c>
      <c r="U463" s="3">
        <v>0</v>
      </c>
      <c r="V463" s="3">
        <v>41</v>
      </c>
      <c r="W463" s="3">
        <v>75</v>
      </c>
    </row>
    <row r="464" spans="1:23" ht="11.25" customHeight="1" x14ac:dyDescent="0.25">
      <c r="A464" s="3" t="s">
        <v>27</v>
      </c>
      <c r="B464" s="3" t="s">
        <v>46</v>
      </c>
      <c r="C464" s="3" t="s">
        <v>23</v>
      </c>
      <c r="D464" s="3" t="s">
        <v>47</v>
      </c>
      <c r="E464" s="3" t="s">
        <v>48</v>
      </c>
      <c r="F464" s="3" t="s">
        <v>25</v>
      </c>
      <c r="G464" s="3" t="s">
        <v>25</v>
      </c>
      <c r="H464" s="3" t="s">
        <v>25</v>
      </c>
      <c r="I464" s="6">
        <v>44470</v>
      </c>
      <c r="J464" s="4">
        <v>0</v>
      </c>
      <c r="K464" s="4">
        <v>0</v>
      </c>
      <c r="L464" s="4">
        <v>6.3860000000000001</v>
      </c>
      <c r="M464" s="4">
        <v>6.3860000000000001</v>
      </c>
      <c r="N464" s="4">
        <v>6.3860000000000001</v>
      </c>
      <c r="O464" s="4">
        <v>6.3860000000000001</v>
      </c>
      <c r="P464" s="4">
        <v>0</v>
      </c>
      <c r="Q464" s="3" t="s">
        <v>26</v>
      </c>
      <c r="R464" s="3">
        <v>0</v>
      </c>
      <c r="S464" s="3" t="s">
        <v>277</v>
      </c>
      <c r="T464" s="3" t="s">
        <v>438</v>
      </c>
      <c r="U464" s="3">
        <v>0</v>
      </c>
      <c r="V464" s="3">
        <v>41</v>
      </c>
      <c r="W464" s="3">
        <v>75</v>
      </c>
    </row>
    <row r="465" spans="1:23" ht="11.25" customHeight="1" x14ac:dyDescent="0.25">
      <c r="A465" s="3" t="s">
        <v>21</v>
      </c>
      <c r="B465" s="3" t="s">
        <v>46</v>
      </c>
      <c r="C465" s="3" t="s">
        <v>23</v>
      </c>
      <c r="D465" s="3" t="s">
        <v>47</v>
      </c>
      <c r="E465" s="3" t="s">
        <v>48</v>
      </c>
      <c r="F465" s="3" t="s">
        <v>25</v>
      </c>
      <c r="G465" s="3" t="s">
        <v>25</v>
      </c>
      <c r="H465" s="3" t="s">
        <v>25</v>
      </c>
      <c r="I465" s="6">
        <v>44501</v>
      </c>
      <c r="J465" s="4">
        <v>0</v>
      </c>
      <c r="K465" s="4">
        <v>0</v>
      </c>
      <c r="L465" s="4">
        <v>274.584</v>
      </c>
      <c r="M465" s="4">
        <v>274.584</v>
      </c>
      <c r="N465" s="4">
        <v>274.584</v>
      </c>
      <c r="O465" s="4">
        <v>274.584</v>
      </c>
      <c r="P465" s="4">
        <v>5</v>
      </c>
      <c r="Q465" s="3" t="s">
        <v>26</v>
      </c>
      <c r="R465" s="3">
        <v>0</v>
      </c>
      <c r="S465" s="3" t="s">
        <v>278</v>
      </c>
      <c r="T465" s="3" t="s">
        <v>439</v>
      </c>
      <c r="U465" s="3">
        <v>0</v>
      </c>
      <c r="V465" s="3">
        <v>41</v>
      </c>
      <c r="W465" s="3">
        <v>75</v>
      </c>
    </row>
    <row r="466" spans="1:23" ht="11.25" customHeight="1" x14ac:dyDescent="0.25">
      <c r="A466" s="3" t="s">
        <v>21</v>
      </c>
      <c r="B466" s="3" t="s">
        <v>46</v>
      </c>
      <c r="C466" s="3" t="s">
        <v>23</v>
      </c>
      <c r="D466" s="3" t="s">
        <v>47</v>
      </c>
      <c r="E466" s="3" t="s">
        <v>48</v>
      </c>
      <c r="F466" s="3" t="s">
        <v>25</v>
      </c>
      <c r="G466" s="3" t="s">
        <v>25</v>
      </c>
      <c r="H466" s="3" t="s">
        <v>25</v>
      </c>
      <c r="I466" s="6">
        <v>44531</v>
      </c>
      <c r="J466" s="4">
        <v>0</v>
      </c>
      <c r="K466" s="4">
        <v>0</v>
      </c>
      <c r="L466" s="4">
        <v>283.738</v>
      </c>
      <c r="M466" s="4">
        <v>283.738</v>
      </c>
      <c r="N466" s="4">
        <v>283.738</v>
      </c>
      <c r="O466" s="4">
        <v>283.738</v>
      </c>
      <c r="P466" s="4">
        <v>5</v>
      </c>
      <c r="Q466" s="3" t="s">
        <v>26</v>
      </c>
      <c r="R466" s="3">
        <v>0</v>
      </c>
      <c r="S466" s="3" t="s">
        <v>279</v>
      </c>
      <c r="T466" s="3" t="s">
        <v>440</v>
      </c>
      <c r="U466" s="3">
        <v>0</v>
      </c>
      <c r="V466" s="3">
        <v>41</v>
      </c>
      <c r="W466" s="3">
        <v>75</v>
      </c>
    </row>
    <row r="467" spans="1:23" ht="11.25" customHeight="1" x14ac:dyDescent="0.25">
      <c r="A467" s="3" t="s">
        <v>21</v>
      </c>
      <c r="B467" s="3" t="s">
        <v>46</v>
      </c>
      <c r="C467" s="3" t="s">
        <v>23</v>
      </c>
      <c r="D467" s="3" t="s">
        <v>47</v>
      </c>
      <c r="E467" s="3" t="s">
        <v>48</v>
      </c>
      <c r="F467" s="3" t="s">
        <v>25</v>
      </c>
      <c r="G467" s="3" t="s">
        <v>25</v>
      </c>
      <c r="H467" s="3" t="s">
        <v>25</v>
      </c>
      <c r="I467" s="6">
        <v>44562</v>
      </c>
      <c r="J467" s="4">
        <v>0</v>
      </c>
      <c r="K467" s="4">
        <v>0</v>
      </c>
      <c r="L467" s="4">
        <v>283.738</v>
      </c>
      <c r="M467" s="4">
        <v>283.738</v>
      </c>
      <c r="N467" s="4">
        <v>283.738</v>
      </c>
      <c r="O467" s="4">
        <v>283.738</v>
      </c>
      <c r="P467" s="4">
        <v>5</v>
      </c>
      <c r="Q467" s="3" t="s">
        <v>26</v>
      </c>
      <c r="R467" s="3">
        <v>0</v>
      </c>
      <c r="S467" s="3" t="s">
        <v>280</v>
      </c>
      <c r="T467" s="3" t="s">
        <v>441</v>
      </c>
      <c r="U467" s="3">
        <v>0</v>
      </c>
      <c r="V467" s="3">
        <v>41</v>
      </c>
      <c r="W467" s="3">
        <v>75</v>
      </c>
    </row>
    <row r="468" spans="1:23" ht="11.25" customHeight="1" x14ac:dyDescent="0.25">
      <c r="A468" s="3" t="s">
        <v>21</v>
      </c>
      <c r="B468" s="3" t="s">
        <v>46</v>
      </c>
      <c r="C468" s="3" t="s">
        <v>23</v>
      </c>
      <c r="D468" s="3" t="s">
        <v>47</v>
      </c>
      <c r="E468" s="3" t="s">
        <v>48</v>
      </c>
      <c r="F468" s="3" t="s">
        <v>25</v>
      </c>
      <c r="G468" s="3" t="s">
        <v>25</v>
      </c>
      <c r="H468" s="3" t="s">
        <v>25</v>
      </c>
      <c r="I468" s="6">
        <v>44593</v>
      </c>
      <c r="J468" s="4">
        <v>0</v>
      </c>
      <c r="K468" s="4">
        <v>0</v>
      </c>
      <c r="L468" s="4">
        <v>256.27999999999997</v>
      </c>
      <c r="M468" s="4">
        <v>256.27999999999997</v>
      </c>
      <c r="N468" s="4">
        <v>256.27999999999997</v>
      </c>
      <c r="O468" s="4">
        <v>256.27999999999997</v>
      </c>
      <c r="P468" s="4">
        <v>5</v>
      </c>
      <c r="Q468" s="3" t="s">
        <v>26</v>
      </c>
      <c r="R468" s="3">
        <v>0</v>
      </c>
      <c r="S468" s="3" t="s">
        <v>281</v>
      </c>
      <c r="T468" s="3" t="s">
        <v>442</v>
      </c>
      <c r="U468" s="3">
        <v>0</v>
      </c>
      <c r="V468" s="3">
        <v>41</v>
      </c>
      <c r="W468" s="3">
        <v>75</v>
      </c>
    </row>
    <row r="469" spans="1:23" ht="11.25" customHeight="1" x14ac:dyDescent="0.25">
      <c r="A469" s="3" t="s">
        <v>21</v>
      </c>
      <c r="B469" s="3" t="s">
        <v>46</v>
      </c>
      <c r="C469" s="3" t="s">
        <v>23</v>
      </c>
      <c r="D469" s="3" t="s">
        <v>47</v>
      </c>
      <c r="E469" s="3" t="s">
        <v>48</v>
      </c>
      <c r="F469" s="3" t="s">
        <v>25</v>
      </c>
      <c r="G469" s="3" t="s">
        <v>25</v>
      </c>
      <c r="H469" s="3" t="s">
        <v>25</v>
      </c>
      <c r="I469" s="6">
        <v>44621</v>
      </c>
      <c r="J469" s="4">
        <v>0</v>
      </c>
      <c r="K469" s="4">
        <v>0</v>
      </c>
      <c r="L469" s="4">
        <v>283.738</v>
      </c>
      <c r="M469" s="4">
        <v>283.738</v>
      </c>
      <c r="N469" s="4">
        <v>283.738</v>
      </c>
      <c r="O469" s="4">
        <v>283.738</v>
      </c>
      <c r="P469" s="4">
        <v>5</v>
      </c>
      <c r="Q469" s="3" t="s">
        <v>26</v>
      </c>
      <c r="R469" s="3">
        <v>0</v>
      </c>
      <c r="S469" s="3" t="s">
        <v>282</v>
      </c>
      <c r="T469" s="3" t="s">
        <v>443</v>
      </c>
      <c r="U469" s="3">
        <v>0</v>
      </c>
      <c r="V469" s="3">
        <v>41</v>
      </c>
      <c r="W469" s="3">
        <v>75</v>
      </c>
    </row>
  </sheetData>
  <sortState xmlns:xlrd2="http://schemas.microsoft.com/office/spreadsheetml/2017/richdata2" ref="A2:W469">
    <sortCondition ref="B2:B469"/>
    <sortCondition ref="C2:C469"/>
    <sortCondition ref="D2:D469"/>
    <sortCondition ref="E2:E469"/>
    <sortCondition ref="F2:F469"/>
    <sortCondition ref="H2:H469"/>
  </sortState>
  <pageMargins left="0.511811024" right="0.511811024" top="0.78740157499999996" bottom="0.78740157499999996" header="0.31496062000000002" footer="0.31496062000000002"/>
  <pageSetup paperSize="9" orientation="portrait" horizontalDpi="30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41AC1-D594-45E4-A6F1-6D20CB73B573}">
  <dimension ref="A1:AP58"/>
  <sheetViews>
    <sheetView showGridLines="0" topLeftCell="AA29" workbookViewId="0">
      <selection activeCell="AO53" sqref="AO53:AP55"/>
    </sheetView>
  </sheetViews>
  <sheetFormatPr defaultRowHeight="11.25" customHeight="1" x14ac:dyDescent="0.25"/>
  <cols>
    <col min="1" max="1" width="9.28515625" style="9" bestFit="1" customWidth="1"/>
    <col min="2" max="2" width="21.5703125" style="9" bestFit="1" customWidth="1"/>
    <col min="3" max="3" width="13.5703125" style="9" bestFit="1" customWidth="1"/>
    <col min="4" max="4" width="25.140625" style="9" bestFit="1" customWidth="1"/>
    <col min="5" max="6" width="10.28515625" style="9" bestFit="1" customWidth="1"/>
    <col min="7" max="7" width="6.28515625" style="9" bestFit="1" customWidth="1"/>
    <col min="8" max="8" width="7.42578125" style="9" bestFit="1" customWidth="1"/>
    <col min="9" max="9" width="7.85546875" style="9" bestFit="1" customWidth="1"/>
    <col min="10" max="10" width="9.140625" style="9"/>
    <col min="11" max="11" width="14.28515625" style="9" bestFit="1" customWidth="1"/>
    <col min="12" max="12" width="13.42578125" style="9" bestFit="1" customWidth="1"/>
    <col min="13" max="13" width="8.7109375" style="9" bestFit="1" customWidth="1"/>
    <col min="14" max="15" width="4.140625" style="9" bestFit="1" customWidth="1"/>
    <col min="16" max="16" width="4.42578125" style="9" bestFit="1" customWidth="1"/>
    <col min="17" max="17" width="10" style="9" bestFit="1" customWidth="1"/>
    <col min="18" max="19" width="8.7109375" style="9" bestFit="1" customWidth="1"/>
    <col min="20" max="20" width="10" style="9" bestFit="1" customWidth="1"/>
    <col min="21" max="21" width="7.42578125" style="9" bestFit="1" customWidth="1"/>
    <col min="22" max="22" width="7.28515625" style="9" bestFit="1" customWidth="1"/>
    <col min="23" max="24" width="9.85546875" style="9" bestFit="1" customWidth="1"/>
    <col min="25" max="25" width="10" style="9" bestFit="1" customWidth="1"/>
    <col min="26" max="26" width="7.7109375" style="9" bestFit="1" customWidth="1"/>
    <col min="27" max="27" width="9.85546875" style="9" bestFit="1" customWidth="1"/>
    <col min="28" max="28" width="10" style="9" bestFit="1" customWidth="1"/>
    <col min="29" max="29" width="11.7109375" style="9" bestFit="1" customWidth="1"/>
    <col min="30" max="30" width="10.85546875" style="9" bestFit="1" customWidth="1"/>
    <col min="31" max="31" width="8" style="9" bestFit="1" customWidth="1"/>
    <col min="32" max="32" width="7.28515625" style="9" bestFit="1" customWidth="1"/>
    <col min="33" max="33" width="9.28515625" style="9" bestFit="1" customWidth="1"/>
    <col min="34" max="34" width="15.28515625" style="9" bestFit="1" customWidth="1"/>
    <col min="35" max="35" width="18" style="9" bestFit="1" customWidth="1"/>
    <col min="36" max="36" width="19.140625" style="9" bestFit="1" customWidth="1"/>
    <col min="37" max="37" width="4" style="9" bestFit="1" customWidth="1"/>
    <col min="38" max="38" width="10" style="9" bestFit="1" customWidth="1"/>
    <col min="39" max="39" width="10.85546875" style="9" bestFit="1" customWidth="1"/>
    <col min="40" max="40" width="9.140625" style="9"/>
    <col min="41" max="42" width="10.85546875" style="9" bestFit="1" customWidth="1"/>
    <col min="43" max="16384" width="9.140625" style="9"/>
  </cols>
  <sheetData>
    <row r="1" spans="1:42" ht="11.25" customHeight="1" x14ac:dyDescent="0.25">
      <c r="A1" s="130" t="s">
        <v>61</v>
      </c>
      <c r="B1" s="130" t="s">
        <v>62</v>
      </c>
      <c r="C1" s="130" t="s">
        <v>63</v>
      </c>
      <c r="D1" s="130" t="s">
        <v>64</v>
      </c>
      <c r="E1" s="130" t="s">
        <v>65</v>
      </c>
      <c r="F1" s="130" t="s">
        <v>15</v>
      </c>
      <c r="G1" s="130" t="s">
        <v>67</v>
      </c>
      <c r="H1" s="130" t="s">
        <v>68</v>
      </c>
      <c r="I1" s="130" t="s">
        <v>545</v>
      </c>
      <c r="J1" s="124"/>
      <c r="L1" s="131" t="s">
        <v>562</v>
      </c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1"/>
      <c r="Y1" s="131"/>
      <c r="Z1" s="131"/>
      <c r="AA1" s="131"/>
      <c r="AB1" s="131"/>
      <c r="AC1" s="131"/>
      <c r="AD1" s="131"/>
      <c r="AE1" s="131"/>
      <c r="AF1" s="131"/>
      <c r="AG1" s="131"/>
      <c r="AH1" s="131"/>
      <c r="AI1" s="131"/>
      <c r="AJ1" s="131"/>
      <c r="AK1" s="131"/>
      <c r="AL1" s="131"/>
      <c r="AM1" s="131"/>
      <c r="AO1" s="30"/>
      <c r="AP1" s="135" t="s">
        <v>547</v>
      </c>
    </row>
    <row r="2" spans="1:42" ht="11.25" customHeight="1" x14ac:dyDescent="0.25">
      <c r="A2" s="130"/>
      <c r="B2" s="130"/>
      <c r="C2" s="130"/>
      <c r="D2" s="130"/>
      <c r="E2" s="130"/>
      <c r="F2" s="130"/>
      <c r="G2" s="130"/>
      <c r="H2" s="130"/>
      <c r="I2" s="130"/>
      <c r="J2" s="124"/>
      <c r="L2" s="131" t="s">
        <v>445</v>
      </c>
      <c r="M2" s="131"/>
      <c r="N2" s="131"/>
      <c r="O2" s="131"/>
      <c r="P2" s="131"/>
      <c r="Q2" s="131"/>
      <c r="R2" s="131"/>
      <c r="S2" s="131"/>
      <c r="T2" s="131"/>
      <c r="U2" s="131"/>
      <c r="V2" s="131"/>
      <c r="W2" s="131"/>
      <c r="X2" s="131"/>
      <c r="Y2" s="131"/>
      <c r="Z2" s="131"/>
      <c r="AA2" s="131"/>
      <c r="AB2" s="131"/>
      <c r="AC2" s="131"/>
      <c r="AD2" s="131"/>
      <c r="AE2" s="131"/>
      <c r="AF2" s="131"/>
      <c r="AG2" s="131"/>
      <c r="AH2" s="131"/>
      <c r="AI2" s="131"/>
      <c r="AJ2" s="131"/>
      <c r="AK2" s="131"/>
      <c r="AL2" s="131"/>
      <c r="AM2" s="131"/>
      <c r="AO2" s="30"/>
      <c r="AP2" s="136"/>
    </row>
    <row r="3" spans="1:42" ht="11.25" customHeight="1" x14ac:dyDescent="0.25">
      <c r="A3" s="130"/>
      <c r="B3" s="130"/>
      <c r="C3" s="130"/>
      <c r="D3" s="130"/>
      <c r="E3" s="130"/>
      <c r="F3" s="130"/>
      <c r="G3" s="130"/>
      <c r="H3" s="130"/>
      <c r="I3" s="130"/>
      <c r="J3" s="124"/>
      <c r="L3" s="131" t="s">
        <v>446</v>
      </c>
      <c r="M3" s="131"/>
      <c r="N3" s="131"/>
      <c r="O3" s="131"/>
      <c r="P3" s="131"/>
      <c r="Q3" s="131"/>
      <c r="R3" s="131"/>
      <c r="S3" s="131"/>
      <c r="T3" s="131"/>
      <c r="U3" s="131" t="s">
        <v>455</v>
      </c>
      <c r="V3" s="131"/>
      <c r="W3" s="131"/>
      <c r="X3" s="131"/>
      <c r="Y3" s="131"/>
      <c r="Z3" s="131"/>
      <c r="AA3" s="131"/>
      <c r="AB3" s="131"/>
      <c r="AC3" s="131" t="s">
        <v>463</v>
      </c>
      <c r="AD3" s="131"/>
      <c r="AE3" s="131" t="s">
        <v>465</v>
      </c>
      <c r="AF3" s="131"/>
      <c r="AG3" s="131"/>
      <c r="AH3" s="131" t="s">
        <v>468</v>
      </c>
      <c r="AI3" s="131"/>
      <c r="AJ3" s="131"/>
      <c r="AK3" s="131"/>
      <c r="AL3" s="131"/>
      <c r="AM3" s="131" t="s">
        <v>454</v>
      </c>
      <c r="AO3" s="30"/>
      <c r="AP3" s="136"/>
    </row>
    <row r="4" spans="1:42" ht="11.25" customHeight="1" x14ac:dyDescent="0.25">
      <c r="A4" s="130"/>
      <c r="B4" s="130"/>
      <c r="C4" s="130"/>
      <c r="D4" s="130"/>
      <c r="E4" s="130"/>
      <c r="F4" s="130"/>
      <c r="G4" s="130"/>
      <c r="H4" s="130"/>
      <c r="I4" s="130"/>
      <c r="J4" s="124"/>
      <c r="L4" s="26" t="s">
        <v>530</v>
      </c>
      <c r="M4" s="26" t="s">
        <v>447</v>
      </c>
      <c r="N4" s="26" t="s">
        <v>448</v>
      </c>
      <c r="O4" s="26" t="s">
        <v>449</v>
      </c>
      <c r="P4" s="26" t="s">
        <v>450</v>
      </c>
      <c r="Q4" s="26" t="s">
        <v>451</v>
      </c>
      <c r="R4" s="26" t="s">
        <v>452</v>
      </c>
      <c r="S4" s="26" t="s">
        <v>453</v>
      </c>
      <c r="T4" s="26" t="s">
        <v>454</v>
      </c>
      <c r="U4" s="26" t="s">
        <v>456</v>
      </c>
      <c r="V4" s="26" t="s">
        <v>457</v>
      </c>
      <c r="W4" s="26" t="s">
        <v>458</v>
      </c>
      <c r="X4" s="26" t="s">
        <v>459</v>
      </c>
      <c r="Y4" s="26" t="s">
        <v>460</v>
      </c>
      <c r="Z4" s="26" t="s">
        <v>461</v>
      </c>
      <c r="AA4" s="26" t="s">
        <v>462</v>
      </c>
      <c r="AB4" s="26" t="s">
        <v>454</v>
      </c>
      <c r="AC4" s="26" t="s">
        <v>464</v>
      </c>
      <c r="AD4" s="26" t="s">
        <v>454</v>
      </c>
      <c r="AE4" s="26" t="s">
        <v>466</v>
      </c>
      <c r="AF4" s="26" t="s">
        <v>467</v>
      </c>
      <c r="AG4" s="26" t="s">
        <v>454</v>
      </c>
      <c r="AH4" s="26" t="s">
        <v>469</v>
      </c>
      <c r="AI4" s="26" t="s">
        <v>470</v>
      </c>
      <c r="AJ4" s="26" t="s">
        <v>471</v>
      </c>
      <c r="AK4" s="26" t="s">
        <v>472</v>
      </c>
      <c r="AL4" s="26" t="s">
        <v>454</v>
      </c>
      <c r="AM4" s="133"/>
      <c r="AO4" s="31" t="s">
        <v>564</v>
      </c>
      <c r="AP4" s="137"/>
    </row>
    <row r="5" spans="1:42" ht="11.25" customHeight="1" x14ac:dyDescent="0.25">
      <c r="A5" s="134" t="s">
        <v>33</v>
      </c>
      <c r="B5" s="134" t="s">
        <v>41</v>
      </c>
      <c r="C5" s="134" t="s">
        <v>25</v>
      </c>
      <c r="D5" s="134" t="s">
        <v>25</v>
      </c>
      <c r="E5" s="134" t="s">
        <v>25</v>
      </c>
      <c r="F5" s="134" t="s">
        <v>25</v>
      </c>
      <c r="G5" s="21" t="s">
        <v>77</v>
      </c>
      <c r="H5" s="21" t="s">
        <v>76</v>
      </c>
      <c r="I5" s="21">
        <f>'MERCADO TUSD'!$U$2</f>
        <v>384</v>
      </c>
      <c r="J5" s="17"/>
      <c r="L5" s="25">
        <f>'TUSD BE'!$L$5*'TUSD BE'!$L$58</f>
        <v>0</v>
      </c>
      <c r="M5" s="25">
        <f>'TUSD BE'!$M$5*'TUSD BE'!$M$58</f>
        <v>0</v>
      </c>
      <c r="N5" s="25">
        <f ca="1">'TUSD BE'!$N$5*'TUSD BE'!$N$58</f>
        <v>0</v>
      </c>
      <c r="O5" s="25">
        <f>'TUSD BE'!$O$5*'TUSD BE'!$O$58</f>
        <v>0</v>
      </c>
      <c r="P5" s="25">
        <f>'TUSD BE'!$P$5*'TUSD BE'!$P$58</f>
        <v>0</v>
      </c>
      <c r="Q5" s="25">
        <f>'TUSD BE'!$Q$5*'TUSD BE'!$Q$58</f>
        <v>0</v>
      </c>
      <c r="R5" s="25">
        <f>'TUSD BE'!$R$5*'TUSD BE'!$R$58</f>
        <v>0</v>
      </c>
      <c r="S5" s="25">
        <f>'TUSD BE'!$R$5*'TUSD BE'!$S$58</f>
        <v>0</v>
      </c>
      <c r="T5" s="25">
        <f ca="1">SUM($L$5:$S$5)</f>
        <v>0</v>
      </c>
      <c r="U5" s="25">
        <f>'TUSD BE'!$U$5*'TUSD BE'!$U$58</f>
        <v>0</v>
      </c>
      <c r="V5" s="25">
        <f>'TUSD BE'!$V$5*'TUSD BE'!$V$58</f>
        <v>0</v>
      </c>
      <c r="W5" s="25">
        <f>'TUSD BE'!$W$5*'TUSD BE'!$W$58</f>
        <v>0</v>
      </c>
      <c r="X5" s="25">
        <f>'TUSD BE'!$X$5*'TUSD BE'!$X$58</f>
        <v>0</v>
      </c>
      <c r="Y5" s="25">
        <f>'TUSD BE'!$Y$5*'TUSD BE'!$Y$58</f>
        <v>13.514651263501706</v>
      </c>
      <c r="Z5" s="25">
        <f>'TUSD BE'!$Z$5*'TUSD BE'!$Z$58</f>
        <v>0</v>
      </c>
      <c r="AA5" s="25">
        <f>'TUSD BE'!$AA$5*'TUSD BE'!$AA$58</f>
        <v>0</v>
      </c>
      <c r="AB5" s="25">
        <f>SUM($U$5:$AA$5)</f>
        <v>13.514651263501706</v>
      </c>
      <c r="AC5" s="25">
        <f>'TUSD BE'!$AC$5*'TUSD BE'!$AC$58</f>
        <v>-30.823432292264808</v>
      </c>
      <c r="AD5" s="25">
        <f>SUM($AC$5:$AC$5)</f>
        <v>-30.823432292264808</v>
      </c>
      <c r="AE5" s="25">
        <f ca="1">$AO$5*$AO$55</f>
        <v>0</v>
      </c>
      <c r="AF5" s="25">
        <f ca="1">$AP$5*$AP$55</f>
        <v>0</v>
      </c>
      <c r="AG5" s="25">
        <f ca="1">SUM($AE$5:$AF$5)</f>
        <v>0</v>
      </c>
      <c r="AH5" s="25">
        <f>'TUSD BE'!$AH$5*'TUSD BE'!$AH$58</f>
        <v>0</v>
      </c>
      <c r="AI5" s="25">
        <f>'TUSD BE'!$AI$5*'TUSD BE'!$AI$58</f>
        <v>0</v>
      </c>
      <c r="AJ5" s="25">
        <f ca="1">'TUSD BE'!$AJ$5*'TUSD BE'!$AJ$58</f>
        <v>0</v>
      </c>
      <c r="AK5" s="25">
        <f ca="1">'TUSD BE'!$AK$5*'TUSD BE'!$AK$58</f>
        <v>0</v>
      </c>
      <c r="AL5" s="25">
        <f ca="1">SUM($AH$5:$AK$5)</f>
        <v>0</v>
      </c>
      <c r="AM5" s="25">
        <f ca="1">SUMIF($L$4:$AL$4,"SUBTOTAL",$L$5:$AL$5)</f>
        <v>-17.3087810287631</v>
      </c>
      <c r="AO5" s="30">
        <f ca="1">+'TUSD BE'!$T$5+'TUSD BE'!$AB$5+'TUSD BE'!$AD$5+'TUSD BE'!$AL$5</f>
        <v>214.95461363275854</v>
      </c>
      <c r="AP5" s="30">
        <f ca="1">+'TUSD BE'!$T$5+'TUSD BE'!$AB$5+'TUSD BE'!$AD$5+'TUSD BE'!$AL$5</f>
        <v>214.95461363275854</v>
      </c>
    </row>
    <row r="6" spans="1:42" ht="11.25" customHeight="1" x14ac:dyDescent="0.25">
      <c r="A6" s="134"/>
      <c r="B6" s="134"/>
      <c r="C6" s="134"/>
      <c r="D6" s="134"/>
      <c r="E6" s="134"/>
      <c r="F6" s="134"/>
      <c r="G6" s="21" t="s">
        <v>78</v>
      </c>
      <c r="H6" s="21" t="s">
        <v>76</v>
      </c>
      <c r="I6" s="21">
        <f>'MERCADO TUSD'!$U$3</f>
        <v>1095</v>
      </c>
      <c r="J6" s="17"/>
      <c r="L6" s="25">
        <f>'TUSD BE'!$L$6*'TUSD BE'!$L$58</f>
        <v>0</v>
      </c>
      <c r="M6" s="25">
        <f>'TUSD BE'!$M$6*'TUSD BE'!$M$58</f>
        <v>0</v>
      </c>
      <c r="N6" s="25">
        <f ca="1">'TUSD BE'!$N$6*'TUSD BE'!$N$58</f>
        <v>0</v>
      </c>
      <c r="O6" s="25">
        <f>'TUSD BE'!$O$6*'TUSD BE'!$O$58</f>
        <v>0</v>
      </c>
      <c r="P6" s="25">
        <f>'TUSD BE'!$P$6*'TUSD BE'!$P$58</f>
        <v>0</v>
      </c>
      <c r="Q6" s="25">
        <f>'TUSD BE'!$Q$6*'TUSD BE'!$Q$58</f>
        <v>0</v>
      </c>
      <c r="R6" s="25">
        <f>'TUSD BE'!$R$6*'TUSD BE'!$R$58</f>
        <v>0</v>
      </c>
      <c r="S6" s="25">
        <f>'TUSD BE'!$R$6*'TUSD BE'!$S$58</f>
        <v>0</v>
      </c>
      <c r="T6" s="25">
        <f ca="1">SUM($L$6:$S$6)</f>
        <v>0</v>
      </c>
      <c r="U6" s="25">
        <f>'TUSD BE'!$U$6*'TUSD BE'!$U$58</f>
        <v>0</v>
      </c>
      <c r="V6" s="25">
        <f>'TUSD BE'!$V$6*'TUSD BE'!$V$58</f>
        <v>0</v>
      </c>
      <c r="W6" s="25">
        <f>'TUSD BE'!$W$6*'TUSD BE'!$W$58</f>
        <v>0</v>
      </c>
      <c r="X6" s="25">
        <f>'TUSD BE'!$X$6*'TUSD BE'!$X$58</f>
        <v>0</v>
      </c>
      <c r="Y6" s="25">
        <f>'TUSD BE'!$Y$6*'TUSD BE'!$Y$58</f>
        <v>7.3365658452145821</v>
      </c>
      <c r="Z6" s="25">
        <f>'TUSD BE'!$Z$6*'TUSD BE'!$Z$58</f>
        <v>0</v>
      </c>
      <c r="AA6" s="25">
        <f>'TUSD BE'!$AA$6*'TUSD BE'!$AA$58</f>
        <v>0</v>
      </c>
      <c r="AB6" s="25">
        <f>SUM($U$6:$AA$6)</f>
        <v>7.3365658452145821</v>
      </c>
      <c r="AC6" s="25">
        <f>'TUSD BE'!$AC$6*'TUSD BE'!$AC$58</f>
        <v>-9.8327939841257326</v>
      </c>
      <c r="AD6" s="25">
        <f>SUM($AC$6:$AC$6)</f>
        <v>-9.8327939841257326</v>
      </c>
      <c r="AE6" s="25">
        <f ca="1">$AO$6*$AO$55</f>
        <v>0</v>
      </c>
      <c r="AF6" s="25">
        <f ca="1">$AP$6*$AP$55</f>
        <v>0</v>
      </c>
      <c r="AG6" s="25">
        <f ca="1">SUM($AE$6:$AF$6)</f>
        <v>0</v>
      </c>
      <c r="AH6" s="25">
        <f>'TUSD BE'!$AH$6*'TUSD BE'!$AH$58</f>
        <v>0</v>
      </c>
      <c r="AI6" s="25">
        <f>'TUSD BE'!$AI$6*'TUSD BE'!$AI$58</f>
        <v>0</v>
      </c>
      <c r="AJ6" s="25">
        <f ca="1">'TUSD BE'!$AJ$6*'TUSD BE'!$AJ$58</f>
        <v>0</v>
      </c>
      <c r="AK6" s="25">
        <f ca="1">'TUSD BE'!$AK$6*'TUSD BE'!$AK$58</f>
        <v>0</v>
      </c>
      <c r="AL6" s="25">
        <f ca="1">SUM($AH$6:$AK$6)</f>
        <v>0</v>
      </c>
      <c r="AM6" s="25">
        <f ca="1">SUMIF($L$4:$AL$4,"SUBTOTAL",$L$6:$AL$6)</f>
        <v>-2.4962281389111505</v>
      </c>
      <c r="AO6" s="30">
        <f ca="1">+'TUSD BE'!$T$6+'TUSD BE'!$AB$6+'TUSD BE'!$AD$6+'TUSD BE'!$AL$6</f>
        <v>80.466284885771927</v>
      </c>
      <c r="AP6" s="30">
        <f ca="1">+'TUSD BE'!$T$6+'TUSD BE'!$AB$6+'TUSD BE'!$AD$6+'TUSD BE'!$AL$6</f>
        <v>80.466284885771927</v>
      </c>
    </row>
    <row r="7" spans="1:42" ht="11.25" customHeight="1" x14ac:dyDescent="0.25">
      <c r="A7" s="134"/>
      <c r="B7" s="134"/>
      <c r="C7" s="134"/>
      <c r="D7" s="134"/>
      <c r="E7" s="134"/>
      <c r="F7" s="134"/>
      <c r="G7" s="21" t="s">
        <v>75</v>
      </c>
      <c r="H7" s="21" t="s">
        <v>71</v>
      </c>
      <c r="I7" s="21">
        <f>'MERCADO TUSD'!$U$4</f>
        <v>680.02800000000002</v>
      </c>
      <c r="J7" s="17"/>
      <c r="L7" s="25">
        <f>'TUSD BE'!$L$7*'TUSD BE'!$L$58</f>
        <v>0</v>
      </c>
      <c r="M7" s="25">
        <f>'TUSD BE'!$M$7*'TUSD BE'!$M$58</f>
        <v>6.7705390821387448E-2</v>
      </c>
      <c r="N7" s="25">
        <f ca="1">'TUSD BE'!$N$7*'TUSD BE'!$N$58</f>
        <v>0</v>
      </c>
      <c r="O7" s="25">
        <f>'TUSD BE'!$O$7*'TUSD BE'!$O$58</f>
        <v>0</v>
      </c>
      <c r="P7" s="25">
        <f>'TUSD BE'!$P$7*'TUSD BE'!$P$58</f>
        <v>0</v>
      </c>
      <c r="Q7" s="25">
        <f>'TUSD BE'!$Q$7*'TUSD BE'!$Q$58</f>
        <v>3.8132211769379176</v>
      </c>
      <c r="R7" s="25">
        <f>'TUSD BE'!$R$7*'TUSD BE'!$R$58</f>
        <v>0.4904446518285977</v>
      </c>
      <c r="S7" s="25">
        <f>'TUSD BE'!$R$7*'TUSD BE'!$S$58</f>
        <v>0</v>
      </c>
      <c r="T7" s="25">
        <f ca="1">SUM($L$7:$S$7)</f>
        <v>4.3713712195879024</v>
      </c>
      <c r="U7" s="25">
        <f>'TUSD BE'!$U$7*'TUSD BE'!$U$58</f>
        <v>0</v>
      </c>
      <c r="V7" s="25">
        <f>'TUSD BE'!$V$7*'TUSD BE'!$V$58</f>
        <v>0</v>
      </c>
      <c r="W7" s="25">
        <f>'TUSD BE'!$W$7*'TUSD BE'!$W$58</f>
        <v>0</v>
      </c>
      <c r="X7" s="25">
        <f>'TUSD BE'!$X$7*'TUSD BE'!$X$58</f>
        <v>0</v>
      </c>
      <c r="Y7" s="25">
        <f>'TUSD BE'!$Y$7*'TUSD BE'!$Y$58</f>
        <v>0</v>
      </c>
      <c r="Z7" s="25">
        <f>'TUSD BE'!$Z$7*'TUSD BE'!$Z$58</f>
        <v>0</v>
      </c>
      <c r="AA7" s="25">
        <f>'TUSD BE'!$AA$7*'TUSD BE'!$AA$58</f>
        <v>0</v>
      </c>
      <c r="AB7" s="25">
        <f>SUM($U$7:$AA$7)</f>
        <v>0</v>
      </c>
      <c r="AC7" s="25">
        <f>'TUSD BE'!$AC$7*'TUSD BE'!$AC$58</f>
        <v>0</v>
      </c>
      <c r="AD7" s="25">
        <f>SUM($AC$7:$AC$7)</f>
        <v>0</v>
      </c>
      <c r="AE7" s="25">
        <f ca="1">$AO$7*$AO$55</f>
        <v>0</v>
      </c>
      <c r="AF7" s="25">
        <f ca="1">$AP$7*$AP$55</f>
        <v>0</v>
      </c>
      <c r="AG7" s="25">
        <f ca="1">SUM($AE$7:$AF$7)</f>
        <v>0</v>
      </c>
      <c r="AH7" s="25">
        <f>'TUSD BE'!$AH$7*'TUSD BE'!$AH$58</f>
        <v>4.2799446549396958</v>
      </c>
      <c r="AI7" s="25">
        <f>'TUSD BE'!$AI$7*'TUSD BE'!$AI$58</f>
        <v>0</v>
      </c>
      <c r="AJ7" s="25">
        <f ca="1">'TUSD BE'!$AJ$7*'TUSD BE'!$AJ$58</f>
        <v>0.6057281986957529</v>
      </c>
      <c r="AK7" s="25">
        <f ca="1">'TUSD BE'!$AK$7*'TUSD BE'!$AK$58</f>
        <v>0</v>
      </c>
      <c r="AL7" s="25">
        <f ca="1">SUM($AH$7:$AK$7)</f>
        <v>4.885672853635449</v>
      </c>
      <c r="AM7" s="25">
        <f ca="1">SUMIF($L$4:$AL$4,"SUBTOTAL",$L$7:$AL$7)</f>
        <v>9.2570440732233514</v>
      </c>
      <c r="AO7" s="30">
        <f ca="1">+'TUSD BE'!$T$7+'TUSD BE'!$AB$7+'TUSD BE'!$AD$7+'TUSD BE'!$AL$7</f>
        <v>127.60094644634867</v>
      </c>
      <c r="AP7" s="30">
        <f ca="1">+'TUSD BE'!$T$7+'TUSD BE'!$AB$7+'TUSD BE'!$AD$7+'TUSD BE'!$AL$7</f>
        <v>127.60094644634867</v>
      </c>
    </row>
    <row r="8" spans="1:42" ht="11.25" customHeight="1" x14ac:dyDescent="0.25">
      <c r="A8" s="134"/>
      <c r="B8" s="134"/>
      <c r="C8" s="134"/>
      <c r="D8" s="134"/>
      <c r="E8" s="28" t="s">
        <v>79</v>
      </c>
      <c r="F8" s="28" t="s">
        <v>25</v>
      </c>
      <c r="G8" s="21" t="s">
        <v>75</v>
      </c>
      <c r="H8" s="21" t="s">
        <v>71</v>
      </c>
      <c r="I8" s="21">
        <f>'MERCADO TUSD'!$U$5</f>
        <v>0</v>
      </c>
      <c r="J8" s="17"/>
      <c r="L8" s="25">
        <f>'TUSD BE'!$L$8*'TUSD BE'!$L$58</f>
        <v>0</v>
      </c>
      <c r="M8" s="25">
        <f>'TUSD BE'!$M$8*'TUSD BE'!$M$58</f>
        <v>6.7705390821387448E-2</v>
      </c>
      <c r="N8" s="25">
        <f ca="1">'TUSD BE'!$N$8*'TUSD BE'!$N$58</f>
        <v>0</v>
      </c>
      <c r="O8" s="25">
        <f>'TUSD BE'!$O$8*'TUSD BE'!$O$58</f>
        <v>0</v>
      </c>
      <c r="P8" s="25">
        <f>'TUSD BE'!$P$8*'TUSD BE'!$P$58</f>
        <v>0</v>
      </c>
      <c r="Q8" s="25">
        <f>'TUSD BE'!$Q$8*'TUSD BE'!$Q$58</f>
        <v>0</v>
      </c>
      <c r="R8" s="25">
        <f>'TUSD BE'!$R$8*'TUSD BE'!$R$58</f>
        <v>0</v>
      </c>
      <c r="S8" s="25">
        <f>'TUSD BE'!$R$8*'TUSD BE'!$S$58</f>
        <v>0</v>
      </c>
      <c r="T8" s="25">
        <f ca="1">SUM($L$8:$S$8)</f>
        <v>6.7705390821387448E-2</v>
      </c>
      <c r="U8" s="25">
        <f>'TUSD BE'!$U$8*'TUSD BE'!$U$58</f>
        <v>0</v>
      </c>
      <c r="V8" s="25">
        <f>'TUSD BE'!$V$8*'TUSD BE'!$V$58</f>
        <v>0</v>
      </c>
      <c r="W8" s="25">
        <f>'TUSD BE'!$W$8*'TUSD BE'!$W$58</f>
        <v>0</v>
      </c>
      <c r="X8" s="25">
        <f>'TUSD BE'!$X$8*'TUSD BE'!$X$58</f>
        <v>0</v>
      </c>
      <c r="Y8" s="25">
        <f>'TUSD BE'!$Y$8*'TUSD BE'!$Y$58</f>
        <v>0</v>
      </c>
      <c r="Z8" s="25">
        <f>'TUSD BE'!$Z$8*'TUSD BE'!$Z$58</f>
        <v>0</v>
      </c>
      <c r="AA8" s="25">
        <f>'TUSD BE'!$AA$8*'TUSD BE'!$AA$58</f>
        <v>0</v>
      </c>
      <c r="AB8" s="25">
        <f>SUM($U$8:$AA$8)</f>
        <v>0</v>
      </c>
      <c r="AC8" s="25">
        <f>'TUSD BE'!$AC$8*'TUSD BE'!$AC$58</f>
        <v>0</v>
      </c>
      <c r="AD8" s="25">
        <f>SUM($AC$8:$AC$8)</f>
        <v>0</v>
      </c>
      <c r="AE8" s="25">
        <f ca="1">$AO$8*$AO$55</f>
        <v>0</v>
      </c>
      <c r="AF8" s="25">
        <f ca="1">$AP$8*$AP$55</f>
        <v>0</v>
      </c>
      <c r="AG8" s="25">
        <f ca="1">SUM($AE$8:$AF$8)</f>
        <v>0</v>
      </c>
      <c r="AH8" s="25">
        <f>'TUSD BE'!$AH$8*'TUSD BE'!$AH$58</f>
        <v>4.2799446549396958</v>
      </c>
      <c r="AI8" s="25">
        <f>'TUSD BE'!$AI$8*'TUSD BE'!$AI$58</f>
        <v>0</v>
      </c>
      <c r="AJ8" s="25">
        <f ca="1">'TUSD BE'!$AJ$8*'TUSD BE'!$AJ$58</f>
        <v>0.6057281986957529</v>
      </c>
      <c r="AK8" s="25">
        <f ca="1">'TUSD BE'!$AK$8*'TUSD BE'!$AK$58</f>
        <v>0</v>
      </c>
      <c r="AL8" s="25">
        <f ca="1">SUM($AH$8:$AK$8)</f>
        <v>4.885672853635449</v>
      </c>
      <c r="AM8" s="25">
        <f ca="1">SUMIF($L$4:$AL$4,"SUBTOTAL",$L$8:$AL$8)</f>
        <v>4.9533782444568368</v>
      </c>
      <c r="AO8" s="30">
        <f ca="1">+'TUSD BE'!$T$8+'TUSD BE'!$AB$8+'TUSD BE'!$AD$8+'TUSD BE'!$AL$8</f>
        <v>18.831602074243435</v>
      </c>
      <c r="AP8" s="30">
        <f ca="1">+'TUSD BE'!$T$8+'TUSD BE'!$AB$8+'TUSD BE'!$AD$8+'TUSD BE'!$AL$8</f>
        <v>18.831602074243435</v>
      </c>
    </row>
    <row r="9" spans="1:42" ht="11.25" customHeight="1" x14ac:dyDescent="0.25">
      <c r="A9" s="134"/>
      <c r="B9" s="28" t="s">
        <v>80</v>
      </c>
      <c r="C9" s="28" t="s">
        <v>25</v>
      </c>
      <c r="D9" s="28" t="s">
        <v>25</v>
      </c>
      <c r="E9" s="28" t="s">
        <v>25</v>
      </c>
      <c r="F9" s="28" t="s">
        <v>25</v>
      </c>
      <c r="G9" s="21" t="s">
        <v>9</v>
      </c>
      <c r="H9" s="21" t="s">
        <v>76</v>
      </c>
      <c r="I9" s="21">
        <f>'MERCADO TUSD'!$U$6</f>
        <v>0</v>
      </c>
      <c r="J9" s="17"/>
      <c r="L9" s="25">
        <f>'TUSD BE'!$L$9*'TUSD BE'!$L$58</f>
        <v>0</v>
      </c>
      <c r="M9" s="25">
        <f>'TUSD BE'!$M$9*'TUSD BE'!$M$58</f>
        <v>1.1611252200966057E-3</v>
      </c>
      <c r="N9" s="25">
        <f ca="1">'TUSD BE'!$N$9*'TUSD BE'!$N$58</f>
        <v>0</v>
      </c>
      <c r="O9" s="25">
        <f>'TUSD BE'!$O$9*'TUSD BE'!$O$58</f>
        <v>0</v>
      </c>
      <c r="P9" s="25">
        <f>'TUSD BE'!$P$9*'TUSD BE'!$P$58</f>
        <v>0</v>
      </c>
      <c r="Q9" s="25">
        <f>'TUSD BE'!$Q$9*'TUSD BE'!$Q$58</f>
        <v>0</v>
      </c>
      <c r="R9" s="25">
        <f>'TUSD BE'!$R$9*'TUSD BE'!$R$58</f>
        <v>0</v>
      </c>
      <c r="S9" s="25">
        <f>'TUSD BE'!$R$9*'TUSD BE'!$S$58</f>
        <v>0</v>
      </c>
      <c r="T9" s="25">
        <f ca="1">SUM($L$9:$S$9)</f>
        <v>1.1611252200966057E-3</v>
      </c>
      <c r="U9" s="25">
        <f>'TUSD BE'!$U$9*'TUSD BE'!$U$58</f>
        <v>0</v>
      </c>
      <c r="V9" s="25">
        <f>'TUSD BE'!$V$9*'TUSD BE'!$V$58</f>
        <v>0</v>
      </c>
      <c r="W9" s="25">
        <f>'TUSD BE'!$W$9*'TUSD BE'!$W$58</f>
        <v>0</v>
      </c>
      <c r="X9" s="25">
        <f>'TUSD BE'!$X$9*'TUSD BE'!$X$58</f>
        <v>0</v>
      </c>
      <c r="Y9" s="25">
        <f>'TUSD BE'!$Y$9*'TUSD BE'!$Y$58</f>
        <v>0</v>
      </c>
      <c r="Z9" s="25">
        <f>'TUSD BE'!$Z$9*'TUSD BE'!$Z$58</f>
        <v>0</v>
      </c>
      <c r="AA9" s="25">
        <f>'TUSD BE'!$AA$9*'TUSD BE'!$AA$58</f>
        <v>0</v>
      </c>
      <c r="AB9" s="25">
        <f>SUM($U$9:$AA$9)</f>
        <v>0</v>
      </c>
      <c r="AC9" s="25">
        <f>'TUSD BE'!$AC$9*'TUSD BE'!$AC$58</f>
        <v>-4.2562514547649135</v>
      </c>
      <c r="AD9" s="25">
        <f>SUM($AC$9:$AC$9)</f>
        <v>-4.2562514547649135</v>
      </c>
      <c r="AE9" s="25">
        <f ca="1">$AO$9*$AO$55</f>
        <v>0</v>
      </c>
      <c r="AF9" s="25">
        <f ca="1">$AP$9*$AP$55</f>
        <v>0</v>
      </c>
      <c r="AG9" s="25">
        <f ca="1">SUM($AE$9:$AF$9)</f>
        <v>0</v>
      </c>
      <c r="AH9" s="25">
        <f>'TUSD BE'!$AH$9*'TUSD BE'!$AH$58</f>
        <v>0</v>
      </c>
      <c r="AI9" s="25">
        <f>'TUSD BE'!$AI$9*'TUSD BE'!$AI$58</f>
        <v>0</v>
      </c>
      <c r="AJ9" s="25">
        <f ca="1">'TUSD BE'!$AJ$9*'TUSD BE'!$AJ$58</f>
        <v>0</v>
      </c>
      <c r="AK9" s="25">
        <f ca="1">'TUSD BE'!$AK$9*'TUSD BE'!$AK$58</f>
        <v>0</v>
      </c>
      <c r="AL9" s="25">
        <f ca="1">SUM($AH$9:$AK$9)</f>
        <v>0</v>
      </c>
      <c r="AM9" s="25">
        <f ca="1">SUMIF($L$4:$AL$4,"SUBTOTAL",$L$9:$AL$9)</f>
        <v>-4.2550903295448173</v>
      </c>
      <c r="AO9" s="30">
        <f ca="1">+'TUSD BE'!$T$9+'TUSD BE'!$AB$9+'TUSD BE'!$AD$9+'TUSD BE'!$AL$9</f>
        <v>22.372261200908373</v>
      </c>
      <c r="AP9" s="30">
        <f ca="1">+'TUSD BE'!$T$9+'TUSD BE'!$AB$9+'TUSD BE'!$AD$9+'TUSD BE'!$AL$9</f>
        <v>22.372261200908373</v>
      </c>
    </row>
    <row r="10" spans="1:42" ht="11.25" customHeight="1" x14ac:dyDescent="0.25">
      <c r="A10" s="134"/>
      <c r="B10" s="134" t="s">
        <v>34</v>
      </c>
      <c r="C10" s="134" t="s">
        <v>25</v>
      </c>
      <c r="D10" s="134" t="s">
        <v>25</v>
      </c>
      <c r="E10" s="134" t="s">
        <v>25</v>
      </c>
      <c r="F10" s="134" t="s">
        <v>25</v>
      </c>
      <c r="G10" s="21" t="s">
        <v>9</v>
      </c>
      <c r="H10" s="21" t="s">
        <v>76</v>
      </c>
      <c r="I10" s="21">
        <f>'MERCADO TUSD'!$U$7</f>
        <v>17227</v>
      </c>
      <c r="J10" s="17"/>
      <c r="L10" s="25">
        <f>'TUSD BE'!$L$10*'TUSD BE'!$L$58</f>
        <v>0</v>
      </c>
      <c r="M10" s="25">
        <f>'TUSD BE'!$M$10*'TUSD BE'!$M$58</f>
        <v>0</v>
      </c>
      <c r="N10" s="25">
        <f ca="1">'TUSD BE'!$N$10*'TUSD BE'!$N$58</f>
        <v>0</v>
      </c>
      <c r="O10" s="25">
        <f>'TUSD BE'!$O$10*'TUSD BE'!$O$58</f>
        <v>0</v>
      </c>
      <c r="P10" s="25">
        <f>'TUSD BE'!$P$10*'TUSD BE'!$P$58</f>
        <v>0</v>
      </c>
      <c r="Q10" s="25">
        <f>'TUSD BE'!$Q$10*'TUSD BE'!$Q$58</f>
        <v>0</v>
      </c>
      <c r="R10" s="25">
        <f>'TUSD BE'!$R$10*'TUSD BE'!$R$58</f>
        <v>0</v>
      </c>
      <c r="S10" s="25">
        <f>'TUSD BE'!$R$10*'TUSD BE'!$S$58</f>
        <v>0</v>
      </c>
      <c r="T10" s="25">
        <f ca="1">SUM($L$10:$S$10)</f>
        <v>0</v>
      </c>
      <c r="U10" s="25">
        <f>'TUSD BE'!$U$10*'TUSD BE'!$U$58</f>
        <v>0</v>
      </c>
      <c r="V10" s="25">
        <f>'TUSD BE'!$V$10*'TUSD BE'!$V$58</f>
        <v>0</v>
      </c>
      <c r="W10" s="25">
        <f>'TUSD BE'!$W$10*'TUSD BE'!$W$58</f>
        <v>0</v>
      </c>
      <c r="X10" s="25">
        <f>'TUSD BE'!$X$10*'TUSD BE'!$X$58</f>
        <v>0</v>
      </c>
      <c r="Y10" s="25">
        <f>'TUSD BE'!$Y$10*'TUSD BE'!$Y$58</f>
        <v>7.3365658452145821</v>
      </c>
      <c r="Z10" s="25">
        <f>'TUSD BE'!$Z$10*'TUSD BE'!$Z$58</f>
        <v>0</v>
      </c>
      <c r="AA10" s="25">
        <f>'TUSD BE'!$AA$10*'TUSD BE'!$AA$58</f>
        <v>0</v>
      </c>
      <c r="AB10" s="25">
        <f>SUM($U$10:$AA$10)</f>
        <v>7.3365658452145821</v>
      </c>
      <c r="AC10" s="25">
        <f>'TUSD BE'!$AC$10*'TUSD BE'!$AC$58</f>
        <v>-9.8327939841257326</v>
      </c>
      <c r="AD10" s="25">
        <f>SUM($AC$10:$AC$10)</f>
        <v>-9.8327939841257326</v>
      </c>
      <c r="AE10" s="25">
        <f ca="1">$AO$10*$AO$55</f>
        <v>0</v>
      </c>
      <c r="AF10" s="25">
        <f ca="1">$AP$10*$AP$55</f>
        <v>0</v>
      </c>
      <c r="AG10" s="25">
        <f ca="1">SUM($AE$10:$AF$10)</f>
        <v>0</v>
      </c>
      <c r="AH10" s="25">
        <f>'TUSD BE'!$AH$10*'TUSD BE'!$AH$58</f>
        <v>0</v>
      </c>
      <c r="AI10" s="25">
        <f>'TUSD BE'!$AI$10*'TUSD BE'!$AI$58</f>
        <v>0</v>
      </c>
      <c r="AJ10" s="25">
        <f ca="1">'TUSD BE'!$AJ$10*'TUSD BE'!$AJ$58</f>
        <v>0</v>
      </c>
      <c r="AK10" s="25">
        <f ca="1">'TUSD BE'!$AK$10*'TUSD BE'!$AK$58</f>
        <v>0</v>
      </c>
      <c r="AL10" s="25">
        <f ca="1">SUM($AH$10:$AK$10)</f>
        <v>0</v>
      </c>
      <c r="AM10" s="25">
        <f ca="1">SUMIF($L$4:$AL$4,"SUBTOTAL",$L$10:$AL$10)</f>
        <v>-2.4962281389111505</v>
      </c>
      <c r="AO10" s="30">
        <f ca="1">+'TUSD BE'!$T$10+'TUSD BE'!$AB$10+'TUSD BE'!$AD$10+'TUSD BE'!$AL$10</f>
        <v>80.466284885771927</v>
      </c>
      <c r="AP10" s="30">
        <f ca="1">+'TUSD BE'!$T$10+'TUSD BE'!$AB$10+'TUSD BE'!$AD$10+'TUSD BE'!$AL$10</f>
        <v>80.466284885771927</v>
      </c>
    </row>
    <row r="11" spans="1:42" ht="11.25" customHeight="1" x14ac:dyDescent="0.25">
      <c r="A11" s="134"/>
      <c r="B11" s="134"/>
      <c r="C11" s="134"/>
      <c r="D11" s="134"/>
      <c r="E11" s="134"/>
      <c r="F11" s="134"/>
      <c r="G11" s="21" t="s">
        <v>72</v>
      </c>
      <c r="H11" s="21" t="s">
        <v>71</v>
      </c>
      <c r="I11" s="21">
        <f>'MERCADO TUSD'!$U$8</f>
        <v>96.685999999999993</v>
      </c>
      <c r="J11" s="17"/>
      <c r="L11" s="25">
        <f>'TUSD BE'!$L$11*'TUSD BE'!$L$58</f>
        <v>0</v>
      </c>
      <c r="M11" s="25">
        <f>'TUSD BE'!$M$11*'TUSD BE'!$M$58</f>
        <v>6.7705390821387448E-2</v>
      </c>
      <c r="N11" s="25">
        <f ca="1">'TUSD BE'!$N$11*'TUSD BE'!$N$58</f>
        <v>0</v>
      </c>
      <c r="O11" s="25">
        <f>'TUSD BE'!$O$11*'TUSD BE'!$O$58</f>
        <v>0</v>
      </c>
      <c r="P11" s="25">
        <f>'TUSD BE'!$P$11*'TUSD BE'!$P$58</f>
        <v>0</v>
      </c>
      <c r="Q11" s="25">
        <f>'TUSD BE'!$Q$11*'TUSD BE'!$Q$58</f>
        <v>3.8132211769379176</v>
      </c>
      <c r="R11" s="25">
        <f>'TUSD BE'!$R$11*'TUSD BE'!$R$58</f>
        <v>0.4904446518285977</v>
      </c>
      <c r="S11" s="25">
        <f>'TUSD BE'!$R$11*'TUSD BE'!$S$58</f>
        <v>0</v>
      </c>
      <c r="T11" s="25">
        <f ca="1">SUM($L$11:$S$11)</f>
        <v>4.3713712195879024</v>
      </c>
      <c r="U11" s="25">
        <f>'TUSD BE'!$U$11*'TUSD BE'!$U$58</f>
        <v>0</v>
      </c>
      <c r="V11" s="25">
        <f>'TUSD BE'!$V$11*'TUSD BE'!$V$58</f>
        <v>0</v>
      </c>
      <c r="W11" s="25">
        <f>'TUSD BE'!$W$11*'TUSD BE'!$W$58</f>
        <v>0</v>
      </c>
      <c r="X11" s="25">
        <f>'TUSD BE'!$X$11*'TUSD BE'!$X$58</f>
        <v>0</v>
      </c>
      <c r="Y11" s="25">
        <f>'TUSD BE'!$Y$11*'TUSD BE'!$Y$58</f>
        <v>325.03029556797082</v>
      </c>
      <c r="Z11" s="25">
        <f>'TUSD BE'!$Z$11*'TUSD BE'!$Z$58</f>
        <v>0</v>
      </c>
      <c r="AA11" s="25">
        <f>'TUSD BE'!$AA$11*'TUSD BE'!$AA$58</f>
        <v>0</v>
      </c>
      <c r="AB11" s="25">
        <f>SUM($U$11:$AA$11)</f>
        <v>325.03029556797082</v>
      </c>
      <c r="AC11" s="25">
        <f>'TUSD BE'!$AC$11*'TUSD BE'!$AC$58</f>
        <v>-741.30523768706189</v>
      </c>
      <c r="AD11" s="25">
        <f>SUM($AC$11:$AC$11)</f>
        <v>-741.30523768706189</v>
      </c>
      <c r="AE11" s="25">
        <f ca="1">$AO$11*$AO$55</f>
        <v>0</v>
      </c>
      <c r="AF11" s="25">
        <f ca="1">$AP$11*$AP$55</f>
        <v>0</v>
      </c>
      <c r="AG11" s="25">
        <f ca="1">SUM($AE$11:$AF$11)</f>
        <v>0</v>
      </c>
      <c r="AH11" s="25">
        <f>'TUSD BE'!$AH$11*'TUSD BE'!$AH$58</f>
        <v>4.2799446549396958</v>
      </c>
      <c r="AI11" s="25">
        <f>'TUSD BE'!$AI$11*'TUSD BE'!$AI$58</f>
        <v>0</v>
      </c>
      <c r="AJ11" s="25">
        <f ca="1">'TUSD BE'!$AJ$11*'TUSD BE'!$AJ$58</f>
        <v>0.6057281986957529</v>
      </c>
      <c r="AK11" s="25">
        <f ca="1">'TUSD BE'!$AK$11*'TUSD BE'!$AK$58</f>
        <v>0</v>
      </c>
      <c r="AL11" s="25">
        <f ca="1">SUM($AH$11:$AK$11)</f>
        <v>4.885672853635449</v>
      </c>
      <c r="AM11" s="25">
        <f ca="1">SUMIF($L$4:$AL$4,"SUBTOTAL",$L$11:$AL$11)</f>
        <v>-407.0178980458677</v>
      </c>
      <c r="AO11" s="30">
        <f ca="1">+'TUSD BE'!$T$11+'TUSD BE'!$AB$11+'TUSD BE'!$AD$11+'TUSD BE'!$AL$11</f>
        <v>5297.2798127204996</v>
      </c>
      <c r="AP11" s="30">
        <f ca="1">+'TUSD BE'!$T$11+'TUSD BE'!$AB$11+'TUSD BE'!$AD$11+'TUSD BE'!$AL$11</f>
        <v>5297.2798127204996</v>
      </c>
    </row>
    <row r="12" spans="1:42" ht="11.25" customHeight="1" x14ac:dyDescent="0.25">
      <c r="A12" s="134"/>
      <c r="B12" s="134"/>
      <c r="C12" s="134"/>
      <c r="D12" s="134"/>
      <c r="E12" s="134"/>
      <c r="F12" s="134"/>
      <c r="G12" s="21" t="s">
        <v>73</v>
      </c>
      <c r="H12" s="21" t="s">
        <v>71</v>
      </c>
      <c r="I12" s="21">
        <f>'MERCADO TUSD'!$U$9</f>
        <v>3244.7709999999997</v>
      </c>
      <c r="J12" s="17"/>
      <c r="L12" s="25">
        <f>'TUSD BE'!$L$12*'TUSD BE'!$L$58</f>
        <v>0</v>
      </c>
      <c r="M12" s="25">
        <f>'TUSD BE'!$M$12*'TUSD BE'!$M$58</f>
        <v>6.7705390821387448E-2</v>
      </c>
      <c r="N12" s="25">
        <f ca="1">'TUSD BE'!$N$12*'TUSD BE'!$N$58</f>
        <v>0</v>
      </c>
      <c r="O12" s="25">
        <f>'TUSD BE'!$O$12*'TUSD BE'!$O$58</f>
        <v>0</v>
      </c>
      <c r="P12" s="25">
        <f>'TUSD BE'!$P$12*'TUSD BE'!$P$58</f>
        <v>0</v>
      </c>
      <c r="Q12" s="25">
        <f>'TUSD BE'!$Q$12*'TUSD BE'!$Q$58</f>
        <v>3.8132211769379176</v>
      </c>
      <c r="R12" s="25">
        <f>'TUSD BE'!$R$12*'TUSD BE'!$R$58</f>
        <v>0.4904446518285977</v>
      </c>
      <c r="S12" s="25">
        <f>'TUSD BE'!$R$12*'TUSD BE'!$S$58</f>
        <v>0</v>
      </c>
      <c r="T12" s="25">
        <f ca="1">SUM($L$12:$S$12)</f>
        <v>4.3713712195879024</v>
      </c>
      <c r="U12" s="25">
        <f>'TUSD BE'!$U$12*'TUSD BE'!$U$58</f>
        <v>0</v>
      </c>
      <c r="V12" s="25">
        <f>'TUSD BE'!$V$12*'TUSD BE'!$V$58</f>
        <v>0</v>
      </c>
      <c r="W12" s="25">
        <f>'TUSD BE'!$W$12*'TUSD BE'!$W$58</f>
        <v>0</v>
      </c>
      <c r="X12" s="25">
        <f>'TUSD BE'!$X$12*'TUSD BE'!$X$58</f>
        <v>0</v>
      </c>
      <c r="Y12" s="25">
        <f>'TUSD BE'!$Y$12*'TUSD BE'!$Y$58</f>
        <v>0</v>
      </c>
      <c r="Z12" s="25">
        <f>'TUSD BE'!$Z$12*'TUSD BE'!$Z$58</f>
        <v>0</v>
      </c>
      <c r="AA12" s="25">
        <f>'TUSD BE'!$AA$12*'TUSD BE'!$AA$58</f>
        <v>0</v>
      </c>
      <c r="AB12" s="25">
        <f>SUM($U$12:$AA$12)</f>
        <v>0</v>
      </c>
      <c r="AC12" s="25">
        <f>'TUSD BE'!$AC$12*'TUSD BE'!$AC$58</f>
        <v>0</v>
      </c>
      <c r="AD12" s="25">
        <f>SUM($AC$12:$AC$12)</f>
        <v>0</v>
      </c>
      <c r="AE12" s="25">
        <f ca="1">$AO$12*$AO$55</f>
        <v>0</v>
      </c>
      <c r="AF12" s="25">
        <f ca="1">$AP$12*$AP$55</f>
        <v>0</v>
      </c>
      <c r="AG12" s="25">
        <f ca="1">SUM($AE$12:$AF$12)</f>
        <v>0</v>
      </c>
      <c r="AH12" s="25">
        <f>'TUSD BE'!$AH$12*'TUSD BE'!$AH$58</f>
        <v>4.2799446549396958</v>
      </c>
      <c r="AI12" s="25">
        <f>'TUSD BE'!$AI$12*'TUSD BE'!$AI$58</f>
        <v>0</v>
      </c>
      <c r="AJ12" s="25">
        <f ca="1">'TUSD BE'!$AJ$12*'TUSD BE'!$AJ$58</f>
        <v>0.6057281986957529</v>
      </c>
      <c r="AK12" s="25">
        <f ca="1">'TUSD BE'!$AK$12*'TUSD BE'!$AK$58</f>
        <v>0</v>
      </c>
      <c r="AL12" s="25">
        <f ca="1">SUM($AH$12:$AK$12)</f>
        <v>4.885672853635449</v>
      </c>
      <c r="AM12" s="25">
        <f ca="1">SUMIF($L$4:$AL$4,"SUBTOTAL",$L$12:$AL$12)</f>
        <v>9.2570440732233514</v>
      </c>
      <c r="AO12" s="30">
        <f ca="1">+'TUSD BE'!$T$12+'TUSD BE'!$AB$12+'TUSD BE'!$AD$12+'TUSD BE'!$AL$12</f>
        <v>127.60094644634867</v>
      </c>
      <c r="AP12" s="30">
        <f ca="1">+'TUSD BE'!$T$12+'TUSD BE'!$AB$12+'TUSD BE'!$AD$12+'TUSD BE'!$AL$12</f>
        <v>127.60094644634867</v>
      </c>
    </row>
    <row r="13" spans="1:42" ht="11.25" customHeight="1" x14ac:dyDescent="0.25">
      <c r="A13" s="134"/>
      <c r="B13" s="134"/>
      <c r="C13" s="134"/>
      <c r="D13" s="134"/>
      <c r="E13" s="134" t="s">
        <v>79</v>
      </c>
      <c r="F13" s="134" t="s">
        <v>25</v>
      </c>
      <c r="G13" s="21" t="s">
        <v>72</v>
      </c>
      <c r="H13" s="21" t="s">
        <v>71</v>
      </c>
      <c r="I13" s="21">
        <f>'MERCADO TUSD'!$U$10</f>
        <v>0</v>
      </c>
      <c r="J13" s="17"/>
      <c r="L13" s="25">
        <f>'TUSD BE'!$L$13*'TUSD BE'!$L$58</f>
        <v>0</v>
      </c>
      <c r="M13" s="25">
        <f>'TUSD BE'!$M$13*'TUSD BE'!$M$58</f>
        <v>6.7705390821387448E-2</v>
      </c>
      <c r="N13" s="25">
        <f ca="1">'TUSD BE'!$N$13*'TUSD BE'!$N$58</f>
        <v>0</v>
      </c>
      <c r="O13" s="25">
        <f>'TUSD BE'!$O$13*'TUSD BE'!$O$58</f>
        <v>0</v>
      </c>
      <c r="P13" s="25">
        <f>'TUSD BE'!$P$13*'TUSD BE'!$P$58</f>
        <v>0</v>
      </c>
      <c r="Q13" s="25">
        <f>'TUSD BE'!$Q$13*'TUSD BE'!$Q$58</f>
        <v>0</v>
      </c>
      <c r="R13" s="25">
        <f>'TUSD BE'!$R$13*'TUSD BE'!$R$58</f>
        <v>0</v>
      </c>
      <c r="S13" s="25">
        <f>'TUSD BE'!$R$13*'TUSD BE'!$S$58</f>
        <v>0</v>
      </c>
      <c r="T13" s="25">
        <f ca="1">SUM($L$13:$S$13)</f>
        <v>6.7705390821387448E-2</v>
      </c>
      <c r="U13" s="25">
        <f>'TUSD BE'!$U$13*'TUSD BE'!$U$58</f>
        <v>0</v>
      </c>
      <c r="V13" s="25">
        <f>'TUSD BE'!$V$13*'TUSD BE'!$V$58</f>
        <v>0</v>
      </c>
      <c r="W13" s="25">
        <f>'TUSD BE'!$W$13*'TUSD BE'!$W$58</f>
        <v>0</v>
      </c>
      <c r="X13" s="25">
        <f>'TUSD BE'!$X$13*'TUSD BE'!$X$58</f>
        <v>0</v>
      </c>
      <c r="Y13" s="25">
        <f>'TUSD BE'!$Y$13*'TUSD BE'!$Y$58</f>
        <v>325.03029556797082</v>
      </c>
      <c r="Z13" s="25">
        <f>'TUSD BE'!$Z$13*'TUSD BE'!$Z$58</f>
        <v>0</v>
      </c>
      <c r="AA13" s="25">
        <f>'TUSD BE'!$AA$13*'TUSD BE'!$AA$58</f>
        <v>0</v>
      </c>
      <c r="AB13" s="25">
        <f>SUM($U$13:$AA$13)</f>
        <v>325.03029556797082</v>
      </c>
      <c r="AC13" s="25">
        <f>'TUSD BE'!$AC$13*'TUSD BE'!$AC$58</f>
        <v>-741.30523768706189</v>
      </c>
      <c r="AD13" s="25">
        <f>SUM($AC$13:$AC$13)</f>
        <v>-741.30523768706189</v>
      </c>
      <c r="AE13" s="25">
        <f ca="1">$AO$13*$AO$55</f>
        <v>0</v>
      </c>
      <c r="AF13" s="25">
        <f ca="1">$AP$13*$AP$55</f>
        <v>0</v>
      </c>
      <c r="AG13" s="25">
        <f ca="1">SUM($AE$13:$AF$13)</f>
        <v>0</v>
      </c>
      <c r="AH13" s="25">
        <f>'TUSD BE'!$AH$13*'TUSD BE'!$AH$58</f>
        <v>4.2799446549396958</v>
      </c>
      <c r="AI13" s="25">
        <f>'TUSD BE'!$AI$13*'TUSD BE'!$AI$58</f>
        <v>0</v>
      </c>
      <c r="AJ13" s="25">
        <f ca="1">'TUSD BE'!$AJ$13*'TUSD BE'!$AJ$58</f>
        <v>0.6057281986957529</v>
      </c>
      <c r="AK13" s="25">
        <f ca="1">'TUSD BE'!$AK$13*'TUSD BE'!$AK$58</f>
        <v>0</v>
      </c>
      <c r="AL13" s="25">
        <f ca="1">SUM($AH$13:$AK$13)</f>
        <v>4.885672853635449</v>
      </c>
      <c r="AM13" s="25">
        <f ca="1">SUMIF($L$4:$AL$4,"SUBTOTAL",$L$13:$AL$13)</f>
        <v>-411.32156387463419</v>
      </c>
      <c r="AO13" s="30">
        <f ca="1">+'TUSD BE'!$T$13+'TUSD BE'!$AB$13+'TUSD BE'!$AD$13+'TUSD BE'!$AL$13</f>
        <v>5188.5104683483951</v>
      </c>
      <c r="AP13" s="30">
        <f ca="1">+'TUSD BE'!$T$13+'TUSD BE'!$AB$13+'TUSD BE'!$AD$13+'TUSD BE'!$AL$13</f>
        <v>5188.5104683483951</v>
      </c>
    </row>
    <row r="14" spans="1:42" ht="11.25" customHeight="1" x14ac:dyDescent="0.25">
      <c r="A14" s="134"/>
      <c r="B14" s="134"/>
      <c r="C14" s="134"/>
      <c r="D14" s="134"/>
      <c r="E14" s="134"/>
      <c r="F14" s="134"/>
      <c r="G14" s="21" t="s">
        <v>73</v>
      </c>
      <c r="H14" s="21" t="s">
        <v>71</v>
      </c>
      <c r="I14" s="21">
        <f>'MERCADO TUSD'!$U$11</f>
        <v>0</v>
      </c>
      <c r="J14" s="17"/>
      <c r="L14" s="25">
        <f>'TUSD BE'!$L$14*'TUSD BE'!$L$58</f>
        <v>0</v>
      </c>
      <c r="M14" s="25">
        <f>'TUSD BE'!$M$14*'TUSD BE'!$M$58</f>
        <v>6.7705390821387448E-2</v>
      </c>
      <c r="N14" s="25">
        <f ca="1">'TUSD BE'!$N$14*'TUSD BE'!$N$58</f>
        <v>0</v>
      </c>
      <c r="O14" s="25">
        <f>'TUSD BE'!$O$14*'TUSD BE'!$O$58</f>
        <v>0</v>
      </c>
      <c r="P14" s="25">
        <f>'TUSD BE'!$P$14*'TUSD BE'!$P$58</f>
        <v>0</v>
      </c>
      <c r="Q14" s="25">
        <f>'TUSD BE'!$Q$14*'TUSD BE'!$Q$58</f>
        <v>0</v>
      </c>
      <c r="R14" s="25">
        <f>'TUSD BE'!$R$14*'TUSD BE'!$R$58</f>
        <v>0</v>
      </c>
      <c r="S14" s="25">
        <f>'TUSD BE'!$R$14*'TUSD BE'!$S$58</f>
        <v>0</v>
      </c>
      <c r="T14" s="25">
        <f ca="1">SUM($L$14:$S$14)</f>
        <v>6.7705390821387448E-2</v>
      </c>
      <c r="U14" s="25">
        <f>'TUSD BE'!$U$14*'TUSD BE'!$U$58</f>
        <v>0</v>
      </c>
      <c r="V14" s="25">
        <f>'TUSD BE'!$V$14*'TUSD BE'!$V$58</f>
        <v>0</v>
      </c>
      <c r="W14" s="25">
        <f>'TUSD BE'!$W$14*'TUSD BE'!$W$58</f>
        <v>0</v>
      </c>
      <c r="X14" s="25">
        <f>'TUSD BE'!$X$14*'TUSD BE'!$X$58</f>
        <v>0</v>
      </c>
      <c r="Y14" s="25">
        <f>'TUSD BE'!$Y$14*'TUSD BE'!$Y$58</f>
        <v>0</v>
      </c>
      <c r="Z14" s="25">
        <f>'TUSD BE'!$Z$14*'TUSD BE'!$Z$58</f>
        <v>0</v>
      </c>
      <c r="AA14" s="25">
        <f>'TUSD BE'!$AA$14*'TUSD BE'!$AA$58</f>
        <v>0</v>
      </c>
      <c r="AB14" s="25">
        <f>SUM($U$14:$AA$14)</f>
        <v>0</v>
      </c>
      <c r="AC14" s="25">
        <f>'TUSD BE'!$AC$14*'TUSD BE'!$AC$58</f>
        <v>0</v>
      </c>
      <c r="AD14" s="25">
        <f>SUM($AC$14:$AC$14)</f>
        <v>0</v>
      </c>
      <c r="AE14" s="25">
        <f ca="1">$AO$14*$AO$55</f>
        <v>0</v>
      </c>
      <c r="AF14" s="25">
        <f ca="1">$AP$14*$AP$55</f>
        <v>0</v>
      </c>
      <c r="AG14" s="25">
        <f ca="1">SUM($AE$14:$AF$14)</f>
        <v>0</v>
      </c>
      <c r="AH14" s="25">
        <f>'TUSD BE'!$AH$14*'TUSD BE'!$AH$58</f>
        <v>4.2799446549396958</v>
      </c>
      <c r="AI14" s="25">
        <f>'TUSD BE'!$AI$14*'TUSD BE'!$AI$58</f>
        <v>0</v>
      </c>
      <c r="AJ14" s="25">
        <f ca="1">'TUSD BE'!$AJ$14*'TUSD BE'!$AJ$58</f>
        <v>0.6057281986957529</v>
      </c>
      <c r="AK14" s="25">
        <f ca="1">'TUSD BE'!$AK$14*'TUSD BE'!$AK$58</f>
        <v>0</v>
      </c>
      <c r="AL14" s="25">
        <f ca="1">SUM($AH$14:$AK$14)</f>
        <v>4.885672853635449</v>
      </c>
      <c r="AM14" s="25">
        <f ca="1">SUMIF($L$4:$AL$4,"SUBTOTAL",$L$14:$AL$14)</f>
        <v>4.9533782444568368</v>
      </c>
      <c r="AO14" s="30">
        <f ca="1">+'TUSD BE'!$T$14+'TUSD BE'!$AB$14+'TUSD BE'!$AD$14+'TUSD BE'!$AL$14</f>
        <v>18.831602074243435</v>
      </c>
      <c r="AP14" s="30">
        <f ca="1">+'TUSD BE'!$T$14+'TUSD BE'!$AB$14+'TUSD BE'!$AD$14+'TUSD BE'!$AL$14</f>
        <v>18.831602074243435</v>
      </c>
    </row>
    <row r="15" spans="1:42" ht="11.25" customHeight="1" x14ac:dyDescent="0.25">
      <c r="A15" s="134" t="s">
        <v>81</v>
      </c>
      <c r="B15" s="134" t="s">
        <v>80</v>
      </c>
      <c r="C15" s="134" t="s">
        <v>25</v>
      </c>
      <c r="D15" s="134" t="s">
        <v>25</v>
      </c>
      <c r="E15" s="28" t="s">
        <v>82</v>
      </c>
      <c r="F15" s="28" t="s">
        <v>25</v>
      </c>
      <c r="G15" s="21" t="s">
        <v>9</v>
      </c>
      <c r="H15" s="21" t="s">
        <v>76</v>
      </c>
      <c r="I15" s="21">
        <f>'MERCADO TUSD'!$U$12+0.00000001</f>
        <v>1E-8</v>
      </c>
      <c r="J15" s="17"/>
      <c r="L15" s="25">
        <f>'TUSD BE'!$L$15*'TUSD BE'!$L$58</f>
        <v>0</v>
      </c>
      <c r="M15" s="25">
        <f>'TUSD BE'!$M$15*'TUSD BE'!$M$58</f>
        <v>4.6270403507609099E-4</v>
      </c>
      <c r="N15" s="25">
        <f ca="1">'TUSD BE'!$N$15*'TUSD BE'!$N$58</f>
        <v>0</v>
      </c>
      <c r="O15" s="25">
        <f>'TUSD BE'!$O$15*'TUSD BE'!$O$58</f>
        <v>0</v>
      </c>
      <c r="P15" s="25">
        <f>'TUSD BE'!$P$15*'TUSD BE'!$P$58</f>
        <v>0</v>
      </c>
      <c r="Q15" s="25">
        <f>'TUSD BE'!$Q$15*'TUSD BE'!$Q$58</f>
        <v>0</v>
      </c>
      <c r="R15" s="25">
        <f>'TUSD BE'!$R$15*'TUSD BE'!$R$58</f>
        <v>0</v>
      </c>
      <c r="S15" s="25">
        <f>'TUSD BE'!$R$15*'TUSD BE'!$S$58</f>
        <v>0</v>
      </c>
      <c r="T15" s="25">
        <f ca="1">SUM($L$15:$S$15)</f>
        <v>4.6270403507609099E-4</v>
      </c>
      <c r="U15" s="25">
        <f>'TUSD BE'!$U$15*'TUSD BE'!$U$58</f>
        <v>0</v>
      </c>
      <c r="V15" s="25">
        <f>'TUSD BE'!$V$15*'TUSD BE'!$V$58</f>
        <v>0</v>
      </c>
      <c r="W15" s="25">
        <f>'TUSD BE'!$W$15*'TUSD BE'!$W$58</f>
        <v>0</v>
      </c>
      <c r="X15" s="25">
        <f>'TUSD BE'!$X$15*'TUSD BE'!$X$58</f>
        <v>0</v>
      </c>
      <c r="Y15" s="25">
        <f>'TUSD BE'!$Y$15*'TUSD BE'!$Y$58</f>
        <v>0</v>
      </c>
      <c r="Z15" s="25">
        <f>'TUSD BE'!$Z$15*'TUSD BE'!$Z$58</f>
        <v>0</v>
      </c>
      <c r="AA15" s="25">
        <f>'TUSD BE'!$AA$15*'TUSD BE'!$AA$58</f>
        <v>0</v>
      </c>
      <c r="AB15" s="25">
        <f>SUM($U$15:$AA$15)</f>
        <v>0</v>
      </c>
      <c r="AC15" s="25">
        <f>'TUSD BE'!$AC$15*'TUSD BE'!$AC$58</f>
        <v>-1.6791599297838382</v>
      </c>
      <c r="AD15" s="25">
        <f>SUM($AC$15:$AC$15)</f>
        <v>-1.6791599297838382</v>
      </c>
      <c r="AE15" s="25">
        <f ca="1">$AO$15*$AO$55</f>
        <v>0</v>
      </c>
      <c r="AF15" s="25">
        <f ca="1">$AP$15*$AP$55</f>
        <v>0</v>
      </c>
      <c r="AG15" s="25">
        <f ca="1">SUM($AE$15:$AF$15)</f>
        <v>0</v>
      </c>
      <c r="AH15" s="25">
        <f>'TUSD BE'!$AH$15*'TUSD BE'!$AH$58</f>
        <v>0</v>
      </c>
      <c r="AI15" s="25">
        <f>'TUSD BE'!$AI$15*'TUSD BE'!$AI$58</f>
        <v>0</v>
      </c>
      <c r="AJ15" s="25">
        <f ca="1">'TUSD BE'!$AJ$15*'TUSD BE'!$AJ$58</f>
        <v>0</v>
      </c>
      <c r="AK15" s="25">
        <f ca="1">'TUSD BE'!$AK$15*'TUSD BE'!$AK$58</f>
        <v>0</v>
      </c>
      <c r="AL15" s="25">
        <f ca="1">SUM($AH$15:$AK$15)</f>
        <v>0</v>
      </c>
      <c r="AM15" s="25">
        <f ca="1">SUMIF($L$4:$AL$4,"SUBTOTAL",$L$15:$AL$15)</f>
        <v>-1.678697225748762</v>
      </c>
      <c r="AO15" s="30">
        <f ca="1">+'TUSD BE'!$T$15+'TUSD BE'!$AB$15+'TUSD BE'!$AD$15+'TUSD BE'!$AL$15</f>
        <v>8.8263282209178016</v>
      </c>
      <c r="AP15" s="30">
        <f ca="1">+'TUSD BE'!$T$15+'TUSD BE'!$AB$15+'TUSD BE'!$AD$15+'TUSD BE'!$AL$15</f>
        <v>8.8263282209178016</v>
      </c>
    </row>
    <row r="16" spans="1:42" ht="11.25" customHeight="1" x14ac:dyDescent="0.25">
      <c r="A16" s="134"/>
      <c r="B16" s="134"/>
      <c r="C16" s="134"/>
      <c r="D16" s="134"/>
      <c r="E16" s="28" t="s">
        <v>83</v>
      </c>
      <c r="F16" s="28" t="s">
        <v>25</v>
      </c>
      <c r="G16" s="21" t="s">
        <v>9</v>
      </c>
      <c r="H16" s="21" t="s">
        <v>76</v>
      </c>
      <c r="I16" s="21">
        <f>'MERCADO TUSD'!$U$13+0.00000001</f>
        <v>1E-8</v>
      </c>
      <c r="J16" s="17"/>
      <c r="L16" s="25">
        <f>'TUSD BE'!$L$16*'TUSD BE'!$L$58</f>
        <v>0</v>
      </c>
      <c r="M16" s="25">
        <f>'TUSD BE'!$M$16*'TUSD BE'!$M$58</f>
        <v>4.6270403507609099E-4</v>
      </c>
      <c r="N16" s="25">
        <f ca="1">'TUSD BE'!$N$16*'TUSD BE'!$N$58</f>
        <v>0</v>
      </c>
      <c r="O16" s="25">
        <f>'TUSD BE'!$O$16*'TUSD BE'!$O$58</f>
        <v>0</v>
      </c>
      <c r="P16" s="25">
        <f>'TUSD BE'!$P$16*'TUSD BE'!$P$58</f>
        <v>0</v>
      </c>
      <c r="Q16" s="25">
        <f>'TUSD BE'!$Q$16*'TUSD BE'!$Q$58</f>
        <v>0</v>
      </c>
      <c r="R16" s="25">
        <f>'TUSD BE'!$R$16*'TUSD BE'!$R$58</f>
        <v>0</v>
      </c>
      <c r="S16" s="25">
        <f>'TUSD BE'!$R$16*'TUSD BE'!$S$58</f>
        <v>0</v>
      </c>
      <c r="T16" s="25">
        <f ca="1">SUM($L$16:$S$16)</f>
        <v>4.6270403507609099E-4</v>
      </c>
      <c r="U16" s="25">
        <f>'TUSD BE'!$U$16*'TUSD BE'!$U$58</f>
        <v>0</v>
      </c>
      <c r="V16" s="25">
        <f>'TUSD BE'!$V$16*'TUSD BE'!$V$58</f>
        <v>0</v>
      </c>
      <c r="W16" s="25">
        <f>'TUSD BE'!$W$16*'TUSD BE'!$W$58</f>
        <v>0</v>
      </c>
      <c r="X16" s="25">
        <f>'TUSD BE'!$X$16*'TUSD BE'!$X$58</f>
        <v>0</v>
      </c>
      <c r="Y16" s="25">
        <f>'TUSD BE'!$Y$16*'TUSD BE'!$Y$58</f>
        <v>0</v>
      </c>
      <c r="Z16" s="25">
        <f>'TUSD BE'!$Z$16*'TUSD BE'!$Z$58</f>
        <v>0</v>
      </c>
      <c r="AA16" s="25">
        <f>'TUSD BE'!$AA$16*'TUSD BE'!$AA$58</f>
        <v>0</v>
      </c>
      <c r="AB16" s="25">
        <f>SUM($U$16:$AA$16)</f>
        <v>0</v>
      </c>
      <c r="AC16" s="25">
        <f>'TUSD BE'!$AC$16*'TUSD BE'!$AC$58</f>
        <v>-5.4119428329420858</v>
      </c>
      <c r="AD16" s="25">
        <f>SUM($AC$16:$AC$16)</f>
        <v>-5.4119428329420858</v>
      </c>
      <c r="AE16" s="25">
        <f ca="1">$AO$16*$AO$55</f>
        <v>0</v>
      </c>
      <c r="AF16" s="25">
        <f ca="1">$AP$16*$AP$55</f>
        <v>0</v>
      </c>
      <c r="AG16" s="25">
        <f ca="1">SUM($AE$16:$AF$16)</f>
        <v>0</v>
      </c>
      <c r="AH16" s="25">
        <f>'TUSD BE'!$AH$16*'TUSD BE'!$AH$58</f>
        <v>0</v>
      </c>
      <c r="AI16" s="25">
        <f>'TUSD BE'!$AI$16*'TUSD BE'!$AI$58</f>
        <v>0</v>
      </c>
      <c r="AJ16" s="25">
        <f ca="1">'TUSD BE'!$AJ$16*'TUSD BE'!$AJ$58</f>
        <v>0</v>
      </c>
      <c r="AK16" s="25">
        <f ca="1">'TUSD BE'!$AK$16*'TUSD BE'!$AK$58</f>
        <v>0</v>
      </c>
      <c r="AL16" s="25">
        <f ca="1">SUM($AH$16:$AK$16)</f>
        <v>0</v>
      </c>
      <c r="AM16" s="25">
        <f ca="1">SUMIF($L$4:$AL$4,"SUBTOTAL",$L$16:$AL$16)</f>
        <v>-5.4114801289070096</v>
      </c>
      <c r="AO16" s="30">
        <f ca="1">+'TUSD BE'!$T$16+'TUSD BE'!$AB$16+'TUSD BE'!$AD$16+'TUSD BE'!$AL$16</f>
        <v>28.422848570507185</v>
      </c>
      <c r="AP16" s="30">
        <f ca="1">+'TUSD BE'!$T$16+'TUSD BE'!$AB$16+'TUSD BE'!$AD$16+'TUSD BE'!$AL$16</f>
        <v>28.422848570507185</v>
      </c>
    </row>
    <row r="17" spans="1:42" ht="11.25" customHeight="1" x14ac:dyDescent="0.25">
      <c r="A17" s="134" t="s">
        <v>22</v>
      </c>
      <c r="B17" s="134" t="s">
        <v>37</v>
      </c>
      <c r="C17" s="134" t="s">
        <v>24</v>
      </c>
      <c r="D17" s="134" t="s">
        <v>24</v>
      </c>
      <c r="E17" s="134" t="s">
        <v>25</v>
      </c>
      <c r="F17" s="134" t="s">
        <v>25</v>
      </c>
      <c r="G17" s="21" t="s">
        <v>72</v>
      </c>
      <c r="H17" s="21" t="s">
        <v>71</v>
      </c>
      <c r="I17" s="21">
        <f>'MERCADO TUSD'!$U$14</f>
        <v>2.3139999999999996</v>
      </c>
      <c r="J17" s="17"/>
      <c r="L17" s="25">
        <f>'TUSD BE'!$L$17*'TUSD BE'!$L$58</f>
        <v>0</v>
      </c>
      <c r="M17" s="25">
        <f>'TUSD BE'!$M$17*'TUSD BE'!$M$58</f>
        <v>0.13033403404199895</v>
      </c>
      <c r="N17" s="25">
        <f ca="1">'TUSD BE'!$N$17*'TUSD BE'!$N$58</f>
        <v>0</v>
      </c>
      <c r="O17" s="25">
        <f>'TUSD BE'!$O$17*'TUSD BE'!$O$58</f>
        <v>0</v>
      </c>
      <c r="P17" s="25">
        <f>'TUSD BE'!$P$17*'TUSD BE'!$P$58</f>
        <v>0</v>
      </c>
      <c r="Q17" s="25">
        <f>'TUSD BE'!$Q$17*'TUSD BE'!$Q$58</f>
        <v>4.5395490201641877</v>
      </c>
      <c r="R17" s="25">
        <f>'TUSD BE'!$R$17*'TUSD BE'!$R$58</f>
        <v>0.4904446518285977</v>
      </c>
      <c r="S17" s="25">
        <f>'TUSD BE'!$R$17*'TUSD BE'!$S$58</f>
        <v>0</v>
      </c>
      <c r="T17" s="25">
        <f ca="1">SUM($L$17:$S$17)</f>
        <v>5.1603277060347841</v>
      </c>
      <c r="U17" s="25">
        <f>'TUSD BE'!$U$17*'TUSD BE'!$U$58</f>
        <v>0</v>
      </c>
      <c r="V17" s="25">
        <f>'TUSD BE'!$V$17*'TUSD BE'!$V$58</f>
        <v>0</v>
      </c>
      <c r="W17" s="25">
        <f>'TUSD BE'!$W$17*'TUSD BE'!$W$58</f>
        <v>0</v>
      </c>
      <c r="X17" s="25">
        <f>'TUSD BE'!$X$17*'TUSD BE'!$X$58</f>
        <v>0</v>
      </c>
      <c r="Y17" s="25">
        <f>'TUSD BE'!$Y$17*'TUSD BE'!$Y$58</f>
        <v>136.03203916535554</v>
      </c>
      <c r="Z17" s="25">
        <f>'TUSD BE'!$Z$17*'TUSD BE'!$Z$58</f>
        <v>0</v>
      </c>
      <c r="AA17" s="25">
        <f>'TUSD BE'!$AA$17*'TUSD BE'!$AA$58</f>
        <v>0</v>
      </c>
      <c r="AB17" s="25">
        <f>SUM($U$17:$AA$17)</f>
        <v>136.03203916535554</v>
      </c>
      <c r="AC17" s="25">
        <f>'TUSD BE'!$AC$17*'TUSD BE'!$AC$58</f>
        <v>-340.7966591132523</v>
      </c>
      <c r="AD17" s="25">
        <f>SUM($AC$17:$AC$17)</f>
        <v>-340.7966591132523</v>
      </c>
      <c r="AE17" s="25">
        <f ca="1">$AO$17*$AO$55</f>
        <v>0</v>
      </c>
      <c r="AF17" s="25">
        <f ca="1">$AP$17*$AP$55</f>
        <v>0</v>
      </c>
      <c r="AG17" s="25">
        <f ca="1">SUM($AE$17:$AF$17)</f>
        <v>0</v>
      </c>
      <c r="AH17" s="25">
        <f>'TUSD BE'!$AH$17*'TUSD BE'!$AH$58</f>
        <v>10.043493695383258</v>
      </c>
      <c r="AI17" s="25">
        <f>'TUSD BE'!$AI$17*'TUSD BE'!$AI$58</f>
        <v>0</v>
      </c>
      <c r="AJ17" s="25">
        <f ca="1">'TUSD BE'!$AJ$17*'TUSD BE'!$AJ$58</f>
        <v>0.934443579275541</v>
      </c>
      <c r="AK17" s="25">
        <f ca="1">'TUSD BE'!$AK$17*'TUSD BE'!$AK$58</f>
        <v>0</v>
      </c>
      <c r="AL17" s="25">
        <f ca="1">SUM($AH$17:$AK$17)</f>
        <v>10.9779372746588</v>
      </c>
      <c r="AM17" s="25">
        <f ca="1">SUMIF($L$4:$AL$4,"SUBTOTAL",$L$17:$AL$17)</f>
        <v>-188.62635496720316</v>
      </c>
      <c r="AO17" s="30">
        <f ca="1">+'TUSD BE'!$T$17+'TUSD BE'!$AB$17+'TUSD BE'!$AD$17+'TUSD BE'!$AL$17</f>
        <v>2492.4658702061097</v>
      </c>
      <c r="AP17" s="30">
        <f ca="1">+'TUSD BE'!$T$17+'TUSD BE'!$AB$17+'TUSD BE'!$AD$17+'TUSD BE'!$AL$17</f>
        <v>2492.4658702061097</v>
      </c>
    </row>
    <row r="18" spans="1:42" ht="11.25" customHeight="1" x14ac:dyDescent="0.25">
      <c r="A18" s="134"/>
      <c r="B18" s="134"/>
      <c r="C18" s="134"/>
      <c r="D18" s="134"/>
      <c r="E18" s="134"/>
      <c r="F18" s="134"/>
      <c r="G18" s="21" t="s">
        <v>84</v>
      </c>
      <c r="H18" s="21" t="s">
        <v>71</v>
      </c>
      <c r="I18" s="21">
        <f>'MERCADO TUSD'!$U$15</f>
        <v>1.2229999999999999</v>
      </c>
      <c r="J18" s="17"/>
      <c r="L18" s="25">
        <f>'TUSD BE'!$L$18*'TUSD BE'!$L$58</f>
        <v>0</v>
      </c>
      <c r="M18" s="25">
        <f>'TUSD BE'!$M$18*'TUSD BE'!$M$58</f>
        <v>0.13033403404199895</v>
      </c>
      <c r="N18" s="25">
        <f ca="1">'TUSD BE'!$N$18*'TUSD BE'!$N$58</f>
        <v>0</v>
      </c>
      <c r="O18" s="25">
        <f>'TUSD BE'!$O$18*'TUSD BE'!$O$58</f>
        <v>0</v>
      </c>
      <c r="P18" s="25">
        <f>'TUSD BE'!$P$18*'TUSD BE'!$P$58</f>
        <v>0</v>
      </c>
      <c r="Q18" s="25">
        <f>'TUSD BE'!$Q$18*'TUSD BE'!$Q$58</f>
        <v>4.5395490201641877</v>
      </c>
      <c r="R18" s="25">
        <f>'TUSD BE'!$R$18*'TUSD BE'!$R$58</f>
        <v>0.4904446518285977</v>
      </c>
      <c r="S18" s="25">
        <f>'TUSD BE'!$R$18*'TUSD BE'!$S$58</f>
        <v>0</v>
      </c>
      <c r="T18" s="25">
        <f ca="1">SUM($L$18:$S$18)</f>
        <v>5.1603277060347841</v>
      </c>
      <c r="U18" s="25">
        <f>'TUSD BE'!$U$18*'TUSD BE'!$U$58</f>
        <v>0</v>
      </c>
      <c r="V18" s="25">
        <f>'TUSD BE'!$V$18*'TUSD BE'!$V$58</f>
        <v>0</v>
      </c>
      <c r="W18" s="25">
        <f>'TUSD BE'!$W$18*'TUSD BE'!$W$58</f>
        <v>0</v>
      </c>
      <c r="X18" s="25">
        <f>'TUSD BE'!$X$18*'TUSD BE'!$X$58</f>
        <v>0</v>
      </c>
      <c r="Y18" s="25">
        <f>'TUSD BE'!$Y$18*'TUSD BE'!$Y$58</f>
        <v>81.619223499213319</v>
      </c>
      <c r="Z18" s="25">
        <f>'TUSD BE'!$Z$18*'TUSD BE'!$Z$58</f>
        <v>0</v>
      </c>
      <c r="AA18" s="25">
        <f>'TUSD BE'!$AA$18*'TUSD BE'!$AA$58</f>
        <v>0</v>
      </c>
      <c r="AB18" s="25">
        <f>SUM($U$18:$AA$18)</f>
        <v>81.619223499213319</v>
      </c>
      <c r="AC18" s="25">
        <f>'TUSD BE'!$AC$18*'TUSD BE'!$AC$58</f>
        <v>-204.47803597233684</v>
      </c>
      <c r="AD18" s="25">
        <f>SUM($AC$18:$AC$18)</f>
        <v>-204.47803597233684</v>
      </c>
      <c r="AE18" s="25">
        <f ca="1">$AO$18*$AO$55</f>
        <v>0</v>
      </c>
      <c r="AF18" s="25">
        <f ca="1">$AP$18*$AP$55</f>
        <v>0</v>
      </c>
      <c r="AG18" s="25">
        <f ca="1">SUM($AE$18:$AF$18)</f>
        <v>0</v>
      </c>
      <c r="AH18" s="25">
        <f>'TUSD BE'!$AH$18*'TUSD BE'!$AH$58</f>
        <v>10.043493695383258</v>
      </c>
      <c r="AI18" s="25">
        <f>'TUSD BE'!$AI$18*'TUSD BE'!$AI$58</f>
        <v>0</v>
      </c>
      <c r="AJ18" s="25">
        <f ca="1">'TUSD BE'!$AJ$18*'TUSD BE'!$AJ$58</f>
        <v>0.934443579275541</v>
      </c>
      <c r="AK18" s="25">
        <f ca="1">'TUSD BE'!$AK$18*'TUSD BE'!$AK$58</f>
        <v>0</v>
      </c>
      <c r="AL18" s="25">
        <f ca="1">SUM($AH$18:$AK$18)</f>
        <v>10.9779372746588</v>
      </c>
      <c r="AM18" s="25">
        <f ca="1">SUMIF($L$4:$AL$4,"SUBTOTAL",$L$18:$AL$18)</f>
        <v>-106.72054749242994</v>
      </c>
      <c r="AO18" s="30">
        <f ca="1">+'TUSD BE'!$T$18+'TUSD BE'!$AB$18+'TUSD BE'!$AD$18+'TUSD BE'!$AL$18</f>
        <v>1562.8761069138422</v>
      </c>
      <c r="AP18" s="30">
        <f ca="1">+'TUSD BE'!$T$18+'TUSD BE'!$AB$18+'TUSD BE'!$AD$18+'TUSD BE'!$AL$18</f>
        <v>1562.8761069138422</v>
      </c>
    </row>
    <row r="19" spans="1:42" ht="11.25" customHeight="1" x14ac:dyDescent="0.25">
      <c r="A19" s="134"/>
      <c r="B19" s="134"/>
      <c r="C19" s="134"/>
      <c r="D19" s="134"/>
      <c r="E19" s="134"/>
      <c r="F19" s="134"/>
      <c r="G19" s="21" t="s">
        <v>73</v>
      </c>
      <c r="H19" s="21" t="s">
        <v>71</v>
      </c>
      <c r="I19" s="21">
        <f>'MERCADO TUSD'!$U$16</f>
        <v>15.786</v>
      </c>
      <c r="J19" s="17"/>
      <c r="L19" s="25">
        <f>'TUSD BE'!$L$19*'TUSD BE'!$L$58</f>
        <v>0</v>
      </c>
      <c r="M19" s="25">
        <f>'TUSD BE'!$M$19*'TUSD BE'!$M$58</f>
        <v>0.13033403404199895</v>
      </c>
      <c r="N19" s="25">
        <f ca="1">'TUSD BE'!$N$19*'TUSD BE'!$N$58</f>
        <v>0</v>
      </c>
      <c r="O19" s="25">
        <f>'TUSD BE'!$O$19*'TUSD BE'!$O$58</f>
        <v>0</v>
      </c>
      <c r="P19" s="25">
        <f>'TUSD BE'!$P$19*'TUSD BE'!$P$58</f>
        <v>0</v>
      </c>
      <c r="Q19" s="25">
        <f>'TUSD BE'!$Q$19*'TUSD BE'!$Q$58</f>
        <v>4.5395490201641877</v>
      </c>
      <c r="R19" s="25">
        <f>'TUSD BE'!$R$19*'TUSD BE'!$R$58</f>
        <v>0.4904446518285977</v>
      </c>
      <c r="S19" s="25">
        <f>'TUSD BE'!$R$19*'TUSD BE'!$S$58</f>
        <v>0</v>
      </c>
      <c r="T19" s="25">
        <f ca="1">SUM($L$19:$S$19)</f>
        <v>5.1603277060347841</v>
      </c>
      <c r="U19" s="25">
        <f>'TUSD BE'!$U$19*'TUSD BE'!$U$58</f>
        <v>0</v>
      </c>
      <c r="V19" s="25">
        <f>'TUSD BE'!$V$19*'TUSD BE'!$V$58</f>
        <v>0</v>
      </c>
      <c r="W19" s="25">
        <f>'TUSD BE'!$W$19*'TUSD BE'!$W$58</f>
        <v>0</v>
      </c>
      <c r="X19" s="25">
        <f>'TUSD BE'!$X$19*'TUSD BE'!$X$58</f>
        <v>0</v>
      </c>
      <c r="Y19" s="25">
        <f>'TUSD BE'!$Y$19*'TUSD BE'!$Y$58</f>
        <v>27.206693948266697</v>
      </c>
      <c r="Z19" s="25">
        <f>'TUSD BE'!$Z$19*'TUSD BE'!$Z$58</f>
        <v>0</v>
      </c>
      <c r="AA19" s="25">
        <f>'TUSD BE'!$AA$19*'TUSD BE'!$AA$58</f>
        <v>0</v>
      </c>
      <c r="AB19" s="25">
        <f>SUM($U$19:$AA$19)</f>
        <v>27.206693948266697</v>
      </c>
      <c r="AC19" s="25">
        <f>'TUSD BE'!$AC$19*'TUSD BE'!$AC$58</f>
        <v>-68.159311570457731</v>
      </c>
      <c r="AD19" s="25">
        <f>SUM($AC$19:$AC$19)</f>
        <v>-68.159311570457731</v>
      </c>
      <c r="AE19" s="25">
        <f ca="1">$AO$19*$AO$55</f>
        <v>0</v>
      </c>
      <c r="AF19" s="25">
        <f ca="1">$AP$19*$AP$55</f>
        <v>0</v>
      </c>
      <c r="AG19" s="25">
        <f ca="1">SUM($AE$19:$AF$19)</f>
        <v>0</v>
      </c>
      <c r="AH19" s="25">
        <f>'TUSD BE'!$AH$19*'TUSD BE'!$AH$58</f>
        <v>10.043493695383258</v>
      </c>
      <c r="AI19" s="25">
        <f>'TUSD BE'!$AI$19*'TUSD BE'!$AI$58</f>
        <v>0</v>
      </c>
      <c r="AJ19" s="25">
        <f ca="1">'TUSD BE'!$AJ$19*'TUSD BE'!$AJ$58</f>
        <v>0.934443579275541</v>
      </c>
      <c r="AK19" s="25">
        <f ca="1">'TUSD BE'!$AK$19*'TUSD BE'!$AK$58</f>
        <v>0</v>
      </c>
      <c r="AL19" s="25">
        <f ca="1">SUM($AH$19:$AK$19)</f>
        <v>10.9779372746588</v>
      </c>
      <c r="AM19" s="25">
        <f ca="1">SUMIF($L$4:$AL$4,"SUBTOTAL",$L$19:$AL$19)</f>
        <v>-24.81435264149745</v>
      </c>
      <c r="AO19" s="30">
        <f ca="1">+'TUSD BE'!$T$19+'TUSD BE'!$AB$19+'TUSD BE'!$AD$19+'TUSD BE'!$AL$19</f>
        <v>633.28693695591448</v>
      </c>
      <c r="AP19" s="30">
        <f ca="1">+'TUSD BE'!$T$19+'TUSD BE'!$AB$19+'TUSD BE'!$AD$19+'TUSD BE'!$AL$19</f>
        <v>633.28693695591448</v>
      </c>
    </row>
    <row r="20" spans="1:42" ht="11.25" customHeight="1" x14ac:dyDescent="0.25">
      <c r="A20" s="134"/>
      <c r="B20" s="134" t="s">
        <v>23</v>
      </c>
      <c r="C20" s="134" t="s">
        <v>24</v>
      </c>
      <c r="D20" s="28" t="s">
        <v>24</v>
      </c>
      <c r="E20" s="28" t="s">
        <v>25</v>
      </c>
      <c r="F20" s="28" t="s">
        <v>25</v>
      </c>
      <c r="G20" s="21" t="s">
        <v>75</v>
      </c>
      <c r="H20" s="21" t="s">
        <v>71</v>
      </c>
      <c r="I20" s="21">
        <f>'MERCADO TUSD'!$U$17</f>
        <v>26510.091</v>
      </c>
      <c r="J20" s="17"/>
      <c r="L20" s="25">
        <f>'TUSD BE'!$L$20*'TUSD BE'!$L$58</f>
        <v>0</v>
      </c>
      <c r="M20" s="25">
        <f>'TUSD BE'!$M$20*'TUSD BE'!$M$58</f>
        <v>0.13033403404199895</v>
      </c>
      <c r="N20" s="25">
        <f ca="1">'TUSD BE'!$N$20*'TUSD BE'!$N$58</f>
        <v>0</v>
      </c>
      <c r="O20" s="25">
        <f>'TUSD BE'!$O$20*'TUSD BE'!$O$58</f>
        <v>0</v>
      </c>
      <c r="P20" s="25">
        <f>'TUSD BE'!$P$20*'TUSD BE'!$P$58</f>
        <v>0</v>
      </c>
      <c r="Q20" s="25">
        <f>'TUSD BE'!$Q$20*'TUSD BE'!$Q$58</f>
        <v>4.5395490201641877</v>
      </c>
      <c r="R20" s="25">
        <f>'TUSD BE'!$R$20*'TUSD BE'!$R$58</f>
        <v>0.4904446518285977</v>
      </c>
      <c r="S20" s="25">
        <f>'TUSD BE'!$R$20*'TUSD BE'!$S$58</f>
        <v>0</v>
      </c>
      <c r="T20" s="25">
        <f ca="1">SUM($L$20:$S$20)</f>
        <v>5.1603277060347841</v>
      </c>
      <c r="U20" s="25">
        <f>'TUSD BE'!$U$20*'TUSD BE'!$U$58</f>
        <v>0</v>
      </c>
      <c r="V20" s="25">
        <f>'TUSD BE'!$V$20*'TUSD BE'!$V$58</f>
        <v>0</v>
      </c>
      <c r="W20" s="25">
        <f>'TUSD BE'!$W$20*'TUSD BE'!$W$58</f>
        <v>0</v>
      </c>
      <c r="X20" s="25">
        <f>'TUSD BE'!$X$20*'TUSD BE'!$X$58</f>
        <v>0</v>
      </c>
      <c r="Y20" s="25">
        <f>'TUSD BE'!$Y$20*'TUSD BE'!$Y$58</f>
        <v>50.382310905923134</v>
      </c>
      <c r="Z20" s="25">
        <f>'TUSD BE'!$Z$20*'TUSD BE'!$Z$58</f>
        <v>0</v>
      </c>
      <c r="AA20" s="25">
        <f>'TUSD BE'!$AA$20*'TUSD BE'!$AA$58</f>
        <v>0</v>
      </c>
      <c r="AB20" s="25">
        <f>SUM($U$20:$AA$20)</f>
        <v>50.382310905923134</v>
      </c>
      <c r="AC20" s="25">
        <f>'TUSD BE'!$AC$20*'TUSD BE'!$AC$58</f>
        <v>-126.2210317368359</v>
      </c>
      <c r="AD20" s="25">
        <f>SUM($AC$20:$AC$20)</f>
        <v>-126.2210317368359</v>
      </c>
      <c r="AE20" s="25">
        <f ca="1">$AO$20*$AO$55</f>
        <v>0</v>
      </c>
      <c r="AF20" s="25">
        <f ca="1">$AP$20*$AP$55</f>
        <v>0</v>
      </c>
      <c r="AG20" s="25">
        <f ca="1">SUM($AE$20:$AF$20)</f>
        <v>0</v>
      </c>
      <c r="AH20" s="25">
        <f>'TUSD BE'!$AH$20*'TUSD BE'!$AH$58</f>
        <v>10.043493695383258</v>
      </c>
      <c r="AI20" s="25">
        <f>'TUSD BE'!$AI$20*'TUSD BE'!$AI$58</f>
        <v>0</v>
      </c>
      <c r="AJ20" s="25">
        <f ca="1">'TUSD BE'!$AJ$20*'TUSD BE'!$AJ$58</f>
        <v>0.934443579275541</v>
      </c>
      <c r="AK20" s="25">
        <f ca="1">'TUSD BE'!$AK$20*'TUSD BE'!$AK$58</f>
        <v>0</v>
      </c>
      <c r="AL20" s="25">
        <f ca="1">SUM($AH$20:$AK$20)</f>
        <v>10.9779372746588</v>
      </c>
      <c r="AM20" s="25">
        <f ca="1">SUMIF($L$4:$AL$4,"SUBTOTAL",$L$20:$AL$20)</f>
        <v>-59.700455850219171</v>
      </c>
      <c r="AO20" s="30">
        <f ca="1">+'TUSD BE'!$T$20+'TUSD BE'!$AB$20+'TUSD BE'!$AD$20+'TUSD BE'!$AL$20</f>
        <v>1029.2229273331159</v>
      </c>
      <c r="AP20" s="30">
        <f ca="1">+'TUSD BE'!$T$20+'TUSD BE'!$AB$20+'TUSD BE'!$AD$20+'TUSD BE'!$AL$20</f>
        <v>1029.2229273331159</v>
      </c>
    </row>
    <row r="21" spans="1:42" ht="11.25" customHeight="1" x14ac:dyDescent="0.25">
      <c r="A21" s="134"/>
      <c r="B21" s="134"/>
      <c r="C21" s="134"/>
      <c r="D21" s="28" t="s">
        <v>29</v>
      </c>
      <c r="E21" s="28" t="s">
        <v>25</v>
      </c>
      <c r="F21" s="28" t="s">
        <v>25</v>
      </c>
      <c r="G21" s="21" t="s">
        <v>75</v>
      </c>
      <c r="H21" s="21" t="s">
        <v>71</v>
      </c>
      <c r="I21" s="21">
        <f>'MERCADO TUSD'!$U$18</f>
        <v>224.727</v>
      </c>
      <c r="J21" s="17"/>
      <c r="L21" s="25">
        <f>'TUSD BE'!$L$21*'TUSD BE'!$L$58</f>
        <v>0</v>
      </c>
      <c r="M21" s="25">
        <f>'TUSD BE'!$M$21*'TUSD BE'!$M$58</f>
        <v>0.13033403404199895</v>
      </c>
      <c r="N21" s="25">
        <f ca="1">'TUSD BE'!$N$21*'TUSD BE'!$N$58</f>
        <v>0</v>
      </c>
      <c r="O21" s="25">
        <f>'TUSD BE'!$O$21*'TUSD BE'!$O$58</f>
        <v>0</v>
      </c>
      <c r="P21" s="25">
        <f>'TUSD BE'!$P$21*'TUSD BE'!$P$58</f>
        <v>0</v>
      </c>
      <c r="Q21" s="25">
        <f>'TUSD BE'!$Q$21*'TUSD BE'!$Q$58</f>
        <v>0</v>
      </c>
      <c r="R21" s="25">
        <f>'TUSD BE'!$R$21*'TUSD BE'!$R$58</f>
        <v>0</v>
      </c>
      <c r="S21" s="25">
        <f>'TUSD BE'!$R$21*'TUSD BE'!$S$58</f>
        <v>0</v>
      </c>
      <c r="T21" s="25">
        <f ca="1">SUM($L$21:$S$21)</f>
        <v>0.13033403404199895</v>
      </c>
      <c r="U21" s="25">
        <f>'TUSD BE'!$U$21*'TUSD BE'!$U$58</f>
        <v>0</v>
      </c>
      <c r="V21" s="25">
        <f>'TUSD BE'!$V$21*'TUSD BE'!$V$58</f>
        <v>0</v>
      </c>
      <c r="W21" s="25">
        <f>'TUSD BE'!$W$21*'TUSD BE'!$W$58</f>
        <v>0</v>
      </c>
      <c r="X21" s="25">
        <f>'TUSD BE'!$X$21*'TUSD BE'!$X$58</f>
        <v>0</v>
      </c>
      <c r="Y21" s="25">
        <f>'TUSD BE'!$Y$21*'TUSD BE'!$Y$58</f>
        <v>50.382310905923134</v>
      </c>
      <c r="Z21" s="25">
        <f>'TUSD BE'!$Z$21*'TUSD BE'!$Z$58</f>
        <v>0</v>
      </c>
      <c r="AA21" s="25">
        <f>'TUSD BE'!$AA$21*'TUSD BE'!$AA$58</f>
        <v>0</v>
      </c>
      <c r="AB21" s="25">
        <f>SUM($U$21:$AA$21)</f>
        <v>50.382310905923134</v>
      </c>
      <c r="AC21" s="25">
        <f>'TUSD BE'!$AC$21*'TUSD BE'!$AC$58</f>
        <v>-126.2210317368359</v>
      </c>
      <c r="AD21" s="25">
        <f>SUM($AC$21:$AC$21)</f>
        <v>-126.2210317368359</v>
      </c>
      <c r="AE21" s="25">
        <f ca="1">$AO$21*$AO$55</f>
        <v>0</v>
      </c>
      <c r="AF21" s="25">
        <f ca="1">$AP$21*$AP$55</f>
        <v>0</v>
      </c>
      <c r="AG21" s="25">
        <f ca="1">SUM($AE$21:$AF$21)</f>
        <v>0</v>
      </c>
      <c r="AH21" s="25">
        <f>'TUSD BE'!$AH$21*'TUSD BE'!$AH$58</f>
        <v>10.043493695383258</v>
      </c>
      <c r="AI21" s="25">
        <f>'TUSD BE'!$AI$21*'TUSD BE'!$AI$58</f>
        <v>0</v>
      </c>
      <c r="AJ21" s="25">
        <f ca="1">'TUSD BE'!$AJ$21*'TUSD BE'!$AJ$58</f>
        <v>0.934443579275541</v>
      </c>
      <c r="AK21" s="25">
        <f ca="1">'TUSD BE'!$AK$21*'TUSD BE'!$AK$58</f>
        <v>0</v>
      </c>
      <c r="AL21" s="25">
        <f ca="1">SUM($AH$21:$AK$21)</f>
        <v>10.9779372746588</v>
      </c>
      <c r="AM21" s="25">
        <f ca="1">SUMIF($L$4:$AL$4,"SUBTOTAL",$L$21:$AL$21)</f>
        <v>-64.73044952221197</v>
      </c>
      <c r="AO21" s="30">
        <f ca="1">+'TUSD BE'!$T$21+'TUSD BE'!$AB$21+'TUSD BE'!$AD$21+'TUSD BE'!$AL$21</f>
        <v>902.5275655715925</v>
      </c>
      <c r="AP21" s="30">
        <f ca="1">+'TUSD BE'!$T$21+'TUSD BE'!$AB$21+'TUSD BE'!$AD$21+'TUSD BE'!$AL$21</f>
        <v>902.5275655715925</v>
      </c>
    </row>
    <row r="22" spans="1:42" ht="11.25" customHeight="1" x14ac:dyDescent="0.25">
      <c r="A22" s="134"/>
      <c r="B22" s="134"/>
      <c r="C22" s="134"/>
      <c r="D22" s="28" t="s">
        <v>30</v>
      </c>
      <c r="E22" s="28" t="s">
        <v>25</v>
      </c>
      <c r="F22" s="28" t="s">
        <v>25</v>
      </c>
      <c r="G22" s="21" t="s">
        <v>75</v>
      </c>
      <c r="H22" s="21" t="s">
        <v>71</v>
      </c>
      <c r="I22" s="21">
        <f>'MERCADO TUSD'!$U$19</f>
        <v>457.44400000000002</v>
      </c>
      <c r="J22" s="17"/>
      <c r="L22" s="25">
        <f>'TUSD BE'!$L$22*'TUSD BE'!$L$58</f>
        <v>0</v>
      </c>
      <c r="M22" s="25">
        <f>'TUSD BE'!$M$22*'TUSD BE'!$M$58</f>
        <v>0.13033403404199895</v>
      </c>
      <c r="N22" s="25">
        <f ca="1">'TUSD BE'!$N$22*'TUSD BE'!$N$58</f>
        <v>0</v>
      </c>
      <c r="O22" s="25">
        <f>'TUSD BE'!$O$22*'TUSD BE'!$O$58</f>
        <v>0</v>
      </c>
      <c r="P22" s="25">
        <f>'TUSD BE'!$P$22*'TUSD BE'!$P$58</f>
        <v>0</v>
      </c>
      <c r="Q22" s="25">
        <f>'TUSD BE'!$Q$22*'TUSD BE'!$Q$58</f>
        <v>0</v>
      </c>
      <c r="R22" s="25">
        <f>'TUSD BE'!$R$22*'TUSD BE'!$R$58</f>
        <v>0</v>
      </c>
      <c r="S22" s="25">
        <f>'TUSD BE'!$R$22*'TUSD BE'!$S$58</f>
        <v>0</v>
      </c>
      <c r="T22" s="25">
        <f ca="1">SUM($L$22:$S$22)</f>
        <v>0.13033403404199895</v>
      </c>
      <c r="U22" s="25">
        <f>'TUSD BE'!$U$22*'TUSD BE'!$U$58</f>
        <v>0</v>
      </c>
      <c r="V22" s="25">
        <f>'TUSD BE'!$V$22*'TUSD BE'!$V$58</f>
        <v>0</v>
      </c>
      <c r="W22" s="25">
        <f>'TUSD BE'!$W$22*'TUSD BE'!$W$58</f>
        <v>0</v>
      </c>
      <c r="X22" s="25">
        <f>'TUSD BE'!$X$22*'TUSD BE'!$X$58</f>
        <v>0</v>
      </c>
      <c r="Y22" s="25">
        <f>'TUSD BE'!$Y$22*'TUSD BE'!$Y$58</f>
        <v>50.382310905923134</v>
      </c>
      <c r="Z22" s="25">
        <f>'TUSD BE'!$Z$22*'TUSD BE'!$Z$58</f>
        <v>0</v>
      </c>
      <c r="AA22" s="25">
        <f>'TUSD BE'!$AA$22*'TUSD BE'!$AA$58</f>
        <v>0</v>
      </c>
      <c r="AB22" s="25">
        <f>SUM($U$22:$AA$22)</f>
        <v>50.382310905923134</v>
      </c>
      <c r="AC22" s="25">
        <f>'TUSD BE'!$AC$22*'TUSD BE'!$AC$58</f>
        <v>-126.2210317368359</v>
      </c>
      <c r="AD22" s="25">
        <f>SUM($AC$22:$AC$22)</f>
        <v>-126.2210317368359</v>
      </c>
      <c r="AE22" s="25">
        <f ca="1">$AO$22*$AO$55</f>
        <v>0</v>
      </c>
      <c r="AF22" s="25">
        <f ca="1">$AP$22*$AP$55</f>
        <v>0</v>
      </c>
      <c r="AG22" s="25">
        <f ca="1">SUM($AE$22:$AF$22)</f>
        <v>0</v>
      </c>
      <c r="AH22" s="25">
        <f>'TUSD BE'!$AH$22*'TUSD BE'!$AH$58</f>
        <v>10.043493695383258</v>
      </c>
      <c r="AI22" s="25">
        <f>'TUSD BE'!$AI$22*'TUSD BE'!$AI$58</f>
        <v>0</v>
      </c>
      <c r="AJ22" s="25">
        <f ca="1">'TUSD BE'!$AJ$22*'TUSD BE'!$AJ$58</f>
        <v>0.934443579275541</v>
      </c>
      <c r="AK22" s="25">
        <f ca="1">'TUSD BE'!$AK$22*'TUSD BE'!$AK$58</f>
        <v>0</v>
      </c>
      <c r="AL22" s="25">
        <f ca="1">SUM($AH$22:$AK$22)</f>
        <v>10.9779372746588</v>
      </c>
      <c r="AM22" s="25">
        <f ca="1">SUMIF($L$4:$AL$4,"SUBTOTAL",$L$22:$AL$22)</f>
        <v>-64.73044952221197</v>
      </c>
      <c r="AO22" s="30">
        <f ca="1">+'TUSD BE'!$T$22+'TUSD BE'!$AB$22+'TUSD BE'!$AD$22+'TUSD BE'!$AL$22</f>
        <v>902.5275655715925</v>
      </c>
      <c r="AP22" s="30">
        <f ca="1">+'TUSD BE'!$T$22+'TUSD BE'!$AB$22+'TUSD BE'!$AD$22+'TUSD BE'!$AL$22</f>
        <v>902.5275655715925</v>
      </c>
    </row>
    <row r="23" spans="1:42" ht="11.25" customHeight="1" x14ac:dyDescent="0.25">
      <c r="A23" s="134"/>
      <c r="B23" s="134"/>
      <c r="C23" s="134"/>
      <c r="D23" s="28" t="s">
        <v>31</v>
      </c>
      <c r="E23" s="28" t="s">
        <v>25</v>
      </c>
      <c r="F23" s="28" t="s">
        <v>25</v>
      </c>
      <c r="G23" s="21" t="s">
        <v>75</v>
      </c>
      <c r="H23" s="21" t="s">
        <v>71</v>
      </c>
      <c r="I23" s="21">
        <f>'MERCADO TUSD'!$U$20</f>
        <v>365.92600000000004</v>
      </c>
      <c r="J23" s="17"/>
      <c r="L23" s="25">
        <f>'TUSD BE'!$L$23*'TUSD BE'!$L$58</f>
        <v>0</v>
      </c>
      <c r="M23" s="25">
        <f>'TUSD BE'!$M$23*'TUSD BE'!$M$58</f>
        <v>0.13033403404199895</v>
      </c>
      <c r="N23" s="25">
        <f ca="1">'TUSD BE'!$N$23*'TUSD BE'!$N$58</f>
        <v>0</v>
      </c>
      <c r="O23" s="25">
        <f>'TUSD BE'!$O$23*'TUSD BE'!$O$58</f>
        <v>0</v>
      </c>
      <c r="P23" s="25">
        <f>'TUSD BE'!$P$23*'TUSD BE'!$P$58</f>
        <v>0</v>
      </c>
      <c r="Q23" s="25">
        <f>'TUSD BE'!$Q$23*'TUSD BE'!$Q$58</f>
        <v>0</v>
      </c>
      <c r="R23" s="25">
        <f>'TUSD BE'!$R$23*'TUSD BE'!$R$58</f>
        <v>0</v>
      </c>
      <c r="S23" s="25">
        <f>'TUSD BE'!$R$23*'TUSD BE'!$S$58</f>
        <v>0</v>
      </c>
      <c r="T23" s="25">
        <f ca="1">SUM($L$23:$S$23)</f>
        <v>0.13033403404199895</v>
      </c>
      <c r="U23" s="25">
        <f>'TUSD BE'!$U$23*'TUSD BE'!$U$58</f>
        <v>0</v>
      </c>
      <c r="V23" s="25">
        <f>'TUSD BE'!$V$23*'TUSD BE'!$V$58</f>
        <v>0</v>
      </c>
      <c r="W23" s="25">
        <f>'TUSD BE'!$W$23*'TUSD BE'!$W$58</f>
        <v>0</v>
      </c>
      <c r="X23" s="25">
        <f>'TUSD BE'!$X$23*'TUSD BE'!$X$58</f>
        <v>0</v>
      </c>
      <c r="Y23" s="25">
        <f>'TUSD BE'!$Y$23*'TUSD BE'!$Y$58</f>
        <v>50.382310905923134</v>
      </c>
      <c r="Z23" s="25">
        <f>'TUSD BE'!$Z$23*'TUSD BE'!$Z$58</f>
        <v>0</v>
      </c>
      <c r="AA23" s="25">
        <f>'TUSD BE'!$AA$23*'TUSD BE'!$AA$58</f>
        <v>0</v>
      </c>
      <c r="AB23" s="25">
        <f>SUM($U$23:$AA$23)</f>
        <v>50.382310905923134</v>
      </c>
      <c r="AC23" s="25">
        <f>'TUSD BE'!$AC$23*'TUSD BE'!$AC$58</f>
        <v>-126.2210317368359</v>
      </c>
      <c r="AD23" s="25">
        <f>SUM($AC$23:$AC$23)</f>
        <v>-126.2210317368359</v>
      </c>
      <c r="AE23" s="25">
        <f ca="1">$AO$23*$AO$55</f>
        <v>0</v>
      </c>
      <c r="AF23" s="25">
        <f ca="1">$AP$23*$AP$55</f>
        <v>0</v>
      </c>
      <c r="AG23" s="25">
        <f ca="1">SUM($AE$23:$AF$23)</f>
        <v>0</v>
      </c>
      <c r="AH23" s="25">
        <f>'TUSD BE'!$AH$23*'TUSD BE'!$AH$58</f>
        <v>10.043493695383258</v>
      </c>
      <c r="AI23" s="25">
        <f>'TUSD BE'!$AI$23*'TUSD BE'!$AI$58</f>
        <v>0</v>
      </c>
      <c r="AJ23" s="25">
        <f ca="1">'TUSD BE'!$AJ$23*'TUSD BE'!$AJ$58</f>
        <v>0.934443579275541</v>
      </c>
      <c r="AK23" s="25">
        <f ca="1">'TUSD BE'!$AK$23*'TUSD BE'!$AK$58</f>
        <v>0</v>
      </c>
      <c r="AL23" s="25">
        <f ca="1">SUM($AH$23:$AK$23)</f>
        <v>10.9779372746588</v>
      </c>
      <c r="AM23" s="25">
        <f ca="1">SUMIF($L$4:$AL$4,"SUBTOTAL",$L$23:$AL$23)</f>
        <v>-64.73044952221197</v>
      </c>
      <c r="AO23" s="30">
        <f ca="1">+'TUSD BE'!$T$23+'TUSD BE'!$AB$23+'TUSD BE'!$AD$23+'TUSD BE'!$AL$23</f>
        <v>902.5275655715925</v>
      </c>
      <c r="AP23" s="30">
        <f ca="1">+'TUSD BE'!$T$23+'TUSD BE'!$AB$23+'TUSD BE'!$AD$23+'TUSD BE'!$AL$23</f>
        <v>902.5275655715925</v>
      </c>
    </row>
    <row r="24" spans="1:42" ht="11.25" customHeight="1" x14ac:dyDescent="0.25">
      <c r="A24" s="134"/>
      <c r="B24" s="134"/>
      <c r="C24" s="134"/>
      <c r="D24" s="28" t="s">
        <v>32</v>
      </c>
      <c r="E24" s="28" t="s">
        <v>25</v>
      </c>
      <c r="F24" s="28" t="s">
        <v>25</v>
      </c>
      <c r="G24" s="21" t="s">
        <v>75</v>
      </c>
      <c r="H24" s="21" t="s">
        <v>71</v>
      </c>
      <c r="I24" s="21">
        <f>'MERCADO TUSD'!$U$21</f>
        <v>81.745999999999995</v>
      </c>
      <c r="J24" s="17"/>
      <c r="L24" s="25">
        <f>'TUSD BE'!$L$24*'TUSD BE'!$L$58</f>
        <v>0</v>
      </c>
      <c r="M24" s="25">
        <f>'TUSD BE'!$M$24*'TUSD BE'!$M$58</f>
        <v>0.13033403404199895</v>
      </c>
      <c r="N24" s="25">
        <f ca="1">'TUSD BE'!$N$24*'TUSD BE'!$N$58</f>
        <v>0</v>
      </c>
      <c r="O24" s="25">
        <f>'TUSD BE'!$O$24*'TUSD BE'!$O$58</f>
        <v>0</v>
      </c>
      <c r="P24" s="25">
        <f>'TUSD BE'!$P$24*'TUSD BE'!$P$58</f>
        <v>0</v>
      </c>
      <c r="Q24" s="25">
        <f>'TUSD BE'!$Q$24*'TUSD BE'!$Q$58</f>
        <v>0</v>
      </c>
      <c r="R24" s="25">
        <f>'TUSD BE'!$R$24*'TUSD BE'!$R$58</f>
        <v>0</v>
      </c>
      <c r="S24" s="25">
        <f>'TUSD BE'!$R$24*'TUSD BE'!$S$58</f>
        <v>0</v>
      </c>
      <c r="T24" s="25">
        <f ca="1">SUM($L$24:$S$24)</f>
        <v>0.13033403404199895</v>
      </c>
      <c r="U24" s="25">
        <f>'TUSD BE'!$U$24*'TUSD BE'!$U$58</f>
        <v>0</v>
      </c>
      <c r="V24" s="25">
        <f>'TUSD BE'!$V$24*'TUSD BE'!$V$58</f>
        <v>0</v>
      </c>
      <c r="W24" s="25">
        <f>'TUSD BE'!$W$24*'TUSD BE'!$W$58</f>
        <v>0</v>
      </c>
      <c r="X24" s="25">
        <f>'TUSD BE'!$X$24*'TUSD BE'!$X$58</f>
        <v>0</v>
      </c>
      <c r="Y24" s="25">
        <f>'TUSD BE'!$Y$24*'TUSD BE'!$Y$58</f>
        <v>50.382310905923134</v>
      </c>
      <c r="Z24" s="25">
        <f>'TUSD BE'!$Z$24*'TUSD BE'!$Z$58</f>
        <v>0</v>
      </c>
      <c r="AA24" s="25">
        <f>'TUSD BE'!$AA$24*'TUSD BE'!$AA$58</f>
        <v>0</v>
      </c>
      <c r="AB24" s="25">
        <f>SUM($U$24:$AA$24)</f>
        <v>50.382310905923134</v>
      </c>
      <c r="AC24" s="25">
        <f>'TUSD BE'!$AC$24*'TUSD BE'!$AC$58</f>
        <v>-126.2210317368359</v>
      </c>
      <c r="AD24" s="25">
        <f>SUM($AC$24:$AC$24)</f>
        <v>-126.2210317368359</v>
      </c>
      <c r="AE24" s="25">
        <f ca="1">$AO$24*$AO$55</f>
        <v>0</v>
      </c>
      <c r="AF24" s="25">
        <f ca="1">$AP$24*$AP$55</f>
        <v>0</v>
      </c>
      <c r="AG24" s="25">
        <f ca="1">SUM($AE$24:$AF$24)</f>
        <v>0</v>
      </c>
      <c r="AH24" s="25">
        <f>'TUSD BE'!$AH$24*'TUSD BE'!$AH$58</f>
        <v>10.043493695383258</v>
      </c>
      <c r="AI24" s="25">
        <f>'TUSD BE'!$AI$24*'TUSD BE'!$AI$58</f>
        <v>0</v>
      </c>
      <c r="AJ24" s="25">
        <f ca="1">'TUSD BE'!$AJ$24*'TUSD BE'!$AJ$58</f>
        <v>0.934443579275541</v>
      </c>
      <c r="AK24" s="25">
        <f ca="1">'TUSD BE'!$AK$24*'TUSD BE'!$AK$58</f>
        <v>0</v>
      </c>
      <c r="AL24" s="25">
        <f ca="1">SUM($AH$24:$AK$24)</f>
        <v>10.9779372746588</v>
      </c>
      <c r="AM24" s="25">
        <f ca="1">SUMIF($L$4:$AL$4,"SUBTOTAL",$L$24:$AL$24)</f>
        <v>-64.73044952221197</v>
      </c>
      <c r="AO24" s="30">
        <f ca="1">+'TUSD BE'!$T$24+'TUSD BE'!$AB$24+'TUSD BE'!$AD$24+'TUSD BE'!$AL$24</f>
        <v>902.5275655715925</v>
      </c>
      <c r="AP24" s="30">
        <f ca="1">+'TUSD BE'!$T$24+'TUSD BE'!$AB$24+'TUSD BE'!$AD$24+'TUSD BE'!$AL$24</f>
        <v>902.5275655715925</v>
      </c>
    </row>
    <row r="25" spans="1:42" ht="11.25" customHeight="1" x14ac:dyDescent="0.25">
      <c r="A25" s="134"/>
      <c r="B25" s="134" t="s">
        <v>86</v>
      </c>
      <c r="C25" s="134" t="s">
        <v>24</v>
      </c>
      <c r="D25" s="28" t="s">
        <v>24</v>
      </c>
      <c r="E25" s="28" t="s">
        <v>25</v>
      </c>
      <c r="F25" s="28" t="s">
        <v>25</v>
      </c>
      <c r="G25" s="21" t="s">
        <v>75</v>
      </c>
      <c r="H25" s="21" t="s">
        <v>71</v>
      </c>
      <c r="I25" s="21">
        <f>'MERCADO TUSD'!$U$22</f>
        <v>0</v>
      </c>
      <c r="J25" s="17"/>
      <c r="L25" s="25">
        <f>'TUSD BE'!$L$25*'TUSD BE'!$L$58</f>
        <v>0</v>
      </c>
      <c r="M25" s="25">
        <f>'TUSD BE'!$M$25*'TUSD BE'!$M$58</f>
        <v>0.13033403404199895</v>
      </c>
      <c r="N25" s="25">
        <f ca="1">'TUSD BE'!$N$25*'TUSD BE'!$N$58</f>
        <v>0</v>
      </c>
      <c r="O25" s="25">
        <f>'TUSD BE'!$O$25*'TUSD BE'!$O$58</f>
        <v>0</v>
      </c>
      <c r="P25" s="25">
        <f>'TUSD BE'!$P$25*'TUSD BE'!$P$58</f>
        <v>0</v>
      </c>
      <c r="Q25" s="25">
        <f>'TUSD BE'!$Q$25*'TUSD BE'!$Q$58</f>
        <v>4.5395490201641877</v>
      </c>
      <c r="R25" s="25">
        <f>'TUSD BE'!$R$25*'TUSD BE'!$R$58</f>
        <v>0.4904446518285977</v>
      </c>
      <c r="S25" s="25">
        <f>'TUSD BE'!$R$25*'TUSD BE'!$S$58</f>
        <v>0</v>
      </c>
      <c r="T25" s="25">
        <f ca="1">SUM($L$25:$S$25)</f>
        <v>5.1603277060347841</v>
      </c>
      <c r="U25" s="25">
        <f>'TUSD BE'!$U$25*'TUSD BE'!$U$58</f>
        <v>0</v>
      </c>
      <c r="V25" s="25">
        <f>'TUSD BE'!$V$25*'TUSD BE'!$V$58</f>
        <v>0</v>
      </c>
      <c r="W25" s="25">
        <f>'TUSD BE'!$W$25*'TUSD BE'!$W$58</f>
        <v>0</v>
      </c>
      <c r="X25" s="25">
        <f>'TUSD BE'!$X$25*'TUSD BE'!$X$58</f>
        <v>0</v>
      </c>
      <c r="Y25" s="25">
        <f>'TUSD BE'!$Y$25*'TUSD BE'!$Y$58</f>
        <v>50.382310905923134</v>
      </c>
      <c r="Z25" s="25">
        <f>'TUSD BE'!$Z$25*'TUSD BE'!$Z$58</f>
        <v>0</v>
      </c>
      <c r="AA25" s="25">
        <f>'TUSD BE'!$AA$25*'TUSD BE'!$AA$58</f>
        <v>0</v>
      </c>
      <c r="AB25" s="25">
        <f>SUM($U$25:$AA$25)</f>
        <v>50.382310905923134</v>
      </c>
      <c r="AC25" s="25">
        <f>'TUSD BE'!$AC$25*'TUSD BE'!$AC$58</f>
        <v>-126.2210317368359</v>
      </c>
      <c r="AD25" s="25">
        <f>SUM($AC$25:$AC$25)</f>
        <v>-126.2210317368359</v>
      </c>
      <c r="AE25" s="25">
        <f ca="1">$AO$25*$AO$55</f>
        <v>0</v>
      </c>
      <c r="AF25" s="25">
        <f ca="1">$AP$25*$AP$55</f>
        <v>0</v>
      </c>
      <c r="AG25" s="25">
        <f ca="1">SUM($AE$25:$AF$25)</f>
        <v>0</v>
      </c>
      <c r="AH25" s="25">
        <f>'TUSD BE'!$AH$25*'TUSD BE'!$AH$58</f>
        <v>10.043493695383258</v>
      </c>
      <c r="AI25" s="25">
        <f>'TUSD BE'!$AI$25*'TUSD BE'!$AI$58</f>
        <v>0</v>
      </c>
      <c r="AJ25" s="25">
        <f ca="1">'TUSD BE'!$AJ$25*'TUSD BE'!$AJ$58</f>
        <v>0.934443579275541</v>
      </c>
      <c r="AK25" s="25">
        <f ca="1">'TUSD BE'!$AK$25*'TUSD BE'!$AK$58</f>
        <v>0</v>
      </c>
      <c r="AL25" s="25">
        <f ca="1">SUM($AH$25:$AK$25)</f>
        <v>10.9779372746588</v>
      </c>
      <c r="AM25" s="25">
        <f ca="1">SUMIF($L$4:$AL$4,"SUBTOTAL",$L$25:$AL$25)</f>
        <v>-59.700455850219171</v>
      </c>
      <c r="AO25" s="30">
        <f ca="1">+'TUSD BE'!$T$25+'TUSD BE'!$AB$25+'TUSD BE'!$AD$25+'TUSD BE'!$AL$25</f>
        <v>1029.2229273331159</v>
      </c>
      <c r="AP25" s="30">
        <f ca="1">+'TUSD BE'!$T$25+'TUSD BE'!$AB$25+'TUSD BE'!$AD$25+'TUSD BE'!$AL$25</f>
        <v>1029.2229273331159</v>
      </c>
    </row>
    <row r="26" spans="1:42" ht="11.25" customHeight="1" x14ac:dyDescent="0.25">
      <c r="A26" s="134"/>
      <c r="B26" s="134"/>
      <c r="C26" s="134"/>
      <c r="D26" s="28" t="s">
        <v>29</v>
      </c>
      <c r="E26" s="28" t="s">
        <v>25</v>
      </c>
      <c r="F26" s="28" t="s">
        <v>25</v>
      </c>
      <c r="G26" s="21" t="s">
        <v>75</v>
      </c>
      <c r="H26" s="21" t="s">
        <v>71</v>
      </c>
      <c r="I26" s="21">
        <f>'MERCADO TUSD'!$U$23</f>
        <v>0</v>
      </c>
      <c r="J26" s="17"/>
      <c r="L26" s="25">
        <f>'TUSD BE'!$L$26*'TUSD BE'!$L$58</f>
        <v>0</v>
      </c>
      <c r="M26" s="25">
        <f>'TUSD BE'!$M$26*'TUSD BE'!$M$58</f>
        <v>0.13033403404199895</v>
      </c>
      <c r="N26" s="25">
        <f ca="1">'TUSD BE'!$N$26*'TUSD BE'!$N$58</f>
        <v>0</v>
      </c>
      <c r="O26" s="25">
        <f>'TUSD BE'!$O$26*'TUSD BE'!$O$58</f>
        <v>0</v>
      </c>
      <c r="P26" s="25">
        <f>'TUSD BE'!$P$26*'TUSD BE'!$P$58</f>
        <v>0</v>
      </c>
      <c r="Q26" s="25">
        <f>'TUSD BE'!$Q$26*'TUSD BE'!$Q$58</f>
        <v>0</v>
      </c>
      <c r="R26" s="25">
        <f>'TUSD BE'!$R$26*'TUSD BE'!$R$58</f>
        <v>0</v>
      </c>
      <c r="S26" s="25">
        <f>'TUSD BE'!$R$26*'TUSD BE'!$S$58</f>
        <v>0</v>
      </c>
      <c r="T26" s="25">
        <f ca="1">SUM($L$26:$S$26)</f>
        <v>0.13033403404199895</v>
      </c>
      <c r="U26" s="25">
        <f>'TUSD BE'!$U$26*'TUSD BE'!$U$58</f>
        <v>0</v>
      </c>
      <c r="V26" s="25">
        <f>'TUSD BE'!$V$26*'TUSD BE'!$V$58</f>
        <v>0</v>
      </c>
      <c r="W26" s="25">
        <f>'TUSD BE'!$W$26*'TUSD BE'!$W$58</f>
        <v>0</v>
      </c>
      <c r="X26" s="25">
        <f>'TUSD BE'!$X$26*'TUSD BE'!$X$58</f>
        <v>0</v>
      </c>
      <c r="Y26" s="25">
        <f>'TUSD BE'!$Y$26*'TUSD BE'!$Y$58</f>
        <v>50.382310905923134</v>
      </c>
      <c r="Z26" s="25">
        <f>'TUSD BE'!$Z$26*'TUSD BE'!$Z$58</f>
        <v>0</v>
      </c>
      <c r="AA26" s="25">
        <f>'TUSD BE'!$AA$26*'TUSD BE'!$AA$58</f>
        <v>0</v>
      </c>
      <c r="AB26" s="25">
        <f>SUM($U$26:$AA$26)</f>
        <v>50.382310905923134</v>
      </c>
      <c r="AC26" s="25">
        <f>'TUSD BE'!$AC$26*'TUSD BE'!$AC$58</f>
        <v>-126.2210317368359</v>
      </c>
      <c r="AD26" s="25">
        <f>SUM($AC$26:$AC$26)</f>
        <v>-126.2210317368359</v>
      </c>
      <c r="AE26" s="25">
        <f ca="1">$AO$26*$AO$55</f>
        <v>0</v>
      </c>
      <c r="AF26" s="25">
        <f ca="1">$AP$26*$AP$55</f>
        <v>0</v>
      </c>
      <c r="AG26" s="25">
        <f ca="1">SUM($AE$26:$AF$26)</f>
        <v>0</v>
      </c>
      <c r="AH26" s="25">
        <f>'TUSD BE'!$AH$26*'TUSD BE'!$AH$58</f>
        <v>10.043493695383258</v>
      </c>
      <c r="AI26" s="25">
        <f>'TUSD BE'!$AI$26*'TUSD BE'!$AI$58</f>
        <v>0</v>
      </c>
      <c r="AJ26" s="25">
        <f ca="1">'TUSD BE'!$AJ$26*'TUSD BE'!$AJ$58</f>
        <v>0.934443579275541</v>
      </c>
      <c r="AK26" s="25">
        <f ca="1">'TUSD BE'!$AK$26*'TUSD BE'!$AK$58</f>
        <v>0</v>
      </c>
      <c r="AL26" s="25">
        <f ca="1">SUM($AH$26:$AK$26)</f>
        <v>10.9779372746588</v>
      </c>
      <c r="AM26" s="25">
        <f ca="1">SUMIF($L$4:$AL$4,"SUBTOTAL",$L$26:$AL$26)</f>
        <v>-64.73044952221197</v>
      </c>
      <c r="AO26" s="30">
        <f ca="1">+'TUSD BE'!$T$26+'TUSD BE'!$AB$26+'TUSD BE'!$AD$26+'TUSD BE'!$AL$26</f>
        <v>902.5275655715925</v>
      </c>
      <c r="AP26" s="30">
        <f ca="1">+'TUSD BE'!$T$26+'TUSD BE'!$AB$26+'TUSD BE'!$AD$26+'TUSD BE'!$AL$26</f>
        <v>902.5275655715925</v>
      </c>
    </row>
    <row r="27" spans="1:42" ht="11.25" customHeight="1" x14ac:dyDescent="0.25">
      <c r="A27" s="134"/>
      <c r="B27" s="134"/>
      <c r="C27" s="134"/>
      <c r="D27" s="28" t="s">
        <v>30</v>
      </c>
      <c r="E27" s="28" t="s">
        <v>25</v>
      </c>
      <c r="F27" s="28" t="s">
        <v>25</v>
      </c>
      <c r="G27" s="21" t="s">
        <v>75</v>
      </c>
      <c r="H27" s="21" t="s">
        <v>71</v>
      </c>
      <c r="I27" s="21">
        <f>'MERCADO TUSD'!$U$24</f>
        <v>0</v>
      </c>
      <c r="J27" s="17"/>
      <c r="L27" s="25">
        <f>'TUSD BE'!$L$27*'TUSD BE'!$L$58</f>
        <v>0</v>
      </c>
      <c r="M27" s="25">
        <f>'TUSD BE'!$M$27*'TUSD BE'!$M$58</f>
        <v>0.13033403404199895</v>
      </c>
      <c r="N27" s="25">
        <f ca="1">'TUSD BE'!$N$27*'TUSD BE'!$N$58</f>
        <v>0</v>
      </c>
      <c r="O27" s="25">
        <f>'TUSD BE'!$O$27*'TUSD BE'!$O$58</f>
        <v>0</v>
      </c>
      <c r="P27" s="25">
        <f>'TUSD BE'!$P$27*'TUSD BE'!$P$58</f>
        <v>0</v>
      </c>
      <c r="Q27" s="25">
        <f>'TUSD BE'!$Q$27*'TUSD BE'!$Q$58</f>
        <v>0</v>
      </c>
      <c r="R27" s="25">
        <f>'TUSD BE'!$R$27*'TUSD BE'!$R$58</f>
        <v>0</v>
      </c>
      <c r="S27" s="25">
        <f>'TUSD BE'!$R$27*'TUSD BE'!$S$58</f>
        <v>0</v>
      </c>
      <c r="T27" s="25">
        <f ca="1">SUM($L$27:$S$27)</f>
        <v>0.13033403404199895</v>
      </c>
      <c r="U27" s="25">
        <f>'TUSD BE'!$U$27*'TUSD BE'!$U$58</f>
        <v>0</v>
      </c>
      <c r="V27" s="25">
        <f>'TUSD BE'!$V$27*'TUSD BE'!$V$58</f>
        <v>0</v>
      </c>
      <c r="W27" s="25">
        <f>'TUSD BE'!$W$27*'TUSD BE'!$W$58</f>
        <v>0</v>
      </c>
      <c r="X27" s="25">
        <f>'TUSD BE'!$X$27*'TUSD BE'!$X$58</f>
        <v>0</v>
      </c>
      <c r="Y27" s="25">
        <f>'TUSD BE'!$Y$27*'TUSD BE'!$Y$58</f>
        <v>50.382310905923134</v>
      </c>
      <c r="Z27" s="25">
        <f>'TUSD BE'!$Z$27*'TUSD BE'!$Z$58</f>
        <v>0</v>
      </c>
      <c r="AA27" s="25">
        <f>'TUSD BE'!$AA$27*'TUSD BE'!$AA$58</f>
        <v>0</v>
      </c>
      <c r="AB27" s="25">
        <f>SUM($U$27:$AA$27)</f>
        <v>50.382310905923134</v>
      </c>
      <c r="AC27" s="25">
        <f>'TUSD BE'!$AC$27*'TUSD BE'!$AC$58</f>
        <v>-126.2210317368359</v>
      </c>
      <c r="AD27" s="25">
        <f>SUM($AC$27:$AC$27)</f>
        <v>-126.2210317368359</v>
      </c>
      <c r="AE27" s="25">
        <f ca="1">$AO$27*$AO$55</f>
        <v>0</v>
      </c>
      <c r="AF27" s="25">
        <f ca="1">$AP$27*$AP$55</f>
        <v>0</v>
      </c>
      <c r="AG27" s="25">
        <f ca="1">SUM($AE$27:$AF$27)</f>
        <v>0</v>
      </c>
      <c r="AH27" s="25">
        <f>'TUSD BE'!$AH$27*'TUSD BE'!$AH$58</f>
        <v>10.043493695383258</v>
      </c>
      <c r="AI27" s="25">
        <f>'TUSD BE'!$AI$27*'TUSD BE'!$AI$58</f>
        <v>0</v>
      </c>
      <c r="AJ27" s="25">
        <f ca="1">'TUSD BE'!$AJ$27*'TUSD BE'!$AJ$58</f>
        <v>0.934443579275541</v>
      </c>
      <c r="AK27" s="25">
        <f ca="1">'TUSD BE'!$AK$27*'TUSD BE'!$AK$58</f>
        <v>0</v>
      </c>
      <c r="AL27" s="25">
        <f ca="1">SUM($AH$27:$AK$27)</f>
        <v>10.9779372746588</v>
      </c>
      <c r="AM27" s="25">
        <f ca="1">SUMIF($L$4:$AL$4,"SUBTOTAL",$L$27:$AL$27)</f>
        <v>-64.73044952221197</v>
      </c>
      <c r="AO27" s="30">
        <f ca="1">+'TUSD BE'!$T$27+'TUSD BE'!$AB$27+'TUSD BE'!$AD$27+'TUSD BE'!$AL$27</f>
        <v>902.5275655715925</v>
      </c>
      <c r="AP27" s="30">
        <f ca="1">+'TUSD BE'!$T$27+'TUSD BE'!$AB$27+'TUSD BE'!$AD$27+'TUSD BE'!$AL$27</f>
        <v>902.5275655715925</v>
      </c>
    </row>
    <row r="28" spans="1:42" ht="11.25" customHeight="1" x14ac:dyDescent="0.25">
      <c r="A28" s="134"/>
      <c r="B28" s="134"/>
      <c r="C28" s="134"/>
      <c r="D28" s="28" t="s">
        <v>31</v>
      </c>
      <c r="E28" s="28" t="s">
        <v>25</v>
      </c>
      <c r="F28" s="28" t="s">
        <v>25</v>
      </c>
      <c r="G28" s="21" t="s">
        <v>75</v>
      </c>
      <c r="H28" s="21" t="s">
        <v>71</v>
      </c>
      <c r="I28" s="21">
        <f>'MERCADO TUSD'!$U$25</f>
        <v>0</v>
      </c>
      <c r="J28" s="17"/>
      <c r="L28" s="25">
        <f>'TUSD BE'!$L$28*'TUSD BE'!$L$58</f>
        <v>0</v>
      </c>
      <c r="M28" s="25">
        <f>'TUSD BE'!$M$28*'TUSD BE'!$M$58</f>
        <v>0.13033403404199895</v>
      </c>
      <c r="N28" s="25">
        <f ca="1">'TUSD BE'!$N$28*'TUSD BE'!$N$58</f>
        <v>0</v>
      </c>
      <c r="O28" s="25">
        <f>'TUSD BE'!$O$28*'TUSD BE'!$O$58</f>
        <v>0</v>
      </c>
      <c r="P28" s="25">
        <f>'TUSD BE'!$P$28*'TUSD BE'!$P$58</f>
        <v>0</v>
      </c>
      <c r="Q28" s="25">
        <f>'TUSD BE'!$Q$28*'TUSD BE'!$Q$58</f>
        <v>0</v>
      </c>
      <c r="R28" s="25">
        <f>'TUSD BE'!$R$28*'TUSD BE'!$R$58</f>
        <v>0</v>
      </c>
      <c r="S28" s="25">
        <f>'TUSD BE'!$R$28*'TUSD BE'!$S$58</f>
        <v>0</v>
      </c>
      <c r="T28" s="25">
        <f ca="1">SUM($L$28:$S$28)</f>
        <v>0.13033403404199895</v>
      </c>
      <c r="U28" s="25">
        <f>'TUSD BE'!$U$28*'TUSD BE'!$U$58</f>
        <v>0</v>
      </c>
      <c r="V28" s="25">
        <f>'TUSD BE'!$V$28*'TUSD BE'!$V$58</f>
        <v>0</v>
      </c>
      <c r="W28" s="25">
        <f>'TUSD BE'!$W$28*'TUSD BE'!$W$58</f>
        <v>0</v>
      </c>
      <c r="X28" s="25">
        <f>'TUSD BE'!$X$28*'TUSD BE'!$X$58</f>
        <v>0</v>
      </c>
      <c r="Y28" s="25">
        <f>'TUSD BE'!$Y$28*'TUSD BE'!$Y$58</f>
        <v>50.382310905923134</v>
      </c>
      <c r="Z28" s="25">
        <f>'TUSD BE'!$Z$28*'TUSD BE'!$Z$58</f>
        <v>0</v>
      </c>
      <c r="AA28" s="25">
        <f>'TUSD BE'!$AA$28*'TUSD BE'!$AA$58</f>
        <v>0</v>
      </c>
      <c r="AB28" s="25">
        <f>SUM($U$28:$AA$28)</f>
        <v>50.382310905923134</v>
      </c>
      <c r="AC28" s="25">
        <f>'TUSD BE'!$AC$28*'TUSD BE'!$AC$58</f>
        <v>-126.2210317368359</v>
      </c>
      <c r="AD28" s="25">
        <f>SUM($AC$28:$AC$28)</f>
        <v>-126.2210317368359</v>
      </c>
      <c r="AE28" s="25">
        <f ca="1">$AO$28*$AO$55</f>
        <v>0</v>
      </c>
      <c r="AF28" s="25">
        <f ca="1">$AP$28*$AP$55</f>
        <v>0</v>
      </c>
      <c r="AG28" s="25">
        <f ca="1">SUM($AE$28:$AF$28)</f>
        <v>0</v>
      </c>
      <c r="AH28" s="25">
        <f>'TUSD BE'!$AH$28*'TUSD BE'!$AH$58</f>
        <v>10.043493695383258</v>
      </c>
      <c r="AI28" s="25">
        <f>'TUSD BE'!$AI$28*'TUSD BE'!$AI$58</f>
        <v>0</v>
      </c>
      <c r="AJ28" s="25">
        <f ca="1">'TUSD BE'!$AJ$28*'TUSD BE'!$AJ$58</f>
        <v>0.934443579275541</v>
      </c>
      <c r="AK28" s="25">
        <f ca="1">'TUSD BE'!$AK$28*'TUSD BE'!$AK$58</f>
        <v>0</v>
      </c>
      <c r="AL28" s="25">
        <f ca="1">SUM($AH$28:$AK$28)</f>
        <v>10.9779372746588</v>
      </c>
      <c r="AM28" s="25">
        <f ca="1">SUMIF($L$4:$AL$4,"SUBTOTAL",$L$28:$AL$28)</f>
        <v>-64.73044952221197</v>
      </c>
      <c r="AO28" s="30">
        <f ca="1">+'TUSD BE'!$T$28+'TUSD BE'!$AB$28+'TUSD BE'!$AD$28+'TUSD BE'!$AL$28</f>
        <v>902.5275655715925</v>
      </c>
      <c r="AP28" s="30">
        <f ca="1">+'TUSD BE'!$T$28+'TUSD BE'!$AB$28+'TUSD BE'!$AD$28+'TUSD BE'!$AL$28</f>
        <v>902.5275655715925</v>
      </c>
    </row>
    <row r="29" spans="1:42" ht="11.25" customHeight="1" x14ac:dyDescent="0.25">
      <c r="A29" s="134"/>
      <c r="B29" s="134"/>
      <c r="C29" s="134"/>
      <c r="D29" s="28" t="s">
        <v>32</v>
      </c>
      <c r="E29" s="28" t="s">
        <v>25</v>
      </c>
      <c r="F29" s="28" t="s">
        <v>25</v>
      </c>
      <c r="G29" s="21" t="s">
        <v>75</v>
      </c>
      <c r="H29" s="21" t="s">
        <v>71</v>
      </c>
      <c r="I29" s="21">
        <f>'MERCADO TUSD'!$U$26</f>
        <v>0</v>
      </c>
      <c r="J29" s="17"/>
      <c r="L29" s="25">
        <f>'TUSD BE'!$L$29*'TUSD BE'!$L$58</f>
        <v>0</v>
      </c>
      <c r="M29" s="25">
        <f>'TUSD BE'!$M$29*'TUSD BE'!$M$58</f>
        <v>0.13033403404199895</v>
      </c>
      <c r="N29" s="25">
        <f ca="1">'TUSD BE'!$N$29*'TUSD BE'!$N$58</f>
        <v>0</v>
      </c>
      <c r="O29" s="25">
        <f>'TUSD BE'!$O$29*'TUSD BE'!$O$58</f>
        <v>0</v>
      </c>
      <c r="P29" s="25">
        <f>'TUSD BE'!$P$29*'TUSD BE'!$P$58</f>
        <v>0</v>
      </c>
      <c r="Q29" s="25">
        <f>'TUSD BE'!$Q$29*'TUSD BE'!$Q$58</f>
        <v>0</v>
      </c>
      <c r="R29" s="25">
        <f>'TUSD BE'!$R$29*'TUSD BE'!$R$58</f>
        <v>0</v>
      </c>
      <c r="S29" s="25">
        <f>'TUSD BE'!$R$29*'TUSD BE'!$S$58</f>
        <v>0</v>
      </c>
      <c r="T29" s="25">
        <f ca="1">SUM($L$29:$S$29)</f>
        <v>0.13033403404199895</v>
      </c>
      <c r="U29" s="25">
        <f>'TUSD BE'!$U$29*'TUSD BE'!$U$58</f>
        <v>0</v>
      </c>
      <c r="V29" s="25">
        <f>'TUSD BE'!$V$29*'TUSD BE'!$V$58</f>
        <v>0</v>
      </c>
      <c r="W29" s="25">
        <f>'TUSD BE'!$W$29*'TUSD BE'!$W$58</f>
        <v>0</v>
      </c>
      <c r="X29" s="25">
        <f>'TUSD BE'!$X$29*'TUSD BE'!$X$58</f>
        <v>0</v>
      </c>
      <c r="Y29" s="25">
        <f>'TUSD BE'!$Y$29*'TUSD BE'!$Y$58</f>
        <v>50.382310905923134</v>
      </c>
      <c r="Z29" s="25">
        <f>'TUSD BE'!$Z$29*'TUSD BE'!$Z$58</f>
        <v>0</v>
      </c>
      <c r="AA29" s="25">
        <f>'TUSD BE'!$AA$29*'TUSD BE'!$AA$58</f>
        <v>0</v>
      </c>
      <c r="AB29" s="25">
        <f>SUM($U$29:$AA$29)</f>
        <v>50.382310905923134</v>
      </c>
      <c r="AC29" s="25">
        <f>'TUSD BE'!$AC$29*'TUSD BE'!$AC$58</f>
        <v>-126.2210317368359</v>
      </c>
      <c r="AD29" s="25">
        <f>SUM($AC$29:$AC$29)</f>
        <v>-126.2210317368359</v>
      </c>
      <c r="AE29" s="25">
        <f ca="1">$AO$29*$AO$55</f>
        <v>0</v>
      </c>
      <c r="AF29" s="25">
        <f ca="1">$AP$29*$AP$55</f>
        <v>0</v>
      </c>
      <c r="AG29" s="25">
        <f ca="1">SUM($AE$29:$AF$29)</f>
        <v>0</v>
      </c>
      <c r="AH29" s="25">
        <f>'TUSD BE'!$AH$29*'TUSD BE'!$AH$58</f>
        <v>10.043493695383258</v>
      </c>
      <c r="AI29" s="25">
        <f>'TUSD BE'!$AI$29*'TUSD BE'!$AI$58</f>
        <v>0</v>
      </c>
      <c r="AJ29" s="25">
        <f ca="1">'TUSD BE'!$AJ$29*'TUSD BE'!$AJ$58</f>
        <v>0.934443579275541</v>
      </c>
      <c r="AK29" s="25">
        <f ca="1">'TUSD BE'!$AK$29*'TUSD BE'!$AK$58</f>
        <v>0</v>
      </c>
      <c r="AL29" s="25">
        <f ca="1">SUM($AH$29:$AK$29)</f>
        <v>10.9779372746588</v>
      </c>
      <c r="AM29" s="25">
        <f ca="1">SUMIF($L$4:$AL$4,"SUBTOTAL",$L$29:$AL$29)</f>
        <v>-64.73044952221197</v>
      </c>
      <c r="AO29" s="30">
        <f ca="1">+'TUSD BE'!$T$29+'TUSD BE'!$AB$29+'TUSD BE'!$AD$29+'TUSD BE'!$AL$29</f>
        <v>902.5275655715925</v>
      </c>
      <c r="AP29" s="30">
        <f ca="1">+'TUSD BE'!$T$29+'TUSD BE'!$AB$29+'TUSD BE'!$AD$29+'TUSD BE'!$AL$29</f>
        <v>902.5275655715925</v>
      </c>
    </row>
    <row r="30" spans="1:42" ht="11.25" customHeight="1" x14ac:dyDescent="0.25">
      <c r="A30" s="134" t="s">
        <v>43</v>
      </c>
      <c r="B30" s="134" t="s">
        <v>37</v>
      </c>
      <c r="C30" s="134" t="s">
        <v>44</v>
      </c>
      <c r="D30" s="134" t="s">
        <v>25</v>
      </c>
      <c r="E30" s="134" t="s">
        <v>25</v>
      </c>
      <c r="F30" s="134" t="s">
        <v>25</v>
      </c>
      <c r="G30" s="21" t="s">
        <v>72</v>
      </c>
      <c r="H30" s="21" t="s">
        <v>71</v>
      </c>
      <c r="I30" s="21">
        <f>'MERCADO TUSD'!$U$27</f>
        <v>0</v>
      </c>
      <c r="J30" s="17"/>
      <c r="L30" s="25">
        <f>'TUSD BE'!$L$30*'TUSD BE'!$L$58</f>
        <v>0</v>
      </c>
      <c r="M30" s="25">
        <f>'TUSD BE'!$M$30*'TUSD BE'!$M$58</f>
        <v>0.13033403404199895</v>
      </c>
      <c r="N30" s="25">
        <f ca="1">'TUSD BE'!$N$30*'TUSD BE'!$N$58</f>
        <v>0</v>
      </c>
      <c r="O30" s="25">
        <f>'TUSD BE'!$O$30*'TUSD BE'!$O$58</f>
        <v>0</v>
      </c>
      <c r="P30" s="25">
        <f>'TUSD BE'!$P$30*'TUSD BE'!$P$58</f>
        <v>0</v>
      </c>
      <c r="Q30" s="25">
        <f>'TUSD BE'!$Q$30*'TUSD BE'!$Q$58</f>
        <v>4.5395490201641877</v>
      </c>
      <c r="R30" s="25">
        <f>'TUSD BE'!$R$30*'TUSD BE'!$R$58</f>
        <v>0.4904446518285977</v>
      </c>
      <c r="S30" s="25">
        <f>'TUSD BE'!$R$30*'TUSD BE'!$S$58</f>
        <v>0</v>
      </c>
      <c r="T30" s="25">
        <f ca="1">SUM($L$30:$S$30)</f>
        <v>5.1603277060347841</v>
      </c>
      <c r="U30" s="25">
        <f>'TUSD BE'!$U$30*'TUSD BE'!$U$58</f>
        <v>0</v>
      </c>
      <c r="V30" s="25">
        <f>'TUSD BE'!$V$30*'TUSD BE'!$V$58</f>
        <v>0</v>
      </c>
      <c r="W30" s="25">
        <f>'TUSD BE'!$W$30*'TUSD BE'!$W$58</f>
        <v>0</v>
      </c>
      <c r="X30" s="25">
        <f>'TUSD BE'!$X$30*'TUSD BE'!$X$58</f>
        <v>0</v>
      </c>
      <c r="Y30" s="25">
        <f>'TUSD BE'!$Y$30*'TUSD BE'!$Y$58</f>
        <v>130.99412280147837</v>
      </c>
      <c r="Z30" s="25">
        <f>'TUSD BE'!$Z$30*'TUSD BE'!$Z$58</f>
        <v>0</v>
      </c>
      <c r="AA30" s="25">
        <f>'TUSD BE'!$AA$30*'TUSD BE'!$AA$58</f>
        <v>0</v>
      </c>
      <c r="AB30" s="25">
        <f>SUM($U$30:$AA$30)</f>
        <v>130.99412280147837</v>
      </c>
      <c r="AC30" s="25">
        <f>'TUSD BE'!$AC$30*'TUSD BE'!$AC$58</f>
        <v>-328.1745812548096</v>
      </c>
      <c r="AD30" s="25">
        <f>SUM($AC$30:$AC$30)</f>
        <v>-328.1745812548096</v>
      </c>
      <c r="AE30" s="25">
        <f ca="1">$AO$30*$AO$55</f>
        <v>0</v>
      </c>
      <c r="AF30" s="25">
        <f ca="1">$AP$30*$AP$55</f>
        <v>0</v>
      </c>
      <c r="AG30" s="25">
        <f ca="1">SUM($AE$30:$AF$30)</f>
        <v>0</v>
      </c>
      <c r="AH30" s="25">
        <f>'TUSD BE'!$AH$30*'TUSD BE'!$AH$58</f>
        <v>10.043493695383258</v>
      </c>
      <c r="AI30" s="25">
        <f>'TUSD BE'!$AI$30*'TUSD BE'!$AI$58</f>
        <v>0</v>
      </c>
      <c r="AJ30" s="25">
        <f ca="1">'TUSD BE'!$AJ$30*'TUSD BE'!$AJ$58</f>
        <v>0.934443579275541</v>
      </c>
      <c r="AK30" s="25">
        <f ca="1">'TUSD BE'!$AK$30*'TUSD BE'!$AK$58</f>
        <v>0</v>
      </c>
      <c r="AL30" s="25">
        <f ca="1">SUM($AH$30:$AK$30)</f>
        <v>10.9779372746588</v>
      </c>
      <c r="AM30" s="25">
        <f ca="1">SUMIF($L$4:$AL$4,"SUBTOTAL",$L$30:$AL$30)</f>
        <v>-181.04219347263762</v>
      </c>
      <c r="AO30" s="30">
        <f ca="1">+'TUSD BE'!$T$30+'TUSD BE'!$AB$30+'TUSD BE'!$AD$30+'TUSD BE'!$AL$30</f>
        <v>2406.3940408431858</v>
      </c>
      <c r="AP30" s="30">
        <f ca="1">+'TUSD BE'!$T$30+'TUSD BE'!$AB$30+'TUSD BE'!$AD$30+'TUSD BE'!$AL$30</f>
        <v>2406.3940408431858</v>
      </c>
    </row>
    <row r="31" spans="1:42" ht="11.25" customHeight="1" x14ac:dyDescent="0.25">
      <c r="A31" s="134"/>
      <c r="B31" s="134"/>
      <c r="C31" s="134"/>
      <c r="D31" s="134"/>
      <c r="E31" s="134"/>
      <c r="F31" s="134"/>
      <c r="G31" s="21" t="s">
        <v>84</v>
      </c>
      <c r="H31" s="21" t="s">
        <v>71</v>
      </c>
      <c r="I31" s="21">
        <f>'MERCADO TUSD'!$U$28</f>
        <v>0</v>
      </c>
      <c r="J31" s="17"/>
      <c r="L31" s="25">
        <f>'TUSD BE'!$L$31*'TUSD BE'!$L$58</f>
        <v>0</v>
      </c>
      <c r="M31" s="25">
        <f>'TUSD BE'!$M$31*'TUSD BE'!$M$58</f>
        <v>0.13033403404199895</v>
      </c>
      <c r="N31" s="25">
        <f ca="1">'TUSD BE'!$N$31*'TUSD BE'!$N$58</f>
        <v>0</v>
      </c>
      <c r="O31" s="25">
        <f>'TUSD BE'!$O$31*'TUSD BE'!$O$58</f>
        <v>0</v>
      </c>
      <c r="P31" s="25">
        <f>'TUSD BE'!$P$31*'TUSD BE'!$P$58</f>
        <v>0</v>
      </c>
      <c r="Q31" s="25">
        <f>'TUSD BE'!$Q$31*'TUSD BE'!$Q$58</f>
        <v>4.5395490201641877</v>
      </c>
      <c r="R31" s="25">
        <f>'TUSD BE'!$R$31*'TUSD BE'!$R$58</f>
        <v>0.4904446518285977</v>
      </c>
      <c r="S31" s="25">
        <f>'TUSD BE'!$R$31*'TUSD BE'!$S$58</f>
        <v>0</v>
      </c>
      <c r="T31" s="25">
        <f ca="1">SUM($L$31:$S$31)</f>
        <v>5.1603277060347841</v>
      </c>
      <c r="U31" s="25">
        <f>'TUSD BE'!$U$31*'TUSD BE'!$U$58</f>
        <v>0</v>
      </c>
      <c r="V31" s="25">
        <f>'TUSD BE'!$V$31*'TUSD BE'!$V$58</f>
        <v>0</v>
      </c>
      <c r="W31" s="25">
        <f>'TUSD BE'!$W$31*'TUSD BE'!$W$58</f>
        <v>0</v>
      </c>
      <c r="X31" s="25">
        <f>'TUSD BE'!$X$31*'TUSD BE'!$X$58</f>
        <v>0</v>
      </c>
      <c r="Y31" s="25">
        <f>'TUSD BE'!$Y$31*'TUSD BE'!$Y$58</f>
        <v>78.596416457847909</v>
      </c>
      <c r="Z31" s="25">
        <f>'TUSD BE'!$Z$31*'TUSD BE'!$Z$58</f>
        <v>0</v>
      </c>
      <c r="AA31" s="25">
        <f>'TUSD BE'!$AA$31*'TUSD BE'!$AA$58</f>
        <v>0</v>
      </c>
      <c r="AB31" s="25">
        <f>SUM($U$31:$AA$31)</f>
        <v>78.596416457847909</v>
      </c>
      <c r="AC31" s="25">
        <f>'TUSD BE'!$AC$31*'TUSD BE'!$AC$58</f>
        <v>-196.90477913117488</v>
      </c>
      <c r="AD31" s="25">
        <f>SUM($AC$31:$AC$31)</f>
        <v>-196.90477913117488</v>
      </c>
      <c r="AE31" s="25">
        <f ca="1">$AO$31*$AO$55</f>
        <v>0</v>
      </c>
      <c r="AF31" s="25">
        <f ca="1">$AP$31*$AP$55</f>
        <v>0</v>
      </c>
      <c r="AG31" s="25">
        <f ca="1">SUM($AE$31:$AF$31)</f>
        <v>0</v>
      </c>
      <c r="AH31" s="25">
        <f>'TUSD BE'!$AH$31*'TUSD BE'!$AH$58</f>
        <v>10.043493695383258</v>
      </c>
      <c r="AI31" s="25">
        <f>'TUSD BE'!$AI$31*'TUSD BE'!$AI$58</f>
        <v>0</v>
      </c>
      <c r="AJ31" s="25">
        <f ca="1">'TUSD BE'!$AJ$31*'TUSD BE'!$AJ$58</f>
        <v>0.934443579275541</v>
      </c>
      <c r="AK31" s="25">
        <f ca="1">'TUSD BE'!$AK$31*'TUSD BE'!$AK$58</f>
        <v>0</v>
      </c>
      <c r="AL31" s="25">
        <f ca="1">SUM($AH$31:$AK$31)</f>
        <v>10.9779372746588</v>
      </c>
      <c r="AM31" s="25">
        <f ca="1">SUMIF($L$4:$AL$4,"SUBTOTAL",$L$31:$AL$31)</f>
        <v>-102.17009769263339</v>
      </c>
      <c r="AO31" s="30">
        <f ca="1">+'TUSD BE'!$T$31+'TUSD BE'!$AB$31+'TUSD BE'!$AD$31+'TUSD BE'!$AL$31</f>
        <v>1511.2327311480035</v>
      </c>
      <c r="AP31" s="30">
        <f ca="1">+'TUSD BE'!$T$31+'TUSD BE'!$AB$31+'TUSD BE'!$AD$31+'TUSD BE'!$AL$31</f>
        <v>1511.2327311480035</v>
      </c>
    </row>
    <row r="32" spans="1:42" ht="11.25" customHeight="1" x14ac:dyDescent="0.25">
      <c r="A32" s="134"/>
      <c r="B32" s="134"/>
      <c r="C32" s="134"/>
      <c r="D32" s="134"/>
      <c r="E32" s="134"/>
      <c r="F32" s="134"/>
      <c r="G32" s="21" t="s">
        <v>73</v>
      </c>
      <c r="H32" s="21" t="s">
        <v>71</v>
      </c>
      <c r="I32" s="21">
        <f>'MERCADO TUSD'!$U$29</f>
        <v>0</v>
      </c>
      <c r="J32" s="17"/>
      <c r="L32" s="25">
        <f>'TUSD BE'!$L$32*'TUSD BE'!$L$58</f>
        <v>0</v>
      </c>
      <c r="M32" s="25">
        <f>'TUSD BE'!$M$32*'TUSD BE'!$M$58</f>
        <v>0.13033403404199895</v>
      </c>
      <c r="N32" s="25">
        <f ca="1">'TUSD BE'!$N$32*'TUSD BE'!$N$58</f>
        <v>0</v>
      </c>
      <c r="O32" s="25">
        <f>'TUSD BE'!$O$32*'TUSD BE'!$O$58</f>
        <v>0</v>
      </c>
      <c r="P32" s="25">
        <f>'TUSD BE'!$P$32*'TUSD BE'!$P$58</f>
        <v>0</v>
      </c>
      <c r="Q32" s="25">
        <f>'TUSD BE'!$Q$32*'TUSD BE'!$Q$58</f>
        <v>4.5395490201641877</v>
      </c>
      <c r="R32" s="25">
        <f>'TUSD BE'!$R$32*'TUSD BE'!$R$58</f>
        <v>0.4904446518285977</v>
      </c>
      <c r="S32" s="25">
        <f>'TUSD BE'!$R$32*'TUSD BE'!$S$58</f>
        <v>0</v>
      </c>
      <c r="T32" s="25">
        <f ca="1">SUM($L$32:$S$32)</f>
        <v>5.1603277060347841</v>
      </c>
      <c r="U32" s="25">
        <f>'TUSD BE'!$U$32*'TUSD BE'!$U$58</f>
        <v>0</v>
      </c>
      <c r="V32" s="25">
        <f>'TUSD BE'!$V$32*'TUSD BE'!$V$58</f>
        <v>0</v>
      </c>
      <c r="W32" s="25">
        <f>'TUSD BE'!$W$32*'TUSD BE'!$W$58</f>
        <v>0</v>
      </c>
      <c r="X32" s="25">
        <f>'TUSD BE'!$X$32*'TUSD BE'!$X$58</f>
        <v>0</v>
      </c>
      <c r="Y32" s="25">
        <f>'TUSD BE'!$Y$32*'TUSD BE'!$Y$58</f>
        <v>26.198710114217441</v>
      </c>
      <c r="Z32" s="25">
        <f>'TUSD BE'!$Z$32*'TUSD BE'!$Z$58</f>
        <v>0</v>
      </c>
      <c r="AA32" s="25">
        <f>'TUSD BE'!$AA$32*'TUSD BE'!$AA$58</f>
        <v>0</v>
      </c>
      <c r="AB32" s="25">
        <f>SUM($U$32:$AA$32)</f>
        <v>26.198710114217441</v>
      </c>
      <c r="AC32" s="25">
        <f>'TUSD BE'!$AC$32*'TUSD BE'!$AC$58</f>
        <v>-65.634926377058306</v>
      </c>
      <c r="AD32" s="25">
        <f>SUM($AC$32:$AC$32)</f>
        <v>-65.634926377058306</v>
      </c>
      <c r="AE32" s="25">
        <f ca="1">$AO$32*$AO$55</f>
        <v>0</v>
      </c>
      <c r="AF32" s="25">
        <f ca="1">$AP$32*$AP$55</f>
        <v>0</v>
      </c>
      <c r="AG32" s="25">
        <f ca="1">SUM($AE$32:$AF$32)</f>
        <v>0</v>
      </c>
      <c r="AH32" s="25">
        <f>'TUSD BE'!$AH$32*'TUSD BE'!$AH$58</f>
        <v>10.043493695383258</v>
      </c>
      <c r="AI32" s="25">
        <f>'TUSD BE'!$AI$32*'TUSD BE'!$AI$58</f>
        <v>0</v>
      </c>
      <c r="AJ32" s="25">
        <f ca="1">'TUSD BE'!$AJ$32*'TUSD BE'!$AJ$58</f>
        <v>0.934443579275541</v>
      </c>
      <c r="AK32" s="25">
        <f ca="1">'TUSD BE'!$AK$32*'TUSD BE'!$AK$58</f>
        <v>0</v>
      </c>
      <c r="AL32" s="25">
        <f ca="1">SUM($AH$32:$AK$32)</f>
        <v>10.9779372746588</v>
      </c>
      <c r="AM32" s="25">
        <f ca="1">SUMIF($L$4:$AL$4,"SUBTOTAL",$L$32:$AL$32)</f>
        <v>-23.297951282147281</v>
      </c>
      <c r="AO32" s="30">
        <f ca="1">+'TUSD BE'!$T$32+'TUSD BE'!$AB$32+'TUSD BE'!$AD$32+'TUSD BE'!$AL$32</f>
        <v>616.07115565079266</v>
      </c>
      <c r="AP32" s="30">
        <f ca="1">+'TUSD BE'!$T$32+'TUSD BE'!$AB$32+'TUSD BE'!$AD$32+'TUSD BE'!$AL$32</f>
        <v>616.07115565079266</v>
      </c>
    </row>
    <row r="33" spans="1:42" ht="11.25" customHeight="1" x14ac:dyDescent="0.25">
      <c r="A33" s="134"/>
      <c r="B33" s="28" t="s">
        <v>23</v>
      </c>
      <c r="C33" s="28" t="s">
        <v>44</v>
      </c>
      <c r="D33" s="28" t="s">
        <v>25</v>
      </c>
      <c r="E33" s="28" t="s">
        <v>25</v>
      </c>
      <c r="F33" s="28" t="s">
        <v>25</v>
      </c>
      <c r="G33" s="21" t="s">
        <v>75</v>
      </c>
      <c r="H33" s="21" t="s">
        <v>71</v>
      </c>
      <c r="I33" s="21">
        <f>'MERCADO TUSD'!$U$30</f>
        <v>3313.4050000000002</v>
      </c>
      <c r="J33" s="17"/>
      <c r="L33" s="25">
        <f>'TUSD BE'!$L$33*'TUSD BE'!$L$58</f>
        <v>0</v>
      </c>
      <c r="M33" s="25">
        <f>'TUSD BE'!$M$33*'TUSD BE'!$M$58</f>
        <v>0.13033403404199895</v>
      </c>
      <c r="N33" s="25">
        <f ca="1">'TUSD BE'!$N$33*'TUSD BE'!$N$58</f>
        <v>0</v>
      </c>
      <c r="O33" s="25">
        <f>'TUSD BE'!$O$33*'TUSD BE'!$O$58</f>
        <v>0</v>
      </c>
      <c r="P33" s="25">
        <f>'TUSD BE'!$P$33*'TUSD BE'!$P$58</f>
        <v>0</v>
      </c>
      <c r="Q33" s="25">
        <f>'TUSD BE'!$Q$33*'TUSD BE'!$Q$58</f>
        <v>4.5395490201641877</v>
      </c>
      <c r="R33" s="25">
        <f>'TUSD BE'!$R$33*'TUSD BE'!$R$58</f>
        <v>0.4904446518285977</v>
      </c>
      <c r="S33" s="25">
        <f>'TUSD BE'!$R$33*'TUSD BE'!$S$58</f>
        <v>0</v>
      </c>
      <c r="T33" s="25">
        <f ca="1">SUM($L$33:$S$33)</f>
        <v>5.1603277060347841</v>
      </c>
      <c r="U33" s="25">
        <f>'TUSD BE'!$U$33*'TUSD BE'!$U$58</f>
        <v>0</v>
      </c>
      <c r="V33" s="25">
        <f>'TUSD BE'!$V$33*'TUSD BE'!$V$58</f>
        <v>0</v>
      </c>
      <c r="W33" s="25">
        <f>'TUSD BE'!$W$33*'TUSD BE'!$W$58</f>
        <v>0</v>
      </c>
      <c r="X33" s="25">
        <f>'TUSD BE'!$X$33*'TUSD BE'!$X$58</f>
        <v>0</v>
      </c>
      <c r="Y33" s="25">
        <f>'TUSD BE'!$Y$33*'TUSD BE'!$Y$58</f>
        <v>50.382310905923134</v>
      </c>
      <c r="Z33" s="25">
        <f>'TUSD BE'!$Z$33*'TUSD BE'!$Z$58</f>
        <v>0</v>
      </c>
      <c r="AA33" s="25">
        <f>'TUSD BE'!$AA$33*'TUSD BE'!$AA$58</f>
        <v>0</v>
      </c>
      <c r="AB33" s="25">
        <f>SUM($U$33:$AA$33)</f>
        <v>50.382310905923134</v>
      </c>
      <c r="AC33" s="25">
        <f>'TUSD BE'!$AC$33*'TUSD BE'!$AC$58</f>
        <v>-126.2210317368359</v>
      </c>
      <c r="AD33" s="25">
        <f>SUM($AC$33:$AC$33)</f>
        <v>-126.2210317368359</v>
      </c>
      <c r="AE33" s="25">
        <f ca="1">$AO$33*$AO$55</f>
        <v>0</v>
      </c>
      <c r="AF33" s="25">
        <f ca="1">$AP$33*$AP$55</f>
        <v>0</v>
      </c>
      <c r="AG33" s="25">
        <f ca="1">SUM($AE$33:$AF$33)</f>
        <v>0</v>
      </c>
      <c r="AH33" s="25">
        <f>'TUSD BE'!$AH$33*'TUSD BE'!$AH$58</f>
        <v>10.043493695383258</v>
      </c>
      <c r="AI33" s="25">
        <f>'TUSD BE'!$AI$33*'TUSD BE'!$AI$58</f>
        <v>0</v>
      </c>
      <c r="AJ33" s="25">
        <f ca="1">'TUSD BE'!$AJ$33*'TUSD BE'!$AJ$58</f>
        <v>0.934443579275541</v>
      </c>
      <c r="AK33" s="25">
        <f ca="1">'TUSD BE'!$AK$33*'TUSD BE'!$AK$58</f>
        <v>0</v>
      </c>
      <c r="AL33" s="25">
        <f ca="1">SUM($AH$33:$AK$33)</f>
        <v>10.9779372746588</v>
      </c>
      <c r="AM33" s="25">
        <f ca="1">SUMIF($L$4:$AL$4,"SUBTOTAL",$L$33:$AL$33)</f>
        <v>-59.700455850219171</v>
      </c>
      <c r="AO33" s="30">
        <f ca="1">+'TUSD BE'!$T$33+'TUSD BE'!$AB$33+'TUSD BE'!$AD$33+'TUSD BE'!$AL$33</f>
        <v>1029.2229273331159</v>
      </c>
      <c r="AP33" s="30">
        <f ca="1">+'TUSD BE'!$T$33+'TUSD BE'!$AB$33+'TUSD BE'!$AD$33+'TUSD BE'!$AL$33</f>
        <v>1029.2229273331159</v>
      </c>
    </row>
    <row r="34" spans="1:42" ht="11.25" customHeight="1" x14ac:dyDescent="0.25">
      <c r="A34" s="134"/>
      <c r="B34" s="134" t="s">
        <v>37</v>
      </c>
      <c r="C34" s="134" t="s">
        <v>44</v>
      </c>
      <c r="D34" s="134" t="s">
        <v>87</v>
      </c>
      <c r="E34" s="134" t="s">
        <v>25</v>
      </c>
      <c r="F34" s="134" t="s">
        <v>25</v>
      </c>
      <c r="G34" s="21" t="s">
        <v>72</v>
      </c>
      <c r="H34" s="21" t="s">
        <v>71</v>
      </c>
      <c r="I34" s="21">
        <f>'MERCADO TUSD'!$U$31</f>
        <v>0</v>
      </c>
      <c r="J34" s="17"/>
      <c r="L34" s="25">
        <f>'TUSD BE'!$L$34*'TUSD BE'!$L$58</f>
        <v>0</v>
      </c>
      <c r="M34" s="25">
        <f>'TUSD BE'!$M$34*'TUSD BE'!$M$58</f>
        <v>0.13033403404199895</v>
      </c>
      <c r="N34" s="25">
        <f ca="1">'TUSD BE'!$N$34*'TUSD BE'!$N$58</f>
        <v>0</v>
      </c>
      <c r="O34" s="25">
        <f>'TUSD BE'!$O$34*'TUSD BE'!$O$58</f>
        <v>0</v>
      </c>
      <c r="P34" s="25">
        <f>'TUSD BE'!$P$34*'TUSD BE'!$P$58</f>
        <v>0</v>
      </c>
      <c r="Q34" s="25">
        <f>'TUSD BE'!$Q$34*'TUSD BE'!$Q$58</f>
        <v>4.5395490201641877</v>
      </c>
      <c r="R34" s="25">
        <f>'TUSD BE'!$R$34*'TUSD BE'!$R$58</f>
        <v>0.4904446518285977</v>
      </c>
      <c r="S34" s="25">
        <f>'TUSD BE'!$R$34*'TUSD BE'!$S$58</f>
        <v>0</v>
      </c>
      <c r="T34" s="25">
        <f ca="1">SUM($L$34:$S$34)</f>
        <v>5.1603277060347841</v>
      </c>
      <c r="U34" s="25">
        <f>'TUSD BE'!$U$34*'TUSD BE'!$U$58</f>
        <v>0</v>
      </c>
      <c r="V34" s="25">
        <f>'TUSD BE'!$V$34*'TUSD BE'!$V$58</f>
        <v>0</v>
      </c>
      <c r="W34" s="25">
        <f>'TUSD BE'!$W$34*'TUSD BE'!$W$58</f>
        <v>0</v>
      </c>
      <c r="X34" s="25">
        <f>'TUSD BE'!$X$34*'TUSD BE'!$X$58</f>
        <v>0</v>
      </c>
      <c r="Y34" s="25">
        <f>'TUSD BE'!$Y$34*'TUSD BE'!$Y$58</f>
        <v>130.99412280147837</v>
      </c>
      <c r="Z34" s="25">
        <f>'TUSD BE'!$Z$34*'TUSD BE'!$Z$58</f>
        <v>0</v>
      </c>
      <c r="AA34" s="25">
        <f>'TUSD BE'!$AA$34*'TUSD BE'!$AA$58</f>
        <v>0</v>
      </c>
      <c r="AB34" s="25">
        <f>SUM($U$34:$AA$34)</f>
        <v>130.99412280147837</v>
      </c>
      <c r="AC34" s="25">
        <f>'TUSD BE'!$AC$34*'TUSD BE'!$AC$58</f>
        <v>-328.1745812548096</v>
      </c>
      <c r="AD34" s="25">
        <f>SUM($AC$34:$AC$34)</f>
        <v>-328.1745812548096</v>
      </c>
      <c r="AE34" s="25">
        <f ca="1">$AO$34*$AO$55</f>
        <v>0</v>
      </c>
      <c r="AF34" s="25">
        <f ca="1">$AP$34*$AP$55</f>
        <v>0</v>
      </c>
      <c r="AG34" s="25">
        <f ca="1">SUM($AE$34:$AF$34)</f>
        <v>0</v>
      </c>
      <c r="AH34" s="25">
        <f>'TUSD BE'!$AH$34*'TUSD BE'!$AH$58</f>
        <v>10.043493695383258</v>
      </c>
      <c r="AI34" s="25">
        <f>'TUSD BE'!$AI$34*'TUSD BE'!$AI$58</f>
        <v>0</v>
      </c>
      <c r="AJ34" s="25">
        <f ca="1">'TUSD BE'!$AJ$34*'TUSD BE'!$AJ$58</f>
        <v>0.934443579275541</v>
      </c>
      <c r="AK34" s="25">
        <f ca="1">'TUSD BE'!$AK$34*'TUSD BE'!$AK$58</f>
        <v>0</v>
      </c>
      <c r="AL34" s="25">
        <f ca="1">SUM($AH$34:$AK$34)</f>
        <v>10.9779372746588</v>
      </c>
      <c r="AM34" s="25">
        <f ca="1">SUMIF($L$4:$AL$4,"SUBTOTAL",$L$34:$AL$34)</f>
        <v>-181.04219347263762</v>
      </c>
      <c r="AO34" s="30">
        <f ca="1">+'TUSD BE'!$T$34+'TUSD BE'!$AB$34+'TUSD BE'!$AD$34+'TUSD BE'!$AL$34</f>
        <v>2406.3940408431858</v>
      </c>
      <c r="AP34" s="30">
        <f ca="1">+'TUSD BE'!$T$34+'TUSD BE'!$AB$34+'TUSD BE'!$AD$34+'TUSD BE'!$AL$34</f>
        <v>2406.3940408431858</v>
      </c>
    </row>
    <row r="35" spans="1:42" ht="11.25" customHeight="1" x14ac:dyDescent="0.25">
      <c r="A35" s="134"/>
      <c r="B35" s="134"/>
      <c r="C35" s="134"/>
      <c r="D35" s="134"/>
      <c r="E35" s="134"/>
      <c r="F35" s="134"/>
      <c r="G35" s="21" t="s">
        <v>84</v>
      </c>
      <c r="H35" s="21" t="s">
        <v>71</v>
      </c>
      <c r="I35" s="21">
        <f>'MERCADO TUSD'!$U$32</f>
        <v>0</v>
      </c>
      <c r="J35" s="17"/>
      <c r="L35" s="25">
        <f>'TUSD BE'!$L$35*'TUSD BE'!$L$58</f>
        <v>0</v>
      </c>
      <c r="M35" s="25">
        <f>'TUSD BE'!$M$35*'TUSD BE'!$M$58</f>
        <v>0.13033403404199895</v>
      </c>
      <c r="N35" s="25">
        <f ca="1">'TUSD BE'!$N$35*'TUSD BE'!$N$58</f>
        <v>0</v>
      </c>
      <c r="O35" s="25">
        <f>'TUSD BE'!$O$35*'TUSD BE'!$O$58</f>
        <v>0</v>
      </c>
      <c r="P35" s="25">
        <f>'TUSD BE'!$P$35*'TUSD BE'!$P$58</f>
        <v>0</v>
      </c>
      <c r="Q35" s="25">
        <f>'TUSD BE'!$Q$35*'TUSD BE'!$Q$58</f>
        <v>4.5395490201641877</v>
      </c>
      <c r="R35" s="25">
        <f>'TUSD BE'!$R$35*'TUSD BE'!$R$58</f>
        <v>0.4904446518285977</v>
      </c>
      <c r="S35" s="25">
        <f>'TUSD BE'!$R$35*'TUSD BE'!$S$58</f>
        <v>0</v>
      </c>
      <c r="T35" s="25">
        <f ca="1">SUM($L$35:$S$35)</f>
        <v>5.1603277060347841</v>
      </c>
      <c r="U35" s="25">
        <f>'TUSD BE'!$U$35*'TUSD BE'!$U$58</f>
        <v>0</v>
      </c>
      <c r="V35" s="25">
        <f>'TUSD BE'!$V$35*'TUSD BE'!$V$58</f>
        <v>0</v>
      </c>
      <c r="W35" s="25">
        <f>'TUSD BE'!$W$35*'TUSD BE'!$W$58</f>
        <v>0</v>
      </c>
      <c r="X35" s="25">
        <f>'TUSD BE'!$X$35*'TUSD BE'!$X$58</f>
        <v>0</v>
      </c>
      <c r="Y35" s="25">
        <f>'TUSD BE'!$Y$35*'TUSD BE'!$Y$58</f>
        <v>78.596416457847909</v>
      </c>
      <c r="Z35" s="25">
        <f>'TUSD BE'!$Z$35*'TUSD BE'!$Z$58</f>
        <v>0</v>
      </c>
      <c r="AA35" s="25">
        <f>'TUSD BE'!$AA$35*'TUSD BE'!$AA$58</f>
        <v>0</v>
      </c>
      <c r="AB35" s="25">
        <f>SUM($U$35:$AA$35)</f>
        <v>78.596416457847909</v>
      </c>
      <c r="AC35" s="25">
        <f>'TUSD BE'!$AC$35*'TUSD BE'!$AC$58</f>
        <v>-196.90477913117488</v>
      </c>
      <c r="AD35" s="25">
        <f>SUM($AC$35:$AC$35)</f>
        <v>-196.90477913117488</v>
      </c>
      <c r="AE35" s="25">
        <f ca="1">$AO$35*$AO$55</f>
        <v>0</v>
      </c>
      <c r="AF35" s="25">
        <f ca="1">$AP$35*$AP$55</f>
        <v>0</v>
      </c>
      <c r="AG35" s="25">
        <f ca="1">SUM($AE$35:$AF$35)</f>
        <v>0</v>
      </c>
      <c r="AH35" s="25">
        <f>'TUSD BE'!$AH$35*'TUSD BE'!$AH$58</f>
        <v>10.043493695383258</v>
      </c>
      <c r="AI35" s="25">
        <f>'TUSD BE'!$AI$35*'TUSD BE'!$AI$58</f>
        <v>0</v>
      </c>
      <c r="AJ35" s="25">
        <f ca="1">'TUSD BE'!$AJ$35*'TUSD BE'!$AJ$58</f>
        <v>0.934443579275541</v>
      </c>
      <c r="AK35" s="25">
        <f ca="1">'TUSD BE'!$AK$35*'TUSD BE'!$AK$58</f>
        <v>0</v>
      </c>
      <c r="AL35" s="25">
        <f ca="1">SUM($AH$35:$AK$35)</f>
        <v>10.9779372746588</v>
      </c>
      <c r="AM35" s="25">
        <f ca="1">SUMIF($L$4:$AL$4,"SUBTOTAL",$L$35:$AL$35)</f>
        <v>-102.17009769263339</v>
      </c>
      <c r="AO35" s="30">
        <f ca="1">+'TUSD BE'!$T$35+'TUSD BE'!$AB$35+'TUSD BE'!$AD$35+'TUSD BE'!$AL$35</f>
        <v>1511.2327311480035</v>
      </c>
      <c r="AP35" s="30">
        <f ca="1">+'TUSD BE'!$T$35+'TUSD BE'!$AB$35+'TUSD BE'!$AD$35+'TUSD BE'!$AL$35</f>
        <v>1511.2327311480035</v>
      </c>
    </row>
    <row r="36" spans="1:42" ht="11.25" customHeight="1" x14ac:dyDescent="0.25">
      <c r="A36" s="134"/>
      <c r="B36" s="134"/>
      <c r="C36" s="134"/>
      <c r="D36" s="134"/>
      <c r="E36" s="134"/>
      <c r="F36" s="134"/>
      <c r="G36" s="21" t="s">
        <v>73</v>
      </c>
      <c r="H36" s="21" t="s">
        <v>71</v>
      </c>
      <c r="I36" s="21">
        <f>'MERCADO TUSD'!$U$33</f>
        <v>0</v>
      </c>
      <c r="J36" s="17"/>
      <c r="L36" s="25">
        <f>'TUSD BE'!$L$36*'TUSD BE'!$L$58</f>
        <v>0</v>
      </c>
      <c r="M36" s="25">
        <f>'TUSD BE'!$M$36*'TUSD BE'!$M$58</f>
        <v>0.13033403404199895</v>
      </c>
      <c r="N36" s="25">
        <f ca="1">'TUSD BE'!$N$36*'TUSD BE'!$N$58</f>
        <v>0</v>
      </c>
      <c r="O36" s="25">
        <f>'TUSD BE'!$O$36*'TUSD BE'!$O$58</f>
        <v>0</v>
      </c>
      <c r="P36" s="25">
        <f>'TUSD BE'!$P$36*'TUSD BE'!$P$58</f>
        <v>0</v>
      </c>
      <c r="Q36" s="25">
        <f>'TUSD BE'!$Q$36*'TUSD BE'!$Q$58</f>
        <v>4.5395490201641877</v>
      </c>
      <c r="R36" s="25">
        <f>'TUSD BE'!$R$36*'TUSD BE'!$R$58</f>
        <v>0.4904446518285977</v>
      </c>
      <c r="S36" s="25">
        <f>'TUSD BE'!$R$36*'TUSD BE'!$S$58</f>
        <v>0</v>
      </c>
      <c r="T36" s="25">
        <f ca="1">SUM($L$36:$S$36)</f>
        <v>5.1603277060347841</v>
      </c>
      <c r="U36" s="25">
        <f>'TUSD BE'!$U$36*'TUSD BE'!$U$58</f>
        <v>0</v>
      </c>
      <c r="V36" s="25">
        <f>'TUSD BE'!$V$36*'TUSD BE'!$V$58</f>
        <v>0</v>
      </c>
      <c r="W36" s="25">
        <f>'TUSD BE'!$W$36*'TUSD BE'!$W$58</f>
        <v>0</v>
      </c>
      <c r="X36" s="25">
        <f>'TUSD BE'!$X$36*'TUSD BE'!$X$58</f>
        <v>0</v>
      </c>
      <c r="Y36" s="25">
        <f>'TUSD BE'!$Y$36*'TUSD BE'!$Y$58</f>
        <v>26.198710114217441</v>
      </c>
      <c r="Z36" s="25">
        <f>'TUSD BE'!$Z$36*'TUSD BE'!$Z$58</f>
        <v>0</v>
      </c>
      <c r="AA36" s="25">
        <f>'TUSD BE'!$AA$36*'TUSD BE'!$AA$58</f>
        <v>0</v>
      </c>
      <c r="AB36" s="25">
        <f>SUM($U$36:$AA$36)</f>
        <v>26.198710114217441</v>
      </c>
      <c r="AC36" s="25">
        <f>'TUSD BE'!$AC$36*'TUSD BE'!$AC$58</f>
        <v>-65.634926377058306</v>
      </c>
      <c r="AD36" s="25">
        <f>SUM($AC$36:$AC$36)</f>
        <v>-65.634926377058306</v>
      </c>
      <c r="AE36" s="25">
        <f ca="1">$AO$36*$AO$55</f>
        <v>0</v>
      </c>
      <c r="AF36" s="25">
        <f ca="1">$AP$36*$AP$55</f>
        <v>0</v>
      </c>
      <c r="AG36" s="25">
        <f ca="1">SUM($AE$36:$AF$36)</f>
        <v>0</v>
      </c>
      <c r="AH36" s="25">
        <f>'TUSD BE'!$AH$36*'TUSD BE'!$AH$58</f>
        <v>10.043493695383258</v>
      </c>
      <c r="AI36" s="25">
        <f>'TUSD BE'!$AI$36*'TUSD BE'!$AI$58</f>
        <v>0</v>
      </c>
      <c r="AJ36" s="25">
        <f ca="1">'TUSD BE'!$AJ$36*'TUSD BE'!$AJ$58</f>
        <v>0.934443579275541</v>
      </c>
      <c r="AK36" s="25">
        <f ca="1">'TUSD BE'!$AK$36*'TUSD BE'!$AK$58</f>
        <v>0</v>
      </c>
      <c r="AL36" s="25">
        <f ca="1">SUM($AH$36:$AK$36)</f>
        <v>10.9779372746588</v>
      </c>
      <c r="AM36" s="25">
        <f ca="1">SUMIF($L$4:$AL$4,"SUBTOTAL",$L$36:$AL$36)</f>
        <v>-23.297951282147281</v>
      </c>
      <c r="AO36" s="30">
        <f ca="1">+'TUSD BE'!$T$36+'TUSD BE'!$AB$36+'TUSD BE'!$AD$36+'TUSD BE'!$AL$36</f>
        <v>616.07115565079266</v>
      </c>
      <c r="AP36" s="30">
        <f ca="1">+'TUSD BE'!$T$36+'TUSD BE'!$AB$36+'TUSD BE'!$AD$36+'TUSD BE'!$AL$36</f>
        <v>616.07115565079266</v>
      </c>
    </row>
    <row r="37" spans="1:42" ht="11.25" customHeight="1" x14ac:dyDescent="0.25">
      <c r="A37" s="134"/>
      <c r="B37" s="28" t="s">
        <v>23</v>
      </c>
      <c r="C37" s="28" t="s">
        <v>44</v>
      </c>
      <c r="D37" s="28" t="s">
        <v>87</v>
      </c>
      <c r="E37" s="28" t="s">
        <v>25</v>
      </c>
      <c r="F37" s="28" t="s">
        <v>25</v>
      </c>
      <c r="G37" s="21" t="s">
        <v>75</v>
      </c>
      <c r="H37" s="21" t="s">
        <v>71</v>
      </c>
      <c r="I37" s="21">
        <f>'MERCADO TUSD'!$U$34</f>
        <v>0</v>
      </c>
      <c r="J37" s="17"/>
      <c r="L37" s="25">
        <f>'TUSD BE'!$L$37*'TUSD BE'!$L$58</f>
        <v>0</v>
      </c>
      <c r="M37" s="25">
        <f>'TUSD BE'!$M$37*'TUSD BE'!$M$58</f>
        <v>0.13033403404199895</v>
      </c>
      <c r="N37" s="25">
        <f ca="1">'TUSD BE'!$N$37*'TUSD BE'!$N$58</f>
        <v>0</v>
      </c>
      <c r="O37" s="25">
        <f>'TUSD BE'!$O$37*'TUSD BE'!$O$58</f>
        <v>0</v>
      </c>
      <c r="P37" s="25">
        <f>'TUSD BE'!$P$37*'TUSD BE'!$P$58</f>
        <v>0</v>
      </c>
      <c r="Q37" s="25">
        <f>'TUSD BE'!$Q$37*'TUSD BE'!$Q$58</f>
        <v>4.5395490201641877</v>
      </c>
      <c r="R37" s="25">
        <f>'TUSD BE'!$R$37*'TUSD BE'!$R$58</f>
        <v>0.4904446518285977</v>
      </c>
      <c r="S37" s="25">
        <f>'TUSD BE'!$R$37*'TUSD BE'!$S$58</f>
        <v>0</v>
      </c>
      <c r="T37" s="25">
        <f ca="1">SUM($L$37:$S$37)</f>
        <v>5.1603277060347841</v>
      </c>
      <c r="U37" s="25">
        <f>'TUSD BE'!$U$37*'TUSD BE'!$U$58</f>
        <v>0</v>
      </c>
      <c r="V37" s="25">
        <f>'TUSD BE'!$V$37*'TUSD BE'!$V$58</f>
        <v>0</v>
      </c>
      <c r="W37" s="25">
        <f>'TUSD BE'!$W$37*'TUSD BE'!$W$58</f>
        <v>0</v>
      </c>
      <c r="X37" s="25">
        <f>'TUSD BE'!$X$37*'TUSD BE'!$X$58</f>
        <v>0</v>
      </c>
      <c r="Y37" s="25">
        <f>'TUSD BE'!$Y$37*'TUSD BE'!$Y$58</f>
        <v>50.382310905923134</v>
      </c>
      <c r="Z37" s="25">
        <f>'TUSD BE'!$Z$37*'TUSD BE'!$Z$58</f>
        <v>0</v>
      </c>
      <c r="AA37" s="25">
        <f>'TUSD BE'!$AA$37*'TUSD BE'!$AA$58</f>
        <v>0</v>
      </c>
      <c r="AB37" s="25">
        <f>SUM($U$37:$AA$37)</f>
        <v>50.382310905923134</v>
      </c>
      <c r="AC37" s="25">
        <f>'TUSD BE'!$AC$37*'TUSD BE'!$AC$58</f>
        <v>-126.2210317368359</v>
      </c>
      <c r="AD37" s="25">
        <f>SUM($AC$37:$AC$37)</f>
        <v>-126.2210317368359</v>
      </c>
      <c r="AE37" s="25">
        <f ca="1">$AO$37*$AO$55</f>
        <v>0</v>
      </c>
      <c r="AF37" s="25">
        <f ca="1">$AP$37*$AP$55</f>
        <v>0</v>
      </c>
      <c r="AG37" s="25">
        <f ca="1">SUM($AE$37:$AF$37)</f>
        <v>0</v>
      </c>
      <c r="AH37" s="25">
        <f>'TUSD BE'!$AH$37*'TUSD BE'!$AH$58</f>
        <v>10.043493695383258</v>
      </c>
      <c r="AI37" s="25">
        <f>'TUSD BE'!$AI$37*'TUSD BE'!$AI$58</f>
        <v>0</v>
      </c>
      <c r="AJ37" s="25">
        <f ca="1">'TUSD BE'!$AJ$37*'TUSD BE'!$AJ$58</f>
        <v>0.934443579275541</v>
      </c>
      <c r="AK37" s="25">
        <f ca="1">'TUSD BE'!$AK$37*'TUSD BE'!$AK$58</f>
        <v>0</v>
      </c>
      <c r="AL37" s="25">
        <f ca="1">SUM($AH$37:$AK$37)</f>
        <v>10.9779372746588</v>
      </c>
      <c r="AM37" s="25">
        <f ca="1">SUMIF($L$4:$AL$4,"SUBTOTAL",$L$37:$AL$37)</f>
        <v>-59.700455850219171</v>
      </c>
      <c r="AO37" s="30">
        <f ca="1">+'TUSD BE'!$T$37+'TUSD BE'!$AB$37+'TUSD BE'!$AD$37+'TUSD BE'!$AL$37</f>
        <v>1029.2229273331159</v>
      </c>
      <c r="AP37" s="30">
        <f ca="1">+'TUSD BE'!$T$37+'TUSD BE'!$AB$37+'TUSD BE'!$AD$37+'TUSD BE'!$AL$37</f>
        <v>1029.2229273331159</v>
      </c>
    </row>
    <row r="38" spans="1:42" ht="11.25" customHeight="1" x14ac:dyDescent="0.25">
      <c r="A38" s="134"/>
      <c r="B38" s="134" t="s">
        <v>37</v>
      </c>
      <c r="C38" s="134" t="s">
        <v>44</v>
      </c>
      <c r="D38" s="134" t="s">
        <v>88</v>
      </c>
      <c r="E38" s="134" t="s">
        <v>25</v>
      </c>
      <c r="F38" s="134" t="s">
        <v>25</v>
      </c>
      <c r="G38" s="21" t="s">
        <v>72</v>
      </c>
      <c r="H38" s="21" t="s">
        <v>71</v>
      </c>
      <c r="I38" s="21">
        <f>'MERCADO TUSD'!$U$35</f>
        <v>0</v>
      </c>
      <c r="J38" s="17"/>
      <c r="L38" s="25">
        <f>'TUSD BE'!$L$38*'TUSD BE'!$L$58</f>
        <v>0</v>
      </c>
      <c r="M38" s="25">
        <f>'TUSD BE'!$M$38*'TUSD BE'!$M$58</f>
        <v>0.13033403404199895</v>
      </c>
      <c r="N38" s="25">
        <f ca="1">'TUSD BE'!$N$38*'TUSD BE'!$N$58</f>
        <v>0</v>
      </c>
      <c r="O38" s="25">
        <f>'TUSD BE'!$O$38*'TUSD BE'!$O$58</f>
        <v>0</v>
      </c>
      <c r="P38" s="25">
        <f>'TUSD BE'!$P$38*'TUSD BE'!$P$58</f>
        <v>0</v>
      </c>
      <c r="Q38" s="25">
        <f>'TUSD BE'!$Q$38*'TUSD BE'!$Q$58</f>
        <v>4.5395490201641877</v>
      </c>
      <c r="R38" s="25">
        <f>'TUSD BE'!$R$38*'TUSD BE'!$R$58</f>
        <v>0.4904446518285977</v>
      </c>
      <c r="S38" s="25">
        <f>'TUSD BE'!$R$38*'TUSD BE'!$S$58</f>
        <v>0</v>
      </c>
      <c r="T38" s="25">
        <f ca="1">SUM($L$38:$S$38)</f>
        <v>5.1603277060347841</v>
      </c>
      <c r="U38" s="25">
        <f>'TUSD BE'!$U$38*'TUSD BE'!$U$58</f>
        <v>0</v>
      </c>
      <c r="V38" s="25">
        <f>'TUSD BE'!$V$38*'TUSD BE'!$V$58</f>
        <v>0</v>
      </c>
      <c r="W38" s="25">
        <f>'TUSD BE'!$W$38*'TUSD BE'!$W$58</f>
        <v>0</v>
      </c>
      <c r="X38" s="25">
        <f>'TUSD BE'!$X$38*'TUSD BE'!$X$58</f>
        <v>0</v>
      </c>
      <c r="Y38" s="25">
        <f>'TUSD BE'!$Y$38*'TUSD BE'!$Y$58</f>
        <v>130.99412280147837</v>
      </c>
      <c r="Z38" s="25">
        <f>'TUSD BE'!$Z$38*'TUSD BE'!$Z$58</f>
        <v>0</v>
      </c>
      <c r="AA38" s="25">
        <f>'TUSD BE'!$AA$38*'TUSD BE'!$AA$58</f>
        <v>0</v>
      </c>
      <c r="AB38" s="25">
        <f>SUM($U$38:$AA$38)</f>
        <v>130.99412280147837</v>
      </c>
      <c r="AC38" s="25">
        <f>'TUSD BE'!$AC$38*'TUSD BE'!$AC$58</f>
        <v>-328.1745812548096</v>
      </c>
      <c r="AD38" s="25">
        <f>SUM($AC$38:$AC$38)</f>
        <v>-328.1745812548096</v>
      </c>
      <c r="AE38" s="25">
        <f ca="1">$AO$38*$AO$55</f>
        <v>0</v>
      </c>
      <c r="AF38" s="25">
        <f ca="1">$AP$38*$AP$55</f>
        <v>0</v>
      </c>
      <c r="AG38" s="25">
        <f ca="1">SUM($AE$38:$AF$38)</f>
        <v>0</v>
      </c>
      <c r="AH38" s="25">
        <f>'TUSD BE'!$AH$38*'TUSD BE'!$AH$58</f>
        <v>10.043493695383258</v>
      </c>
      <c r="AI38" s="25">
        <f>'TUSD BE'!$AI$38*'TUSD BE'!$AI$58</f>
        <v>0</v>
      </c>
      <c r="AJ38" s="25">
        <f ca="1">'TUSD BE'!$AJ$38*'TUSD BE'!$AJ$58</f>
        <v>0.934443579275541</v>
      </c>
      <c r="AK38" s="25">
        <f ca="1">'TUSD BE'!$AK$38*'TUSD BE'!$AK$58</f>
        <v>0</v>
      </c>
      <c r="AL38" s="25">
        <f ca="1">SUM($AH$38:$AK$38)</f>
        <v>10.9779372746588</v>
      </c>
      <c r="AM38" s="25">
        <f ca="1">SUMIF($L$4:$AL$4,"SUBTOTAL",$L$38:$AL$38)</f>
        <v>-181.04219347263762</v>
      </c>
      <c r="AO38" s="30">
        <f ca="1">+'TUSD BE'!$T$38+'TUSD BE'!$AB$38+'TUSD BE'!$AD$38+'TUSD BE'!$AL$38</f>
        <v>2406.3940408431858</v>
      </c>
      <c r="AP38" s="30">
        <f ca="1">+'TUSD BE'!$T$38+'TUSD BE'!$AB$38+'TUSD BE'!$AD$38+'TUSD BE'!$AL$38</f>
        <v>2406.3940408431858</v>
      </c>
    </row>
    <row r="39" spans="1:42" ht="11.25" customHeight="1" x14ac:dyDescent="0.25">
      <c r="A39" s="134"/>
      <c r="B39" s="134"/>
      <c r="C39" s="134"/>
      <c r="D39" s="134"/>
      <c r="E39" s="134"/>
      <c r="F39" s="134"/>
      <c r="G39" s="21" t="s">
        <v>84</v>
      </c>
      <c r="H39" s="21" t="s">
        <v>71</v>
      </c>
      <c r="I39" s="21">
        <f>'MERCADO TUSD'!$U$36</f>
        <v>0</v>
      </c>
      <c r="J39" s="17"/>
      <c r="L39" s="25">
        <f>'TUSD BE'!$L$39*'TUSD BE'!$L$58</f>
        <v>0</v>
      </c>
      <c r="M39" s="25">
        <f>'TUSD BE'!$M$39*'TUSD BE'!$M$58</f>
        <v>0.13033403404199895</v>
      </c>
      <c r="N39" s="25">
        <f ca="1">'TUSD BE'!$N$39*'TUSD BE'!$N$58</f>
        <v>0</v>
      </c>
      <c r="O39" s="25">
        <f>'TUSD BE'!$O$39*'TUSD BE'!$O$58</f>
        <v>0</v>
      </c>
      <c r="P39" s="25">
        <f>'TUSD BE'!$P$39*'TUSD BE'!$P$58</f>
        <v>0</v>
      </c>
      <c r="Q39" s="25">
        <f>'TUSD BE'!$Q$39*'TUSD BE'!$Q$58</f>
        <v>4.5395490201641877</v>
      </c>
      <c r="R39" s="25">
        <f>'TUSD BE'!$R$39*'TUSD BE'!$R$58</f>
        <v>0.4904446518285977</v>
      </c>
      <c r="S39" s="25">
        <f>'TUSD BE'!$R$39*'TUSD BE'!$S$58</f>
        <v>0</v>
      </c>
      <c r="T39" s="25">
        <f ca="1">SUM($L$39:$S$39)</f>
        <v>5.1603277060347841</v>
      </c>
      <c r="U39" s="25">
        <f>'TUSD BE'!$U$39*'TUSD BE'!$U$58</f>
        <v>0</v>
      </c>
      <c r="V39" s="25">
        <f>'TUSD BE'!$V$39*'TUSD BE'!$V$58</f>
        <v>0</v>
      </c>
      <c r="W39" s="25">
        <f>'TUSD BE'!$W$39*'TUSD BE'!$W$58</f>
        <v>0</v>
      </c>
      <c r="X39" s="25">
        <f>'TUSD BE'!$X$39*'TUSD BE'!$X$58</f>
        <v>0</v>
      </c>
      <c r="Y39" s="25">
        <f>'TUSD BE'!$Y$39*'TUSD BE'!$Y$58</f>
        <v>78.596416457847909</v>
      </c>
      <c r="Z39" s="25">
        <f>'TUSD BE'!$Z$39*'TUSD BE'!$Z$58</f>
        <v>0</v>
      </c>
      <c r="AA39" s="25">
        <f>'TUSD BE'!$AA$39*'TUSD BE'!$AA$58</f>
        <v>0</v>
      </c>
      <c r="AB39" s="25">
        <f>SUM($U$39:$AA$39)</f>
        <v>78.596416457847909</v>
      </c>
      <c r="AC39" s="25">
        <f>'TUSD BE'!$AC$39*'TUSD BE'!$AC$58</f>
        <v>-196.90477913117488</v>
      </c>
      <c r="AD39" s="25">
        <f>SUM($AC$39:$AC$39)</f>
        <v>-196.90477913117488</v>
      </c>
      <c r="AE39" s="25">
        <f ca="1">$AO$39*$AO$55</f>
        <v>0</v>
      </c>
      <c r="AF39" s="25">
        <f ca="1">$AP$39*$AP$55</f>
        <v>0</v>
      </c>
      <c r="AG39" s="25">
        <f ca="1">SUM($AE$39:$AF$39)</f>
        <v>0</v>
      </c>
      <c r="AH39" s="25">
        <f>'TUSD BE'!$AH$39*'TUSD BE'!$AH$58</f>
        <v>10.043493695383258</v>
      </c>
      <c r="AI39" s="25">
        <f>'TUSD BE'!$AI$39*'TUSD BE'!$AI$58</f>
        <v>0</v>
      </c>
      <c r="AJ39" s="25">
        <f ca="1">'TUSD BE'!$AJ$39*'TUSD BE'!$AJ$58</f>
        <v>0.934443579275541</v>
      </c>
      <c r="AK39" s="25">
        <f ca="1">'TUSD BE'!$AK$39*'TUSD BE'!$AK$58</f>
        <v>0</v>
      </c>
      <c r="AL39" s="25">
        <f ca="1">SUM($AH$39:$AK$39)</f>
        <v>10.9779372746588</v>
      </c>
      <c r="AM39" s="25">
        <f ca="1">SUMIF($L$4:$AL$4,"SUBTOTAL",$L$39:$AL$39)</f>
        <v>-102.17009769263339</v>
      </c>
      <c r="AO39" s="30">
        <f ca="1">+'TUSD BE'!$T$39+'TUSD BE'!$AB$39+'TUSD BE'!$AD$39+'TUSD BE'!$AL$39</f>
        <v>1511.2327311480035</v>
      </c>
      <c r="AP39" s="30">
        <f ca="1">+'TUSD BE'!$T$39+'TUSD BE'!$AB$39+'TUSD BE'!$AD$39+'TUSD BE'!$AL$39</f>
        <v>1511.2327311480035</v>
      </c>
    </row>
    <row r="40" spans="1:42" ht="11.25" customHeight="1" x14ac:dyDescent="0.25">
      <c r="A40" s="134"/>
      <c r="B40" s="134"/>
      <c r="C40" s="134"/>
      <c r="D40" s="134"/>
      <c r="E40" s="134"/>
      <c r="F40" s="134"/>
      <c r="G40" s="21" t="s">
        <v>73</v>
      </c>
      <c r="H40" s="21" t="s">
        <v>71</v>
      </c>
      <c r="I40" s="21">
        <f>'MERCADO TUSD'!$U$37</f>
        <v>0</v>
      </c>
      <c r="J40" s="17"/>
      <c r="L40" s="25">
        <f>'TUSD BE'!$L$40*'TUSD BE'!$L$58</f>
        <v>0</v>
      </c>
      <c r="M40" s="25">
        <f>'TUSD BE'!$M$40*'TUSD BE'!$M$58</f>
        <v>0.13033403404199895</v>
      </c>
      <c r="N40" s="25">
        <f ca="1">'TUSD BE'!$N$40*'TUSD BE'!$N$58</f>
        <v>0</v>
      </c>
      <c r="O40" s="25">
        <f>'TUSD BE'!$O$40*'TUSD BE'!$O$58</f>
        <v>0</v>
      </c>
      <c r="P40" s="25">
        <f>'TUSD BE'!$P$40*'TUSD BE'!$P$58</f>
        <v>0</v>
      </c>
      <c r="Q40" s="25">
        <f>'TUSD BE'!$Q$40*'TUSD BE'!$Q$58</f>
        <v>4.5395490201641877</v>
      </c>
      <c r="R40" s="25">
        <f>'TUSD BE'!$R$40*'TUSD BE'!$R$58</f>
        <v>0.4904446518285977</v>
      </c>
      <c r="S40" s="25">
        <f>'TUSD BE'!$R$40*'TUSD BE'!$S$58</f>
        <v>0</v>
      </c>
      <c r="T40" s="25">
        <f ca="1">SUM($L$40:$S$40)</f>
        <v>5.1603277060347841</v>
      </c>
      <c r="U40" s="25">
        <f>'TUSD BE'!$U$40*'TUSD BE'!$U$58</f>
        <v>0</v>
      </c>
      <c r="V40" s="25">
        <f>'TUSD BE'!$V$40*'TUSD BE'!$V$58</f>
        <v>0</v>
      </c>
      <c r="W40" s="25">
        <f>'TUSD BE'!$W$40*'TUSD BE'!$W$58</f>
        <v>0</v>
      </c>
      <c r="X40" s="25">
        <f>'TUSD BE'!$X$40*'TUSD BE'!$X$58</f>
        <v>0</v>
      </c>
      <c r="Y40" s="25">
        <f>'TUSD BE'!$Y$40*'TUSD BE'!$Y$58</f>
        <v>26.198710114217441</v>
      </c>
      <c r="Z40" s="25">
        <f>'TUSD BE'!$Z$40*'TUSD BE'!$Z$58</f>
        <v>0</v>
      </c>
      <c r="AA40" s="25">
        <f>'TUSD BE'!$AA$40*'TUSD BE'!$AA$58</f>
        <v>0</v>
      </c>
      <c r="AB40" s="25">
        <f>SUM($U$40:$AA$40)</f>
        <v>26.198710114217441</v>
      </c>
      <c r="AC40" s="25">
        <f>'TUSD BE'!$AC$40*'TUSD BE'!$AC$58</f>
        <v>-65.634926377058306</v>
      </c>
      <c r="AD40" s="25">
        <f>SUM($AC$40:$AC$40)</f>
        <v>-65.634926377058306</v>
      </c>
      <c r="AE40" s="25">
        <f ca="1">$AO$40*$AO$55</f>
        <v>0</v>
      </c>
      <c r="AF40" s="25">
        <f ca="1">$AP$40*$AP$55</f>
        <v>0</v>
      </c>
      <c r="AG40" s="25">
        <f ca="1">SUM($AE$40:$AF$40)</f>
        <v>0</v>
      </c>
      <c r="AH40" s="25">
        <f>'TUSD BE'!$AH$40*'TUSD BE'!$AH$58</f>
        <v>10.043493695383258</v>
      </c>
      <c r="AI40" s="25">
        <f>'TUSD BE'!$AI$40*'TUSD BE'!$AI$58</f>
        <v>0</v>
      </c>
      <c r="AJ40" s="25">
        <f ca="1">'TUSD BE'!$AJ$40*'TUSD BE'!$AJ$58</f>
        <v>0.934443579275541</v>
      </c>
      <c r="AK40" s="25">
        <f ca="1">'TUSD BE'!$AK$40*'TUSD BE'!$AK$58</f>
        <v>0</v>
      </c>
      <c r="AL40" s="25">
        <f ca="1">SUM($AH$40:$AK$40)</f>
        <v>10.9779372746588</v>
      </c>
      <c r="AM40" s="25">
        <f ca="1">SUMIF($L$4:$AL$4,"SUBTOTAL",$L$40:$AL$40)</f>
        <v>-23.297951282147281</v>
      </c>
      <c r="AO40" s="30">
        <f ca="1">+'TUSD BE'!$T$40+'TUSD BE'!$AB$40+'TUSD BE'!$AD$40+'TUSD BE'!$AL$40</f>
        <v>616.07115565079266</v>
      </c>
      <c r="AP40" s="30">
        <f ca="1">+'TUSD BE'!$T$40+'TUSD BE'!$AB$40+'TUSD BE'!$AD$40+'TUSD BE'!$AL$40</f>
        <v>616.07115565079266</v>
      </c>
    </row>
    <row r="41" spans="1:42" ht="11.25" customHeight="1" x14ac:dyDescent="0.25">
      <c r="A41" s="134"/>
      <c r="B41" s="28" t="s">
        <v>23</v>
      </c>
      <c r="C41" s="28" t="s">
        <v>44</v>
      </c>
      <c r="D41" s="28" t="s">
        <v>88</v>
      </c>
      <c r="E41" s="28" t="s">
        <v>25</v>
      </c>
      <c r="F41" s="28" t="s">
        <v>25</v>
      </c>
      <c r="G41" s="21" t="s">
        <v>75</v>
      </c>
      <c r="H41" s="21" t="s">
        <v>71</v>
      </c>
      <c r="I41" s="21">
        <f>'MERCADO TUSD'!$U$38</f>
        <v>0</v>
      </c>
      <c r="J41" s="17"/>
      <c r="L41" s="25">
        <f>'TUSD BE'!$L$41*'TUSD BE'!$L$58</f>
        <v>0</v>
      </c>
      <c r="M41" s="25">
        <f>'TUSD BE'!$M$41*'TUSD BE'!$M$58</f>
        <v>0.13033403404199895</v>
      </c>
      <c r="N41" s="25">
        <f ca="1">'TUSD BE'!$N$41*'TUSD BE'!$N$58</f>
        <v>0</v>
      </c>
      <c r="O41" s="25">
        <f>'TUSD BE'!$O$41*'TUSD BE'!$O$58</f>
        <v>0</v>
      </c>
      <c r="P41" s="25">
        <f>'TUSD BE'!$P$41*'TUSD BE'!$P$58</f>
        <v>0</v>
      </c>
      <c r="Q41" s="25">
        <f>'TUSD BE'!$Q$41*'TUSD BE'!$Q$58</f>
        <v>4.5395490201641877</v>
      </c>
      <c r="R41" s="25">
        <f>'TUSD BE'!$R$41*'TUSD BE'!$R$58</f>
        <v>0.4904446518285977</v>
      </c>
      <c r="S41" s="25">
        <f>'TUSD BE'!$R$41*'TUSD BE'!$S$58</f>
        <v>0</v>
      </c>
      <c r="T41" s="25">
        <f ca="1">SUM($L$41:$S$41)</f>
        <v>5.1603277060347841</v>
      </c>
      <c r="U41" s="25">
        <f>'TUSD BE'!$U$41*'TUSD BE'!$U$58</f>
        <v>0</v>
      </c>
      <c r="V41" s="25">
        <f>'TUSD BE'!$V$41*'TUSD BE'!$V$58</f>
        <v>0</v>
      </c>
      <c r="W41" s="25">
        <f>'TUSD BE'!$W$41*'TUSD BE'!$W$58</f>
        <v>0</v>
      </c>
      <c r="X41" s="25">
        <f>'TUSD BE'!$X$41*'TUSD BE'!$X$58</f>
        <v>0</v>
      </c>
      <c r="Y41" s="25">
        <f>'TUSD BE'!$Y$41*'TUSD BE'!$Y$58</f>
        <v>50.382310905923134</v>
      </c>
      <c r="Z41" s="25">
        <f>'TUSD BE'!$Z$41*'TUSD BE'!$Z$58</f>
        <v>0</v>
      </c>
      <c r="AA41" s="25">
        <f>'TUSD BE'!$AA$41*'TUSD BE'!$AA$58</f>
        <v>0</v>
      </c>
      <c r="AB41" s="25">
        <f>SUM($U$41:$AA$41)</f>
        <v>50.382310905923134</v>
      </c>
      <c r="AC41" s="25">
        <f>'TUSD BE'!$AC$41*'TUSD BE'!$AC$58</f>
        <v>-126.2210317368359</v>
      </c>
      <c r="AD41" s="25">
        <f>SUM($AC$41:$AC$41)</f>
        <v>-126.2210317368359</v>
      </c>
      <c r="AE41" s="25">
        <f ca="1">$AO$41*$AO$55</f>
        <v>0</v>
      </c>
      <c r="AF41" s="25">
        <f ca="1">$AP$41*$AP$55</f>
        <v>0</v>
      </c>
      <c r="AG41" s="25">
        <f ca="1">SUM($AE$41:$AF$41)</f>
        <v>0</v>
      </c>
      <c r="AH41" s="25">
        <f>'TUSD BE'!$AH$41*'TUSD BE'!$AH$58</f>
        <v>10.043493695383258</v>
      </c>
      <c r="AI41" s="25">
        <f>'TUSD BE'!$AI$41*'TUSD BE'!$AI$58</f>
        <v>0</v>
      </c>
      <c r="AJ41" s="25">
        <f ca="1">'TUSD BE'!$AJ$41*'TUSD BE'!$AJ$58</f>
        <v>0.934443579275541</v>
      </c>
      <c r="AK41" s="25">
        <f ca="1">'TUSD BE'!$AK$41*'TUSD BE'!$AK$58</f>
        <v>0</v>
      </c>
      <c r="AL41" s="25">
        <f ca="1">SUM($AH$41:$AK$41)</f>
        <v>10.9779372746588</v>
      </c>
      <c r="AM41" s="25">
        <f ca="1">SUMIF($L$4:$AL$4,"SUBTOTAL",$L$41:$AL$41)</f>
        <v>-59.700455850219171</v>
      </c>
      <c r="AO41" s="30">
        <f ca="1">+'TUSD BE'!$T$41+'TUSD BE'!$AB$41+'TUSD BE'!$AD$41+'TUSD BE'!$AL$41</f>
        <v>1029.2229273331159</v>
      </c>
      <c r="AP41" s="30">
        <f ca="1">+'TUSD BE'!$T$41+'TUSD BE'!$AB$41+'TUSD BE'!$AD$41+'TUSD BE'!$AL$41</f>
        <v>1029.2229273331159</v>
      </c>
    </row>
    <row r="42" spans="1:42" ht="11.25" customHeight="1" x14ac:dyDescent="0.25">
      <c r="A42" s="134"/>
      <c r="B42" s="134" t="s">
        <v>86</v>
      </c>
      <c r="C42" s="134" t="s">
        <v>44</v>
      </c>
      <c r="D42" s="28" t="s">
        <v>25</v>
      </c>
      <c r="E42" s="28" t="s">
        <v>25</v>
      </c>
      <c r="F42" s="28" t="s">
        <v>25</v>
      </c>
      <c r="G42" s="21" t="s">
        <v>75</v>
      </c>
      <c r="H42" s="21" t="s">
        <v>71</v>
      </c>
      <c r="I42" s="21">
        <f>'MERCADO TUSD'!$U$39</f>
        <v>0</v>
      </c>
      <c r="J42" s="17"/>
      <c r="L42" s="25">
        <f>'TUSD BE'!$L$42*'TUSD BE'!$L$58</f>
        <v>0</v>
      </c>
      <c r="M42" s="25">
        <f>'TUSD BE'!$M$42*'TUSD BE'!$M$58</f>
        <v>0.13033403404199895</v>
      </c>
      <c r="N42" s="25">
        <f ca="1">'TUSD BE'!$N$42*'TUSD BE'!$N$58</f>
        <v>0</v>
      </c>
      <c r="O42" s="25">
        <f>'TUSD BE'!$O$42*'TUSD BE'!$O$58</f>
        <v>0</v>
      </c>
      <c r="P42" s="25">
        <f>'TUSD BE'!$P$42*'TUSD BE'!$P$58</f>
        <v>0</v>
      </c>
      <c r="Q42" s="25">
        <f>'TUSD BE'!$Q$42*'TUSD BE'!$Q$58</f>
        <v>4.5395490201641877</v>
      </c>
      <c r="R42" s="25">
        <f>'TUSD BE'!$R$42*'TUSD BE'!$R$58</f>
        <v>0.4904446518285977</v>
      </c>
      <c r="S42" s="25">
        <f>'TUSD BE'!$R$42*'TUSD BE'!$S$58</f>
        <v>0</v>
      </c>
      <c r="T42" s="25">
        <f ca="1">SUM($L$42:$S$42)</f>
        <v>5.1603277060347841</v>
      </c>
      <c r="U42" s="25">
        <f>'TUSD BE'!$U$42*'TUSD BE'!$U$58</f>
        <v>0</v>
      </c>
      <c r="V42" s="25">
        <f>'TUSD BE'!$V$42*'TUSD BE'!$V$58</f>
        <v>0</v>
      </c>
      <c r="W42" s="25">
        <f>'TUSD BE'!$W$42*'TUSD BE'!$W$58</f>
        <v>0</v>
      </c>
      <c r="X42" s="25">
        <f>'TUSD BE'!$X$42*'TUSD BE'!$X$58</f>
        <v>0</v>
      </c>
      <c r="Y42" s="25">
        <f>'TUSD BE'!$Y$42*'TUSD BE'!$Y$58</f>
        <v>50.382310905923134</v>
      </c>
      <c r="Z42" s="25">
        <f>'TUSD BE'!$Z$42*'TUSD BE'!$Z$58</f>
        <v>0</v>
      </c>
      <c r="AA42" s="25">
        <f>'TUSD BE'!$AA$42*'TUSD BE'!$AA$58</f>
        <v>0</v>
      </c>
      <c r="AB42" s="25">
        <f>SUM($U$42:$AA$42)</f>
        <v>50.382310905923134</v>
      </c>
      <c r="AC42" s="25">
        <f>'TUSD BE'!$AC$42*'TUSD BE'!$AC$58</f>
        <v>-126.2210317368359</v>
      </c>
      <c r="AD42" s="25">
        <f>SUM($AC$42:$AC$42)</f>
        <v>-126.2210317368359</v>
      </c>
      <c r="AE42" s="25">
        <f ca="1">$AO$42*$AO$55</f>
        <v>0</v>
      </c>
      <c r="AF42" s="25">
        <f ca="1">$AP$42*$AP$55</f>
        <v>0</v>
      </c>
      <c r="AG42" s="25">
        <f ca="1">SUM($AE$42:$AF$42)</f>
        <v>0</v>
      </c>
      <c r="AH42" s="25">
        <f>'TUSD BE'!$AH$42*'TUSD BE'!$AH$58</f>
        <v>10.043493695383258</v>
      </c>
      <c r="AI42" s="25">
        <f>'TUSD BE'!$AI$42*'TUSD BE'!$AI$58</f>
        <v>0</v>
      </c>
      <c r="AJ42" s="25">
        <f ca="1">'TUSD BE'!$AJ$42*'TUSD BE'!$AJ$58</f>
        <v>0.934443579275541</v>
      </c>
      <c r="AK42" s="25">
        <f ca="1">'TUSD BE'!$AK$42*'TUSD BE'!$AK$58</f>
        <v>0</v>
      </c>
      <c r="AL42" s="25">
        <f ca="1">SUM($AH$42:$AK$42)</f>
        <v>10.9779372746588</v>
      </c>
      <c r="AM42" s="25">
        <f ca="1">SUMIF($L$4:$AL$4,"SUBTOTAL",$L$42:$AL$42)</f>
        <v>-59.700455850219171</v>
      </c>
      <c r="AO42" s="30">
        <f ca="1">+'TUSD BE'!$T$42+'TUSD BE'!$AB$42+'TUSD BE'!$AD$42+'TUSD BE'!$AL$42</f>
        <v>1029.2229273331159</v>
      </c>
      <c r="AP42" s="30">
        <f ca="1">+'TUSD BE'!$T$42+'TUSD BE'!$AB$42+'TUSD BE'!$AD$42+'TUSD BE'!$AL$42</f>
        <v>1029.2229273331159</v>
      </c>
    </row>
    <row r="43" spans="1:42" ht="11.25" customHeight="1" x14ac:dyDescent="0.25">
      <c r="A43" s="134"/>
      <c r="B43" s="134"/>
      <c r="C43" s="134"/>
      <c r="D43" s="28" t="s">
        <v>87</v>
      </c>
      <c r="E43" s="28" t="s">
        <v>25</v>
      </c>
      <c r="F43" s="28" t="s">
        <v>25</v>
      </c>
      <c r="G43" s="21" t="s">
        <v>75</v>
      </c>
      <c r="H43" s="21" t="s">
        <v>71</v>
      </c>
      <c r="I43" s="21">
        <f>'MERCADO TUSD'!$U$40</f>
        <v>0</v>
      </c>
      <c r="J43" s="17"/>
      <c r="L43" s="25">
        <f>'TUSD BE'!$L$43*'TUSD BE'!$L$58</f>
        <v>0</v>
      </c>
      <c r="M43" s="25">
        <f>'TUSD BE'!$M$43*'TUSD BE'!$M$58</f>
        <v>0.13033403404199895</v>
      </c>
      <c r="N43" s="25">
        <f ca="1">'TUSD BE'!$N$43*'TUSD BE'!$N$58</f>
        <v>0</v>
      </c>
      <c r="O43" s="25">
        <f>'TUSD BE'!$O$43*'TUSD BE'!$O$58</f>
        <v>0</v>
      </c>
      <c r="P43" s="25">
        <f>'TUSD BE'!$P$43*'TUSD BE'!$P$58</f>
        <v>0</v>
      </c>
      <c r="Q43" s="25">
        <f>'TUSD BE'!$Q$43*'TUSD BE'!$Q$58</f>
        <v>4.5395490201641877</v>
      </c>
      <c r="R43" s="25">
        <f>'TUSD BE'!$R$43*'TUSD BE'!$R$58</f>
        <v>0.4904446518285977</v>
      </c>
      <c r="S43" s="25">
        <f>'TUSD BE'!$R$43*'TUSD BE'!$S$58</f>
        <v>0</v>
      </c>
      <c r="T43" s="25">
        <f ca="1">SUM($L$43:$S$43)</f>
        <v>5.1603277060347841</v>
      </c>
      <c r="U43" s="25">
        <f>'TUSD BE'!$U$43*'TUSD BE'!$U$58</f>
        <v>0</v>
      </c>
      <c r="V43" s="25">
        <f>'TUSD BE'!$V$43*'TUSD BE'!$V$58</f>
        <v>0</v>
      </c>
      <c r="W43" s="25">
        <f>'TUSD BE'!$W$43*'TUSD BE'!$W$58</f>
        <v>0</v>
      </c>
      <c r="X43" s="25">
        <f>'TUSD BE'!$X$43*'TUSD BE'!$X$58</f>
        <v>0</v>
      </c>
      <c r="Y43" s="25">
        <f>'TUSD BE'!$Y$43*'TUSD BE'!$Y$58</f>
        <v>50.382310905923134</v>
      </c>
      <c r="Z43" s="25">
        <f>'TUSD BE'!$Z$43*'TUSD BE'!$Z$58</f>
        <v>0</v>
      </c>
      <c r="AA43" s="25">
        <f>'TUSD BE'!$AA$43*'TUSD BE'!$AA$58</f>
        <v>0</v>
      </c>
      <c r="AB43" s="25">
        <f>SUM($U$43:$AA$43)</f>
        <v>50.382310905923134</v>
      </c>
      <c r="AC43" s="25">
        <f>'TUSD BE'!$AC$43*'TUSD BE'!$AC$58</f>
        <v>-126.2210317368359</v>
      </c>
      <c r="AD43" s="25">
        <f>SUM($AC$43:$AC$43)</f>
        <v>-126.2210317368359</v>
      </c>
      <c r="AE43" s="25">
        <f ca="1">$AO$43*$AO$55</f>
        <v>0</v>
      </c>
      <c r="AF43" s="25">
        <f ca="1">$AP$43*$AP$55</f>
        <v>0</v>
      </c>
      <c r="AG43" s="25">
        <f ca="1">SUM($AE$43:$AF$43)</f>
        <v>0</v>
      </c>
      <c r="AH43" s="25">
        <f>'TUSD BE'!$AH$43*'TUSD BE'!$AH$58</f>
        <v>10.043493695383258</v>
      </c>
      <c r="AI43" s="25">
        <f>'TUSD BE'!$AI$43*'TUSD BE'!$AI$58</f>
        <v>0</v>
      </c>
      <c r="AJ43" s="25">
        <f ca="1">'TUSD BE'!$AJ$43*'TUSD BE'!$AJ$58</f>
        <v>0.934443579275541</v>
      </c>
      <c r="AK43" s="25">
        <f ca="1">'TUSD BE'!$AK$43*'TUSD BE'!$AK$58</f>
        <v>0</v>
      </c>
      <c r="AL43" s="25">
        <f ca="1">SUM($AH$43:$AK$43)</f>
        <v>10.9779372746588</v>
      </c>
      <c r="AM43" s="25">
        <f ca="1">SUMIF($L$4:$AL$4,"SUBTOTAL",$L$43:$AL$43)</f>
        <v>-59.700455850219171</v>
      </c>
      <c r="AO43" s="30">
        <f ca="1">+'TUSD BE'!$T$43+'TUSD BE'!$AB$43+'TUSD BE'!$AD$43+'TUSD BE'!$AL$43</f>
        <v>1029.2229273331159</v>
      </c>
      <c r="AP43" s="30">
        <f ca="1">+'TUSD BE'!$T$43+'TUSD BE'!$AB$43+'TUSD BE'!$AD$43+'TUSD BE'!$AL$43</f>
        <v>1029.2229273331159</v>
      </c>
    </row>
    <row r="44" spans="1:42" ht="11.25" customHeight="1" x14ac:dyDescent="0.25">
      <c r="A44" s="134"/>
      <c r="B44" s="134"/>
      <c r="C44" s="134"/>
      <c r="D44" s="28" t="s">
        <v>88</v>
      </c>
      <c r="E44" s="28" t="s">
        <v>25</v>
      </c>
      <c r="F44" s="28" t="s">
        <v>25</v>
      </c>
      <c r="G44" s="21" t="s">
        <v>75</v>
      </c>
      <c r="H44" s="21" t="s">
        <v>71</v>
      </c>
      <c r="I44" s="21">
        <f>'MERCADO TUSD'!$U$41</f>
        <v>0</v>
      </c>
      <c r="J44" s="17"/>
      <c r="L44" s="25">
        <f>'TUSD BE'!$L$44*'TUSD BE'!$L$58</f>
        <v>0</v>
      </c>
      <c r="M44" s="25">
        <f>'TUSD BE'!$M$44*'TUSD BE'!$M$58</f>
        <v>0.13033403404199895</v>
      </c>
      <c r="N44" s="25">
        <f ca="1">'TUSD BE'!$N$44*'TUSD BE'!$N$58</f>
        <v>0</v>
      </c>
      <c r="O44" s="25">
        <f>'TUSD BE'!$O$44*'TUSD BE'!$O$58</f>
        <v>0</v>
      </c>
      <c r="P44" s="25">
        <f>'TUSD BE'!$P$44*'TUSD BE'!$P$58</f>
        <v>0</v>
      </c>
      <c r="Q44" s="25">
        <f>'TUSD BE'!$Q$44*'TUSD BE'!$Q$58</f>
        <v>4.5395490201641877</v>
      </c>
      <c r="R44" s="25">
        <f>'TUSD BE'!$R$44*'TUSD BE'!$R$58</f>
        <v>0.4904446518285977</v>
      </c>
      <c r="S44" s="25">
        <f>'TUSD BE'!$R$44*'TUSD BE'!$S$58</f>
        <v>0</v>
      </c>
      <c r="T44" s="25">
        <f ca="1">SUM($L$44:$S$44)</f>
        <v>5.1603277060347841</v>
      </c>
      <c r="U44" s="25">
        <f>'TUSD BE'!$U$44*'TUSD BE'!$U$58</f>
        <v>0</v>
      </c>
      <c r="V44" s="25">
        <f>'TUSD BE'!$V$44*'TUSD BE'!$V$58</f>
        <v>0</v>
      </c>
      <c r="W44" s="25">
        <f>'TUSD BE'!$W$44*'TUSD BE'!$W$58</f>
        <v>0</v>
      </c>
      <c r="X44" s="25">
        <f>'TUSD BE'!$X$44*'TUSD BE'!$X$58</f>
        <v>0</v>
      </c>
      <c r="Y44" s="25">
        <f>'TUSD BE'!$Y$44*'TUSD BE'!$Y$58</f>
        <v>50.382310905923134</v>
      </c>
      <c r="Z44" s="25">
        <f>'TUSD BE'!$Z$44*'TUSD BE'!$Z$58</f>
        <v>0</v>
      </c>
      <c r="AA44" s="25">
        <f>'TUSD BE'!$AA$44*'TUSD BE'!$AA$58</f>
        <v>0</v>
      </c>
      <c r="AB44" s="25">
        <f>SUM($U$44:$AA$44)</f>
        <v>50.382310905923134</v>
      </c>
      <c r="AC44" s="25">
        <f>'TUSD BE'!$AC$44*'TUSD BE'!$AC$58</f>
        <v>-126.2210317368359</v>
      </c>
      <c r="AD44" s="25">
        <f>SUM($AC$44:$AC$44)</f>
        <v>-126.2210317368359</v>
      </c>
      <c r="AE44" s="25">
        <f ca="1">$AO$44*$AO$55</f>
        <v>0</v>
      </c>
      <c r="AF44" s="25">
        <f ca="1">$AP$44*$AP$55</f>
        <v>0</v>
      </c>
      <c r="AG44" s="25">
        <f ca="1">SUM($AE$44:$AF$44)</f>
        <v>0</v>
      </c>
      <c r="AH44" s="25">
        <f>'TUSD BE'!$AH$44*'TUSD BE'!$AH$58</f>
        <v>10.043493695383258</v>
      </c>
      <c r="AI44" s="25">
        <f>'TUSD BE'!$AI$44*'TUSD BE'!$AI$58</f>
        <v>0</v>
      </c>
      <c r="AJ44" s="25">
        <f ca="1">'TUSD BE'!$AJ$44*'TUSD BE'!$AJ$58</f>
        <v>0.934443579275541</v>
      </c>
      <c r="AK44" s="25">
        <f ca="1">'TUSD BE'!$AK$44*'TUSD BE'!$AK$58</f>
        <v>0</v>
      </c>
      <c r="AL44" s="25">
        <f ca="1">SUM($AH$44:$AK$44)</f>
        <v>10.9779372746588</v>
      </c>
      <c r="AM44" s="25">
        <f ca="1">SUMIF($L$4:$AL$4,"SUBTOTAL",$L$44:$AL$44)</f>
        <v>-59.700455850219171</v>
      </c>
      <c r="AO44" s="30">
        <f ca="1">+'TUSD BE'!$T$44+'TUSD BE'!$AB$44+'TUSD BE'!$AD$44+'TUSD BE'!$AL$44</f>
        <v>1029.2229273331159</v>
      </c>
      <c r="AP44" s="30">
        <f ca="1">+'TUSD BE'!$T$44+'TUSD BE'!$AB$44+'TUSD BE'!$AD$44+'TUSD BE'!$AL$44</f>
        <v>1029.2229273331159</v>
      </c>
    </row>
    <row r="45" spans="1:42" ht="11.25" customHeight="1" x14ac:dyDescent="0.25">
      <c r="A45" s="134" t="s">
        <v>39</v>
      </c>
      <c r="B45" s="134" t="s">
        <v>37</v>
      </c>
      <c r="C45" s="134" t="s">
        <v>25</v>
      </c>
      <c r="D45" s="134" t="s">
        <v>25</v>
      </c>
      <c r="E45" s="134" t="s">
        <v>25</v>
      </c>
      <c r="F45" s="134" t="s">
        <v>25</v>
      </c>
      <c r="G45" s="21" t="s">
        <v>72</v>
      </c>
      <c r="H45" s="21" t="s">
        <v>71</v>
      </c>
      <c r="I45" s="21">
        <f>'MERCADO TUSD'!$U$42</f>
        <v>0</v>
      </c>
      <c r="J45" s="17"/>
      <c r="L45" s="25">
        <f>'TUSD BE'!$L$45*'TUSD BE'!$L$58</f>
        <v>0</v>
      </c>
      <c r="M45" s="25">
        <f>'TUSD BE'!$M$45*'TUSD BE'!$M$58</f>
        <v>0.13033403404199895</v>
      </c>
      <c r="N45" s="25">
        <f ca="1">'TUSD BE'!$N$45*'TUSD BE'!$N$58</f>
        <v>0</v>
      </c>
      <c r="O45" s="25">
        <f>'TUSD BE'!$O$45*'TUSD BE'!$O$58</f>
        <v>0</v>
      </c>
      <c r="P45" s="25">
        <f>'TUSD BE'!$P$45*'TUSD BE'!$P$58</f>
        <v>0</v>
      </c>
      <c r="Q45" s="25">
        <f>'TUSD BE'!$Q$45*'TUSD BE'!$Q$58</f>
        <v>4.5395490201641877</v>
      </c>
      <c r="R45" s="25">
        <f>'TUSD BE'!$R$45*'TUSD BE'!$R$58</f>
        <v>0.4904446518285977</v>
      </c>
      <c r="S45" s="25">
        <f>'TUSD BE'!$R$45*'TUSD BE'!$S$58</f>
        <v>0</v>
      </c>
      <c r="T45" s="25">
        <f ca="1">SUM($L$45:$S$45)</f>
        <v>5.1603277060347841</v>
      </c>
      <c r="U45" s="25">
        <f>'TUSD BE'!$U$45*'TUSD BE'!$U$58</f>
        <v>0</v>
      </c>
      <c r="V45" s="25">
        <f>'TUSD BE'!$V$45*'TUSD BE'!$V$58</f>
        <v>0</v>
      </c>
      <c r="W45" s="25">
        <f>'TUSD BE'!$W$45*'TUSD BE'!$W$58</f>
        <v>0</v>
      </c>
      <c r="X45" s="25">
        <f>'TUSD BE'!$X$45*'TUSD BE'!$X$58</f>
        <v>0</v>
      </c>
      <c r="Y45" s="25">
        <f>'TUSD BE'!$Y$45*'TUSD BE'!$Y$58</f>
        <v>153.66617701490355</v>
      </c>
      <c r="Z45" s="25">
        <f>'TUSD BE'!$Z$45*'TUSD BE'!$Z$58</f>
        <v>0</v>
      </c>
      <c r="AA45" s="25">
        <f>'TUSD BE'!$AA$45*'TUSD BE'!$AA$58</f>
        <v>0</v>
      </c>
      <c r="AB45" s="25">
        <f>SUM($U$45:$AA$45)</f>
        <v>153.66617701490355</v>
      </c>
      <c r="AC45" s="25">
        <f>'TUSD BE'!$AC$45*'TUSD BE'!$AC$58</f>
        <v>-384.97398224828356</v>
      </c>
      <c r="AD45" s="25">
        <f>SUM($AC$45:$AC$45)</f>
        <v>-384.97398224828356</v>
      </c>
      <c r="AE45" s="25">
        <f ca="1">$AO$45*$AO$55</f>
        <v>0</v>
      </c>
      <c r="AF45" s="25">
        <f ca="1">$AP$45*$AP$55</f>
        <v>0</v>
      </c>
      <c r="AG45" s="25">
        <f ca="1">SUM($AE$45:$AF$45)</f>
        <v>0</v>
      </c>
      <c r="AH45" s="25">
        <f>'TUSD BE'!$AH$45*'TUSD BE'!$AH$58</f>
        <v>10.043493695383258</v>
      </c>
      <c r="AI45" s="25">
        <f>'TUSD BE'!$AI$45*'TUSD BE'!$AI$58</f>
        <v>0</v>
      </c>
      <c r="AJ45" s="25">
        <f ca="1">'TUSD BE'!$AJ$45*'TUSD BE'!$AJ$58</f>
        <v>0.934443579275541</v>
      </c>
      <c r="AK45" s="25">
        <f ca="1">'TUSD BE'!$AK$45*'TUSD BE'!$AK$58</f>
        <v>0</v>
      </c>
      <c r="AL45" s="25">
        <f ca="1">SUM($AH$45:$AK$45)</f>
        <v>10.9779372746588</v>
      </c>
      <c r="AM45" s="25">
        <f ca="1">SUMIF($L$4:$AL$4,"SUBTOTAL",$L$45:$AL$45)</f>
        <v>-215.16954025268643</v>
      </c>
      <c r="AO45" s="30">
        <f ca="1">+'TUSD BE'!$T$45+'TUSD BE'!$AB$45+'TUSD BE'!$AD$45+'TUSD BE'!$AL$45</f>
        <v>2793.7231634703494</v>
      </c>
      <c r="AP45" s="30">
        <f ca="1">+'TUSD BE'!$T$45+'TUSD BE'!$AB$45+'TUSD BE'!$AD$45+'TUSD BE'!$AL$45</f>
        <v>2793.7231634703494</v>
      </c>
    </row>
    <row r="46" spans="1:42" ht="11.25" customHeight="1" x14ac:dyDescent="0.25">
      <c r="A46" s="134"/>
      <c r="B46" s="134"/>
      <c r="C46" s="134"/>
      <c r="D46" s="134"/>
      <c r="E46" s="134"/>
      <c r="F46" s="134"/>
      <c r="G46" s="21" t="s">
        <v>84</v>
      </c>
      <c r="H46" s="21" t="s">
        <v>71</v>
      </c>
      <c r="I46" s="21">
        <f>'MERCADO TUSD'!$U$43</f>
        <v>0</v>
      </c>
      <c r="J46" s="17"/>
      <c r="L46" s="25">
        <f>'TUSD BE'!$L$46*'TUSD BE'!$L$58</f>
        <v>0</v>
      </c>
      <c r="M46" s="25">
        <f>'TUSD BE'!$M$46*'TUSD BE'!$M$58</f>
        <v>0.13033403404199895</v>
      </c>
      <c r="N46" s="25">
        <f ca="1">'TUSD BE'!$N$46*'TUSD BE'!$N$58</f>
        <v>0</v>
      </c>
      <c r="O46" s="25">
        <f>'TUSD BE'!$O$46*'TUSD BE'!$O$58</f>
        <v>0</v>
      </c>
      <c r="P46" s="25">
        <f>'TUSD BE'!$P$46*'TUSD BE'!$P$58</f>
        <v>0</v>
      </c>
      <c r="Q46" s="25">
        <f>'TUSD BE'!$Q$46*'TUSD BE'!$Q$58</f>
        <v>4.5395490201641877</v>
      </c>
      <c r="R46" s="25">
        <f>'TUSD BE'!$R$46*'TUSD BE'!$R$58</f>
        <v>0.4904446518285977</v>
      </c>
      <c r="S46" s="25">
        <f>'TUSD BE'!$R$46*'TUSD BE'!$S$58</f>
        <v>0</v>
      </c>
      <c r="T46" s="25">
        <f ca="1">SUM($L$46:$S$46)</f>
        <v>5.1603277060347841</v>
      </c>
      <c r="U46" s="25">
        <f>'TUSD BE'!$U$46*'TUSD BE'!$U$58</f>
        <v>0</v>
      </c>
      <c r="V46" s="25">
        <f>'TUSD BE'!$V$46*'TUSD BE'!$V$58</f>
        <v>0</v>
      </c>
      <c r="W46" s="25">
        <f>'TUSD BE'!$W$46*'TUSD BE'!$W$58</f>
        <v>0</v>
      </c>
      <c r="X46" s="25">
        <f>'TUSD BE'!$X$46*'TUSD BE'!$X$58</f>
        <v>0</v>
      </c>
      <c r="Y46" s="25">
        <f>'TUSD BE'!$Y$46*'TUSD BE'!$Y$58</f>
        <v>92.199763431981253</v>
      </c>
      <c r="Z46" s="25">
        <f>'TUSD BE'!$Z$46*'TUSD BE'!$Z$58</f>
        <v>0</v>
      </c>
      <c r="AA46" s="25">
        <f>'TUSD BE'!$AA$46*'TUSD BE'!$AA$58</f>
        <v>0</v>
      </c>
      <c r="AB46" s="25">
        <f>SUM($U$46:$AA$46)</f>
        <v>92.199763431981253</v>
      </c>
      <c r="AC46" s="25">
        <f>'TUSD BE'!$AC$46*'TUSD BE'!$AC$58</f>
        <v>-230.98440960116284</v>
      </c>
      <c r="AD46" s="25">
        <f>SUM($AC$46:$AC$46)</f>
        <v>-230.98440960116284</v>
      </c>
      <c r="AE46" s="25">
        <f ca="1">$AO$46*$AO$55</f>
        <v>0</v>
      </c>
      <c r="AF46" s="25">
        <f ca="1">$AP$46*$AP$55</f>
        <v>0</v>
      </c>
      <c r="AG46" s="25">
        <f ca="1">SUM($AE$46:$AF$46)</f>
        <v>0</v>
      </c>
      <c r="AH46" s="25">
        <f>'TUSD BE'!$AH$46*'TUSD BE'!$AH$58</f>
        <v>10.043493695383258</v>
      </c>
      <c r="AI46" s="25">
        <f>'TUSD BE'!$AI$46*'TUSD BE'!$AI$58</f>
        <v>0</v>
      </c>
      <c r="AJ46" s="25">
        <f ca="1">'TUSD BE'!$AJ$46*'TUSD BE'!$AJ$58</f>
        <v>0.934443579275541</v>
      </c>
      <c r="AK46" s="25">
        <f ca="1">'TUSD BE'!$AK$46*'TUSD BE'!$AK$58</f>
        <v>0</v>
      </c>
      <c r="AL46" s="25">
        <f ca="1">SUM($AH$46:$AK$46)</f>
        <v>10.9779372746588</v>
      </c>
      <c r="AM46" s="25">
        <f ca="1">SUMIF($L$4:$AL$4,"SUBTOTAL",$L$46:$AL$46)</f>
        <v>-122.64638118848801</v>
      </c>
      <c r="AO46" s="30">
        <f ca="1">+'TUSD BE'!$T$46+'TUSD BE'!$AB$46+'TUSD BE'!$AD$46+'TUSD BE'!$AL$46</f>
        <v>1743.630601539254</v>
      </c>
      <c r="AP46" s="30">
        <f ca="1">+'TUSD BE'!$T$46+'TUSD BE'!$AB$46+'TUSD BE'!$AD$46+'TUSD BE'!$AL$46</f>
        <v>1743.630601539254</v>
      </c>
    </row>
    <row r="47" spans="1:42" ht="11.25" customHeight="1" x14ac:dyDescent="0.25">
      <c r="A47" s="134"/>
      <c r="B47" s="134"/>
      <c r="C47" s="134"/>
      <c r="D47" s="134"/>
      <c r="E47" s="134"/>
      <c r="F47" s="134"/>
      <c r="G47" s="21" t="s">
        <v>73</v>
      </c>
      <c r="H47" s="21" t="s">
        <v>71</v>
      </c>
      <c r="I47" s="21">
        <f>'MERCADO TUSD'!$U$44</f>
        <v>0</v>
      </c>
      <c r="J47" s="17"/>
      <c r="L47" s="25">
        <f>'TUSD BE'!$L$47*'TUSD BE'!$L$58</f>
        <v>0</v>
      </c>
      <c r="M47" s="25">
        <f>'TUSD BE'!$M$47*'TUSD BE'!$M$58</f>
        <v>0.13033403404199895</v>
      </c>
      <c r="N47" s="25">
        <f ca="1">'TUSD BE'!$N$47*'TUSD BE'!$N$58</f>
        <v>0</v>
      </c>
      <c r="O47" s="25">
        <f>'TUSD BE'!$O$47*'TUSD BE'!$O$58</f>
        <v>0</v>
      </c>
      <c r="P47" s="25">
        <f>'TUSD BE'!$P$47*'TUSD BE'!$P$58</f>
        <v>0</v>
      </c>
      <c r="Q47" s="25">
        <f>'TUSD BE'!$Q$47*'TUSD BE'!$Q$58</f>
        <v>4.5395490201641877</v>
      </c>
      <c r="R47" s="25">
        <f>'TUSD BE'!$R$47*'TUSD BE'!$R$58</f>
        <v>0.4904446518285977</v>
      </c>
      <c r="S47" s="25">
        <f>'TUSD BE'!$R$47*'TUSD BE'!$S$58</f>
        <v>0</v>
      </c>
      <c r="T47" s="25">
        <f ca="1">SUM($L$47:$S$47)</f>
        <v>5.1603277060347841</v>
      </c>
      <c r="U47" s="25">
        <f>'TUSD BE'!$U$47*'TUSD BE'!$U$58</f>
        <v>0</v>
      </c>
      <c r="V47" s="25">
        <f>'TUSD BE'!$V$47*'TUSD BE'!$V$58</f>
        <v>0</v>
      </c>
      <c r="W47" s="25">
        <f>'TUSD BE'!$W$47*'TUSD BE'!$W$58</f>
        <v>0</v>
      </c>
      <c r="X47" s="25">
        <f>'TUSD BE'!$X$47*'TUSD BE'!$X$58</f>
        <v>0</v>
      </c>
      <c r="Y47" s="25">
        <f>'TUSD BE'!$Y$47*'TUSD BE'!$Y$58</f>
        <v>30.733349849058946</v>
      </c>
      <c r="Z47" s="25">
        <f>'TUSD BE'!$Z$47*'TUSD BE'!$Z$58</f>
        <v>0</v>
      </c>
      <c r="AA47" s="25">
        <f>'TUSD BE'!$AA$47*'TUSD BE'!$AA$58</f>
        <v>0</v>
      </c>
      <c r="AB47" s="25">
        <f>SUM($U$47:$AA$47)</f>
        <v>30.733349849058946</v>
      </c>
      <c r="AC47" s="25">
        <f>'TUSD BE'!$AC$47*'TUSD BE'!$AC$58</f>
        <v>-76.994786323560348</v>
      </c>
      <c r="AD47" s="25">
        <f>SUM($AC$47:$AC$47)</f>
        <v>-76.994786323560348</v>
      </c>
      <c r="AE47" s="25">
        <f ca="1">$AO$47*$AO$55</f>
        <v>0</v>
      </c>
      <c r="AF47" s="25">
        <f ca="1">$AP$47*$AP$55</f>
        <v>0</v>
      </c>
      <c r="AG47" s="25">
        <f ca="1">SUM($AE$47:$AF$47)</f>
        <v>0</v>
      </c>
      <c r="AH47" s="25">
        <f>'TUSD BE'!$AH$47*'TUSD BE'!$AH$58</f>
        <v>10.043493695383258</v>
      </c>
      <c r="AI47" s="25">
        <f>'TUSD BE'!$AI$47*'TUSD BE'!$AI$58</f>
        <v>0</v>
      </c>
      <c r="AJ47" s="25">
        <f ca="1">'TUSD BE'!$AJ$47*'TUSD BE'!$AJ$58</f>
        <v>0.934443579275541</v>
      </c>
      <c r="AK47" s="25">
        <f ca="1">'TUSD BE'!$AK$47*'TUSD BE'!$AK$58</f>
        <v>0</v>
      </c>
      <c r="AL47" s="25">
        <f ca="1">SUM($AH$47:$AK$47)</f>
        <v>10.9779372746588</v>
      </c>
      <c r="AM47" s="25">
        <f ca="1">SUMIF($L$4:$AL$4,"SUBTOTAL",$L$47:$AL$47)</f>
        <v>-30.123171493807817</v>
      </c>
      <c r="AO47" s="30">
        <f ca="1">+'TUSD BE'!$T$47+'TUSD BE'!$AB$47+'TUSD BE'!$AD$47+'TUSD BE'!$AL$47</f>
        <v>693.53777380613064</v>
      </c>
      <c r="AP47" s="30">
        <f ca="1">+'TUSD BE'!$T$47+'TUSD BE'!$AB$47+'TUSD BE'!$AD$47+'TUSD BE'!$AL$47</f>
        <v>693.53777380613064</v>
      </c>
    </row>
    <row r="48" spans="1:42" ht="11.25" customHeight="1" x14ac:dyDescent="0.25">
      <c r="A48" s="134"/>
      <c r="B48" s="28" t="s">
        <v>23</v>
      </c>
      <c r="C48" s="28" t="s">
        <v>25</v>
      </c>
      <c r="D48" s="28" t="s">
        <v>25</v>
      </c>
      <c r="E48" s="28" t="s">
        <v>25</v>
      </c>
      <c r="F48" s="28" t="s">
        <v>25</v>
      </c>
      <c r="G48" s="21" t="s">
        <v>75</v>
      </c>
      <c r="H48" s="21" t="s">
        <v>71</v>
      </c>
      <c r="I48" s="21">
        <f>'MERCADO TUSD'!$U$45</f>
        <v>4622.2640000000001</v>
      </c>
      <c r="J48" s="17"/>
      <c r="L48" s="25">
        <f>'TUSD BE'!$L$48*'TUSD BE'!$L$58</f>
        <v>0</v>
      </c>
      <c r="M48" s="25">
        <f>'TUSD BE'!$M$48*'TUSD BE'!$M$58</f>
        <v>0.13033403404199895</v>
      </c>
      <c r="N48" s="25">
        <f ca="1">'TUSD BE'!$N$48*'TUSD BE'!$N$58</f>
        <v>0</v>
      </c>
      <c r="O48" s="25">
        <f>'TUSD BE'!$O$48*'TUSD BE'!$O$58</f>
        <v>0</v>
      </c>
      <c r="P48" s="25">
        <f>'TUSD BE'!$P$48*'TUSD BE'!$P$58</f>
        <v>0</v>
      </c>
      <c r="Q48" s="25">
        <f>'TUSD BE'!$Q$48*'TUSD BE'!$Q$58</f>
        <v>4.5395490201641877</v>
      </c>
      <c r="R48" s="25">
        <f>'TUSD BE'!$R$48*'TUSD BE'!$R$58</f>
        <v>0.4904446518285977</v>
      </c>
      <c r="S48" s="25">
        <f>'TUSD BE'!$R$48*'TUSD BE'!$S$58</f>
        <v>0</v>
      </c>
      <c r="T48" s="25">
        <f ca="1">SUM($L$48:$S$48)</f>
        <v>5.1603277060347841</v>
      </c>
      <c r="U48" s="25">
        <f>'TUSD BE'!$U$48*'TUSD BE'!$U$58</f>
        <v>0</v>
      </c>
      <c r="V48" s="25">
        <f>'TUSD BE'!$V$48*'TUSD BE'!$V$58</f>
        <v>0</v>
      </c>
      <c r="W48" s="25">
        <f>'TUSD BE'!$W$48*'TUSD BE'!$W$58</f>
        <v>0</v>
      </c>
      <c r="X48" s="25">
        <f>'TUSD BE'!$X$48*'TUSD BE'!$X$58</f>
        <v>0</v>
      </c>
      <c r="Y48" s="25">
        <f>'TUSD BE'!$Y$48*'TUSD BE'!$Y$58</f>
        <v>50.382310905923134</v>
      </c>
      <c r="Z48" s="25">
        <f>'TUSD BE'!$Z$48*'TUSD BE'!$Z$58</f>
        <v>0</v>
      </c>
      <c r="AA48" s="25">
        <f>'TUSD BE'!$AA$48*'TUSD BE'!$AA$58</f>
        <v>0</v>
      </c>
      <c r="AB48" s="25">
        <f>SUM($U$48:$AA$48)</f>
        <v>50.382310905923134</v>
      </c>
      <c r="AC48" s="25">
        <f>'TUSD BE'!$AC$48*'TUSD BE'!$AC$58</f>
        <v>-126.2210317368359</v>
      </c>
      <c r="AD48" s="25">
        <f>SUM($AC$48:$AC$48)</f>
        <v>-126.2210317368359</v>
      </c>
      <c r="AE48" s="25">
        <f ca="1">$AO$48*$AO$55</f>
        <v>0</v>
      </c>
      <c r="AF48" s="25">
        <f ca="1">$AP$48*$AP$55</f>
        <v>0</v>
      </c>
      <c r="AG48" s="25">
        <f ca="1">SUM($AE$48:$AF$48)</f>
        <v>0</v>
      </c>
      <c r="AH48" s="25">
        <f>'TUSD BE'!$AH$48*'TUSD BE'!$AH$58</f>
        <v>10.043493695383258</v>
      </c>
      <c r="AI48" s="25">
        <f>'TUSD BE'!$AI$48*'TUSD BE'!$AI$58</f>
        <v>0</v>
      </c>
      <c r="AJ48" s="25">
        <f ca="1">'TUSD BE'!$AJ$48*'TUSD BE'!$AJ$58</f>
        <v>0.934443579275541</v>
      </c>
      <c r="AK48" s="25">
        <f ca="1">'TUSD BE'!$AK$48*'TUSD BE'!$AK$58</f>
        <v>0</v>
      </c>
      <c r="AL48" s="25">
        <f ca="1">SUM($AH$48:$AK$48)</f>
        <v>10.9779372746588</v>
      </c>
      <c r="AM48" s="25">
        <f ca="1">SUMIF($L$4:$AL$4,"SUBTOTAL",$L$48:$AL$48)</f>
        <v>-59.700455850219171</v>
      </c>
      <c r="AO48" s="30">
        <f ca="1">+'TUSD BE'!$T$48+'TUSD BE'!$AB$48+'TUSD BE'!$AD$48+'TUSD BE'!$AL$48</f>
        <v>1029.2229273331159</v>
      </c>
      <c r="AP48" s="30">
        <f ca="1">+'TUSD BE'!$T$48+'TUSD BE'!$AB$48+'TUSD BE'!$AD$48+'TUSD BE'!$AL$48</f>
        <v>1029.2229273331159</v>
      </c>
    </row>
    <row r="49" spans="1:42" ht="11.25" customHeight="1" x14ac:dyDescent="0.25">
      <c r="A49" s="134"/>
      <c r="B49" s="28" t="s">
        <v>86</v>
      </c>
      <c r="C49" s="28" t="s">
        <v>25</v>
      </c>
      <c r="D49" s="28" t="s">
        <v>25</v>
      </c>
      <c r="E49" s="28" t="s">
        <v>25</v>
      </c>
      <c r="F49" s="28" t="s">
        <v>25</v>
      </c>
      <c r="G49" s="21" t="s">
        <v>75</v>
      </c>
      <c r="H49" s="21" t="s">
        <v>71</v>
      </c>
      <c r="I49" s="21">
        <f>'MERCADO TUSD'!$U$46</f>
        <v>0</v>
      </c>
      <c r="J49" s="17"/>
      <c r="L49" s="25">
        <f>'TUSD BE'!$L$49*'TUSD BE'!$L$58</f>
        <v>0</v>
      </c>
      <c r="M49" s="25">
        <f>'TUSD BE'!$M$49*'TUSD BE'!$M$58</f>
        <v>0.13033403404199895</v>
      </c>
      <c r="N49" s="25">
        <f ca="1">'TUSD BE'!$N$49*'TUSD BE'!$N$58</f>
        <v>0</v>
      </c>
      <c r="O49" s="25">
        <f>'TUSD BE'!$O$49*'TUSD BE'!$O$58</f>
        <v>0</v>
      </c>
      <c r="P49" s="25">
        <f>'TUSD BE'!$P$49*'TUSD BE'!$P$58</f>
        <v>0</v>
      </c>
      <c r="Q49" s="25">
        <f>'TUSD BE'!$Q$49*'TUSD BE'!$Q$58</f>
        <v>4.5395490201641877</v>
      </c>
      <c r="R49" s="25">
        <f>'TUSD BE'!$R$49*'TUSD BE'!$R$58</f>
        <v>0.4904446518285977</v>
      </c>
      <c r="S49" s="25">
        <f>'TUSD BE'!$R$49*'TUSD BE'!$S$58</f>
        <v>0</v>
      </c>
      <c r="T49" s="25">
        <f ca="1">SUM($L$49:$S$49)</f>
        <v>5.1603277060347841</v>
      </c>
      <c r="U49" s="25">
        <f>'TUSD BE'!$U$49*'TUSD BE'!$U$58</f>
        <v>0</v>
      </c>
      <c r="V49" s="25">
        <f>'TUSD BE'!$V$49*'TUSD BE'!$V$58</f>
        <v>0</v>
      </c>
      <c r="W49" s="25">
        <f>'TUSD BE'!$W$49*'TUSD BE'!$W$58</f>
        <v>0</v>
      </c>
      <c r="X49" s="25">
        <f>'TUSD BE'!$X$49*'TUSD BE'!$X$58</f>
        <v>0</v>
      </c>
      <c r="Y49" s="25">
        <f>'TUSD BE'!$Y$49*'TUSD BE'!$Y$58</f>
        <v>50.382310905923134</v>
      </c>
      <c r="Z49" s="25">
        <f>'TUSD BE'!$Z$49*'TUSD BE'!$Z$58</f>
        <v>0</v>
      </c>
      <c r="AA49" s="25">
        <f>'TUSD BE'!$AA$49*'TUSD BE'!$AA$58</f>
        <v>0</v>
      </c>
      <c r="AB49" s="25">
        <f>SUM($U$49:$AA$49)</f>
        <v>50.382310905923134</v>
      </c>
      <c r="AC49" s="25">
        <f>'TUSD BE'!$AC$49*'TUSD BE'!$AC$58</f>
        <v>-126.2210317368359</v>
      </c>
      <c r="AD49" s="25">
        <f>SUM($AC$49:$AC$49)</f>
        <v>-126.2210317368359</v>
      </c>
      <c r="AE49" s="25">
        <f ca="1">$AO$49*$AO$55</f>
        <v>0</v>
      </c>
      <c r="AF49" s="25">
        <f ca="1">$AP$49*$AP$55</f>
        <v>0</v>
      </c>
      <c r="AG49" s="25">
        <f ca="1">SUM($AE$49:$AF$49)</f>
        <v>0</v>
      </c>
      <c r="AH49" s="25">
        <f>'TUSD BE'!$AH$49*'TUSD BE'!$AH$58</f>
        <v>10.043493695383258</v>
      </c>
      <c r="AI49" s="25">
        <f>'TUSD BE'!$AI$49*'TUSD BE'!$AI$58</f>
        <v>0</v>
      </c>
      <c r="AJ49" s="25">
        <f ca="1">'TUSD BE'!$AJ$49*'TUSD BE'!$AJ$58</f>
        <v>0.934443579275541</v>
      </c>
      <c r="AK49" s="25">
        <f ca="1">'TUSD BE'!$AK$49*'TUSD BE'!$AK$58</f>
        <v>0</v>
      </c>
      <c r="AL49" s="25">
        <f ca="1">SUM($AH$49:$AK$49)</f>
        <v>10.9779372746588</v>
      </c>
      <c r="AM49" s="25">
        <f ca="1">SUMIF($L$4:$AL$4,"SUBTOTAL",$L$49:$AL$49)</f>
        <v>-59.700455850219171</v>
      </c>
      <c r="AO49" s="30">
        <f ca="1">+'TUSD BE'!$T$49+'TUSD BE'!$AB$49+'TUSD BE'!$AD$49+'TUSD BE'!$AL$49</f>
        <v>1029.2229273331159</v>
      </c>
      <c r="AP49" s="30">
        <f ca="1">+'TUSD BE'!$T$49+'TUSD BE'!$AB$49+'TUSD BE'!$AD$49+'TUSD BE'!$AL$49</f>
        <v>1029.2229273331159</v>
      </c>
    </row>
    <row r="50" spans="1:42" ht="11.25" customHeight="1" x14ac:dyDescent="0.25">
      <c r="A50" s="134" t="s">
        <v>46</v>
      </c>
      <c r="B50" s="134" t="s">
        <v>23</v>
      </c>
      <c r="C50" s="134" t="s">
        <v>47</v>
      </c>
      <c r="D50" s="28" t="s">
        <v>48</v>
      </c>
      <c r="E50" s="28" t="s">
        <v>25</v>
      </c>
      <c r="F50" s="28" t="s">
        <v>25</v>
      </c>
      <c r="G50" s="21" t="s">
        <v>75</v>
      </c>
      <c r="H50" s="21" t="s">
        <v>71</v>
      </c>
      <c r="I50" s="21">
        <f>'MERCADO TUSD'!$U$47</f>
        <v>3347.1679999999992</v>
      </c>
      <c r="J50" s="17"/>
      <c r="L50" s="25">
        <f>'TUSD BE'!$L$50*'TUSD BE'!$L$58</f>
        <v>0</v>
      </c>
      <c r="M50" s="25">
        <f>'TUSD BE'!$M$50*'TUSD BE'!$M$58</f>
        <v>7.1683718723099421E-2</v>
      </c>
      <c r="N50" s="25">
        <f ca="1">'TUSD BE'!$N$50*'TUSD BE'!$N$58</f>
        <v>0</v>
      </c>
      <c r="O50" s="25">
        <f>'TUSD BE'!$O$50*'TUSD BE'!$O$58</f>
        <v>0</v>
      </c>
      <c r="P50" s="25">
        <f>'TUSD BE'!$P$50*'TUSD BE'!$P$58</f>
        <v>0</v>
      </c>
      <c r="Q50" s="25">
        <f>'TUSD BE'!$Q$50*'TUSD BE'!$Q$58</f>
        <v>2.4967519610903035</v>
      </c>
      <c r="R50" s="25">
        <f>'TUSD BE'!$R$50*'TUSD BE'!$R$58</f>
        <v>0.26974455850572876</v>
      </c>
      <c r="S50" s="25">
        <f>'TUSD BE'!$R$50*'TUSD BE'!$S$58</f>
        <v>0</v>
      </c>
      <c r="T50" s="25">
        <f ca="1">SUM($L$50:$S$50)</f>
        <v>2.8381802383191319</v>
      </c>
      <c r="U50" s="25">
        <f>'TUSD BE'!$U$50*'TUSD BE'!$U$58</f>
        <v>0</v>
      </c>
      <c r="V50" s="25">
        <f>'TUSD BE'!$V$50*'TUSD BE'!$V$58</f>
        <v>0</v>
      </c>
      <c r="W50" s="25">
        <f>'TUSD BE'!$W$50*'TUSD BE'!$W$58</f>
        <v>0</v>
      </c>
      <c r="X50" s="25">
        <f>'TUSD BE'!$X$50*'TUSD BE'!$X$58</f>
        <v>0</v>
      </c>
      <c r="Y50" s="25">
        <f>'TUSD BE'!$Y$50*'TUSD BE'!$Y$58</f>
        <v>27.710270998257727</v>
      </c>
      <c r="Z50" s="25">
        <f>'TUSD BE'!$Z$50*'TUSD BE'!$Z$58</f>
        <v>0</v>
      </c>
      <c r="AA50" s="25">
        <f>'TUSD BE'!$AA$50*'TUSD BE'!$AA$58</f>
        <v>0</v>
      </c>
      <c r="AB50" s="25">
        <f>SUM($U$50:$AA$50)</f>
        <v>27.710270998257727</v>
      </c>
      <c r="AC50" s="25">
        <f>'TUSD BE'!$AC$50*'TUSD BE'!$AC$58</f>
        <v>-69.421567455259748</v>
      </c>
      <c r="AD50" s="25">
        <f>SUM($AC$50:$AC$50)</f>
        <v>-69.421567455259748</v>
      </c>
      <c r="AE50" s="25">
        <f ca="1">$AO$50*$AO$55</f>
        <v>0</v>
      </c>
      <c r="AF50" s="25">
        <f ca="1">$AP$50*$AP$55</f>
        <v>0</v>
      </c>
      <c r="AG50" s="25">
        <f ca="1">SUM($AE$50:$AF$50)</f>
        <v>0</v>
      </c>
      <c r="AH50" s="25">
        <f>'TUSD BE'!$AH$50*'TUSD BE'!$AH$58</f>
        <v>5.5239215324607933</v>
      </c>
      <c r="AI50" s="25">
        <f>'TUSD BE'!$AI$50*'TUSD BE'!$AI$58</f>
        <v>0</v>
      </c>
      <c r="AJ50" s="25">
        <f ca="1">'TUSD BE'!$AJ$50*'TUSD BE'!$AJ$58</f>
        <v>0.51394396860154767</v>
      </c>
      <c r="AK50" s="25">
        <f ca="1">'TUSD BE'!$AK$50*'TUSD BE'!$AK$58</f>
        <v>0</v>
      </c>
      <c r="AL50" s="25">
        <f ca="1">SUM($AH$50:$AK$50)</f>
        <v>6.037865501062341</v>
      </c>
      <c r="AM50" s="25">
        <f ca="1">SUMIF($L$4:$AL$4,"SUBTOTAL",$L$50:$AL$50)</f>
        <v>-32.835250717620546</v>
      </c>
      <c r="AO50" s="30">
        <f ca="1">+'TUSD BE'!$T$50+'TUSD BE'!$AB$50+'TUSD BE'!$AD$50+'TUSD BE'!$AL$50</f>
        <v>566.07261003321378</v>
      </c>
      <c r="AP50" s="30">
        <f ca="1">+'TUSD BE'!$T$50+'TUSD BE'!$AB$50+'TUSD BE'!$AD$50+'TUSD BE'!$AL$50</f>
        <v>566.07261003321378</v>
      </c>
    </row>
    <row r="51" spans="1:42" ht="11.25" customHeight="1" x14ac:dyDescent="0.25">
      <c r="A51" s="134"/>
      <c r="B51" s="134"/>
      <c r="C51" s="134"/>
      <c r="D51" s="21" t="s">
        <v>89</v>
      </c>
      <c r="E51" s="21" t="s">
        <v>25</v>
      </c>
      <c r="F51" s="21" t="s">
        <v>25</v>
      </c>
      <c r="G51" s="21" t="s">
        <v>75</v>
      </c>
      <c r="H51" s="21" t="s">
        <v>71</v>
      </c>
      <c r="I51" s="21">
        <f>'MERCADO TUSD'!$U$48</f>
        <v>0</v>
      </c>
      <c r="J51" s="17"/>
      <c r="L51" s="25">
        <f>'TUSD BE'!$L$51*'TUSD BE'!$L$58</f>
        <v>0</v>
      </c>
      <c r="M51" s="25">
        <f>'TUSD BE'!$M$51*'TUSD BE'!$M$58</f>
        <v>7.8200420425199368E-2</v>
      </c>
      <c r="N51" s="25">
        <f ca="1">'TUSD BE'!$N$51*'TUSD BE'!$N$58</f>
        <v>0</v>
      </c>
      <c r="O51" s="25">
        <f>'TUSD BE'!$O$51*'TUSD BE'!$O$58</f>
        <v>0</v>
      </c>
      <c r="P51" s="25">
        <f>'TUSD BE'!$P$51*'TUSD BE'!$P$58</f>
        <v>0</v>
      </c>
      <c r="Q51" s="25">
        <f>'TUSD BE'!$Q$51*'TUSD BE'!$Q$58</f>
        <v>2.7237294120985127</v>
      </c>
      <c r="R51" s="25">
        <f>'TUSD BE'!$R$51*'TUSD BE'!$R$58</f>
        <v>0.29426679109715864</v>
      </c>
      <c r="S51" s="25">
        <f>'TUSD BE'!$R$51*'TUSD BE'!$S$58</f>
        <v>0</v>
      </c>
      <c r="T51" s="25">
        <f ca="1">SUM($L$51:$S$51)</f>
        <v>3.0961966236208709</v>
      </c>
      <c r="U51" s="25">
        <f>'TUSD BE'!$U$51*'TUSD BE'!$U$58</f>
        <v>0</v>
      </c>
      <c r="V51" s="25">
        <f>'TUSD BE'!$V$51*'TUSD BE'!$V$58</f>
        <v>0</v>
      </c>
      <c r="W51" s="25">
        <f>'TUSD BE'!$W$51*'TUSD BE'!$W$58</f>
        <v>0</v>
      </c>
      <c r="X51" s="25">
        <f>'TUSD BE'!$X$51*'TUSD BE'!$X$58</f>
        <v>0</v>
      </c>
      <c r="Y51" s="25">
        <f>'TUSD BE'!$Y$51*'TUSD BE'!$Y$58</f>
        <v>30.229386543553879</v>
      </c>
      <c r="Z51" s="25">
        <f>'TUSD BE'!$Z$51*'TUSD BE'!$Z$58</f>
        <v>0</v>
      </c>
      <c r="AA51" s="25">
        <f>'TUSD BE'!$AA$51*'TUSD BE'!$AA$58</f>
        <v>0</v>
      </c>
      <c r="AB51" s="25">
        <f>SUM($U$51:$AA$51)</f>
        <v>30.229386543553879</v>
      </c>
      <c r="AC51" s="25">
        <f>'TUSD BE'!$AC$51*'TUSD BE'!$AC$58</f>
        <v>-75.732619042101533</v>
      </c>
      <c r="AD51" s="25">
        <f>SUM($AC$51:$AC$51)</f>
        <v>-75.732619042101533</v>
      </c>
      <c r="AE51" s="25">
        <f ca="1">$AO$51*$AO$55</f>
        <v>0</v>
      </c>
      <c r="AF51" s="25">
        <f ca="1">$AP$51*$AP$55</f>
        <v>0</v>
      </c>
      <c r="AG51" s="25">
        <f ca="1">SUM($AE$51:$AF$51)</f>
        <v>0</v>
      </c>
      <c r="AH51" s="25">
        <f>'TUSD BE'!$AH$51*'TUSD BE'!$AH$58</f>
        <v>6.0260962172299548</v>
      </c>
      <c r="AI51" s="25">
        <f>'TUSD BE'!$AI$51*'TUSD BE'!$AI$58</f>
        <v>0</v>
      </c>
      <c r="AJ51" s="25">
        <f ca="1">'TUSD BE'!$AJ$51*'TUSD BE'!$AJ$58</f>
        <v>0.56066614756532462</v>
      </c>
      <c r="AK51" s="25">
        <f ca="1">'TUSD BE'!$AK$51*'TUSD BE'!$AK$58</f>
        <v>0</v>
      </c>
      <c r="AL51" s="25">
        <f ca="1">SUM($AH$51:$AK$51)</f>
        <v>6.5867623647952795</v>
      </c>
      <c r="AM51" s="25">
        <f ca="1">SUMIF($L$4:$AL$4,"SUBTOTAL",$L$51:$AL$51)</f>
        <v>-35.820273510131507</v>
      </c>
      <c r="AO51" s="30">
        <f ca="1">+'TUSD BE'!$T$51+'TUSD BE'!$AB$51+'TUSD BE'!$AD$51+'TUSD BE'!$AL$51</f>
        <v>617.53375639986939</v>
      </c>
      <c r="AP51" s="30">
        <f ca="1">+'TUSD BE'!$T$51+'TUSD BE'!$AB$51+'TUSD BE'!$AD$51+'TUSD BE'!$AL$51</f>
        <v>617.53375639986939</v>
      </c>
    </row>
    <row r="53" spans="1:42" ht="11.25" customHeight="1" x14ac:dyDescent="0.25">
      <c r="K53" s="27" t="s">
        <v>554</v>
      </c>
      <c r="L53" s="25">
        <f>SUMPRODUCT($I$5:$I51,$L$5:$L51)</f>
        <v>0</v>
      </c>
      <c r="M53" s="25">
        <f>SUMPRODUCT($I$5:$I51,$M$5:$M51)</f>
        <v>5151.4439600447495</v>
      </c>
      <c r="N53" s="25">
        <f ca="1">SUMPRODUCT($I$5:$I51,$N$5:$N51)</f>
        <v>0</v>
      </c>
      <c r="O53" s="25">
        <f>SUMPRODUCT($I$5:$I51,$O$5:$O51)</f>
        <v>0</v>
      </c>
      <c r="P53" s="25">
        <f>SUMPRODUCT($I$5:$I51,$P$5:$P51)</f>
        <v>0</v>
      </c>
      <c r="Q53" s="25">
        <f>SUMPRODUCT($I$5:$I51,$Q$5:$Q51)</f>
        <v>180147.7937953643</v>
      </c>
      <c r="R53" s="25">
        <f>SUMPRODUCT($I$5:$I51,$R$5:$R51)</f>
        <v>19778.411797242155</v>
      </c>
      <c r="S53" s="25">
        <f>SUMPRODUCT($I$5:$I51,$S$5:$S51)</f>
        <v>0</v>
      </c>
      <c r="T53" s="25">
        <f ca="1">SUMPRODUCT($I$5:$I51,$T$5:$T51)</f>
        <v>205077.64955265116</v>
      </c>
      <c r="U53" s="25">
        <f>SUMPRODUCT($I$5:$I51,$U$5:$U51)</f>
        <v>0</v>
      </c>
      <c r="V53" s="25">
        <f>SUMPRODUCT($I$5:$I51,$V$5:$V51)</f>
        <v>0</v>
      </c>
      <c r="W53" s="25">
        <f>SUMPRODUCT($I$5:$I51,$W$5:$W51)</f>
        <v>0</v>
      </c>
      <c r="X53" s="25">
        <f>SUMPRODUCT($I$5:$I51,$X$5:$X51)</f>
        <v>0</v>
      </c>
      <c r="Y53" s="25">
        <f>SUMPRODUCT($I$5:$I51,$Y$5:$Y51)</f>
        <v>2057012.1713465145</v>
      </c>
      <c r="Z53" s="25">
        <f>SUMPRODUCT($I$5:$I51,$Z$5:$Z51)</f>
        <v>0</v>
      </c>
      <c r="AA53" s="25">
        <f>SUMPRODUCT($I$5:$I51,$AA$5:$AA51)</f>
        <v>0</v>
      </c>
      <c r="AB53" s="25">
        <f>SUMPRODUCT($I$5:$I51,$AB$5:$AB51)</f>
        <v>2057012.1713465145</v>
      </c>
      <c r="AC53" s="25">
        <f>SUMPRODUCT($I$5:$I51,$AC$5:$AC51)</f>
        <v>-4988536.0950042577</v>
      </c>
      <c r="AD53" s="25">
        <f>SUMPRODUCT($I$5:$I51,$AD$5:$AD51)</f>
        <v>-4988536.0950042577</v>
      </c>
      <c r="AE53" s="25">
        <f ca="1">SUMPRODUCT($I$5:$I51,$AE$5:$AE51)</f>
        <v>0</v>
      </c>
      <c r="AF53" s="25">
        <f ca="1">SUMPRODUCT($I$5:$I51,$AF$5:$AF51)</f>
        <v>0</v>
      </c>
      <c r="AG53" s="25">
        <f ca="1">SUMPRODUCT($I$5:$I51,$AG$5:$AG51)</f>
        <v>0</v>
      </c>
      <c r="AH53" s="25">
        <f>SUMPRODUCT($I$5:$I51,$AH$5:$AH51)</f>
        <v>393198.64148726757</v>
      </c>
      <c r="AI53" s="25">
        <f>SUMPRODUCT($I$5:$I51,$AI$5:$AI51)</f>
        <v>0</v>
      </c>
      <c r="AJ53" s="25">
        <f ca="1">SUMPRODUCT($I$5:$I51,$AJ$5:$AJ51)</f>
        <v>37417.63372611611</v>
      </c>
      <c r="AK53" s="25">
        <f ca="1">SUMPRODUCT($I$5:$I51,$AK$5:$AK51)</f>
        <v>0</v>
      </c>
      <c r="AL53" s="25">
        <f ca="1">SUMPRODUCT($I$5:$I51,$AL$5:$AL51)</f>
        <v>430616.27521338366</v>
      </c>
      <c r="AM53" s="25">
        <f ca="1">SUMPRODUCT($I$5:$I51,$AM$5:$AM51)</f>
        <v>-2295829.9988917089</v>
      </c>
      <c r="AO53" s="21">
        <f ca="1">SUMPRODUCT($I$5:$I51,$AO$5:$AO51)</f>
        <v>40954323.25704775</v>
      </c>
      <c r="AP53" s="21">
        <f ca="1">SUMPRODUCT($I$5:$I51,$AP$5:$AP51)</f>
        <v>40954323.25704775</v>
      </c>
    </row>
    <row r="54" spans="1:42" ht="11.25" customHeight="1" x14ac:dyDescent="0.25">
      <c r="K54" s="27" t="s">
        <v>486</v>
      </c>
      <c r="L54" s="25">
        <f>'TR TUSD'!$L$56</f>
        <v>939575.29936830897</v>
      </c>
      <c r="M54" s="25">
        <f>'TR TUSD'!$M$56</f>
        <v>122510.74929264619</v>
      </c>
      <c r="N54" s="25">
        <f>'TR TUSD'!$N$56</f>
        <v>0</v>
      </c>
      <c r="O54" s="25">
        <f>'TR TUSD'!$O$56</f>
        <v>0</v>
      </c>
      <c r="P54" s="25">
        <f>'TR TUSD'!$P$56</f>
        <v>0</v>
      </c>
      <c r="Q54" s="25">
        <f>'TR TUSD'!$Q$56</f>
        <v>3506533.3199799983</v>
      </c>
      <c r="R54" s="25">
        <f>'TR TUSD'!$R$56</f>
        <v>591110.68967999984</v>
      </c>
      <c r="S54" s="25">
        <f>'TR TUSD'!$S$56</f>
        <v>0</v>
      </c>
      <c r="T54" s="25">
        <f>'TR TUSD'!$T$56</f>
        <v>5159730.0583209535</v>
      </c>
      <c r="U54" s="25">
        <f>'TR TUSD'!$U$56</f>
        <v>0</v>
      </c>
      <c r="V54" s="25">
        <f>'TR TUSD'!$V$56</f>
        <v>0</v>
      </c>
      <c r="W54" s="25">
        <f>'TR TUSD'!$W$56</f>
        <v>0</v>
      </c>
      <c r="X54" s="25">
        <f>'TR TUSD'!$X$56</f>
        <v>0</v>
      </c>
      <c r="Y54" s="25">
        <f>'TR TUSD'!$Y$56</f>
        <v>8087693.3765699323</v>
      </c>
      <c r="Z54" s="25">
        <f>'TR TUSD'!$Z$56</f>
        <v>0</v>
      </c>
      <c r="AA54" s="25">
        <f>'TR TUSD'!$AA$56</f>
        <v>0</v>
      </c>
      <c r="AB54" s="25">
        <f>'TR TUSD'!$AB$56</f>
        <v>8087693.3765699323</v>
      </c>
      <c r="AC54" s="25">
        <f>'TR TUSD'!$AC$56</f>
        <v>26189026.16</v>
      </c>
      <c r="AD54" s="25">
        <f>'TR TUSD'!$AD$56</f>
        <v>26189026.16</v>
      </c>
      <c r="AE54" s="25">
        <f>'TR TUSD'!$AE$56</f>
        <v>0</v>
      </c>
      <c r="AF54" s="25">
        <f>'TR TUSD'!$AF$56</f>
        <v>0</v>
      </c>
      <c r="AG54" s="25">
        <f>'TR TUSD'!$AG$56</f>
        <v>0</v>
      </c>
      <c r="AH54" s="25">
        <f>'TR TUSD'!$AH$56</f>
        <v>1385980.7356645614</v>
      </c>
      <c r="AI54" s="25">
        <f>'TR TUSD'!$AI$56</f>
        <v>0</v>
      </c>
      <c r="AJ54" s="25">
        <f>'TR TUSD'!$AJ$56</f>
        <v>131892.92649229267</v>
      </c>
      <c r="AK54" s="25">
        <f>'TR TUSD'!$AK$56</f>
        <v>0</v>
      </c>
      <c r="AL54" s="25">
        <f>'TR TUSD'!$AL$56</f>
        <v>1517873.6621568541</v>
      </c>
      <c r="AM54" s="25">
        <f>'TUSD BE'!$AM$54</f>
        <v>40954323.257047743</v>
      </c>
      <c r="AO54" s="21">
        <f>$AE$55</f>
        <v>0</v>
      </c>
      <c r="AP54" s="21">
        <f>$AF$55</f>
        <v>0</v>
      </c>
    </row>
    <row r="55" spans="1:42" ht="11.25" customHeight="1" x14ac:dyDescent="0.25">
      <c r="K55" s="27" t="s">
        <v>487</v>
      </c>
      <c r="L55" s="25">
        <f>CUSTOS!$E$2</f>
        <v>0</v>
      </c>
      <c r="M55" s="25">
        <f>CUSTOS!$E$3</f>
        <v>5151.4439600447486</v>
      </c>
      <c r="N55" s="25">
        <f>CUSTOS!$E$4</f>
        <v>0</v>
      </c>
      <c r="O55" s="25">
        <f>CUSTOS!$E$5</f>
        <v>0</v>
      </c>
      <c r="P55" s="25">
        <f>CUSTOS!$E$6</f>
        <v>0</v>
      </c>
      <c r="Q55" s="25">
        <f>CUSTOS!$E$7</f>
        <v>180147.7937953643</v>
      </c>
      <c r="R55" s="25">
        <f>CUSTOS!$E$8</f>
        <v>19778.411797242152</v>
      </c>
      <c r="S55" s="25">
        <f>CUSTOS!$E$9</f>
        <v>0</v>
      </c>
      <c r="T55" s="25">
        <f>CUSTOS!$E$10</f>
        <v>205077.64955265119</v>
      </c>
      <c r="U55" s="25">
        <f>CUSTOS!$E$11</f>
        <v>0</v>
      </c>
      <c r="V55" s="25">
        <f>CUSTOS!$E$12</f>
        <v>0</v>
      </c>
      <c r="W55" s="25">
        <f>CUSTOS!$E$13</f>
        <v>0</v>
      </c>
      <c r="X55" s="25">
        <f>CUSTOS!$E$14</f>
        <v>0</v>
      </c>
      <c r="Y55" s="25">
        <f>CUSTOS!$E$15</f>
        <v>2057012.1713465147</v>
      </c>
      <c r="Z55" s="25">
        <f>CUSTOS!$E$16</f>
        <v>0</v>
      </c>
      <c r="AA55" s="25">
        <f>CUSTOS!$E$17</f>
        <v>0</v>
      </c>
      <c r="AB55" s="25">
        <f>CUSTOS!$E$18</f>
        <v>2057012.1713465147</v>
      </c>
      <c r="AC55" s="25">
        <f>CUSTOS!$E$19</f>
        <v>-4988536.0950042587</v>
      </c>
      <c r="AD55" s="25">
        <f>CUSTOS!$E$20</f>
        <v>-4988536.0950042587</v>
      </c>
      <c r="AE55" s="25">
        <f>CUSTOS!$E$21</f>
        <v>0</v>
      </c>
      <c r="AF55" s="25">
        <f>CUSTOS!$E$22</f>
        <v>0</v>
      </c>
      <c r="AG55" s="25">
        <f>CUSTOS!$E$23</f>
        <v>0</v>
      </c>
      <c r="AH55" s="25">
        <f>CUSTOS!$E$24</f>
        <v>393198.64148726751</v>
      </c>
      <c r="AI55" s="25">
        <f>CUSTOS!$E$25</f>
        <v>0</v>
      </c>
      <c r="AJ55" s="25">
        <f>CUSTOS!$E$26</f>
        <v>37417.63372611611</v>
      </c>
      <c r="AK55" s="25">
        <f>CUSTOS!$E$27</f>
        <v>0</v>
      </c>
      <c r="AL55" s="25">
        <f>CUSTOS!$E$28</f>
        <v>430616.2752133836</v>
      </c>
      <c r="AM55" s="25">
        <f>CUSTOS!$E$29</f>
        <v>-2295829.9988917094</v>
      </c>
      <c r="AO55" s="21">
        <f ca="1">IF(AO53&lt;&gt;0,AO54/AO53,0)</f>
        <v>0</v>
      </c>
      <c r="AP55" s="21">
        <f ca="1">IF(AP53&lt;&gt;0,AP54/AP53,0)</f>
        <v>0</v>
      </c>
    </row>
    <row r="56" spans="1:42" ht="11.25" customHeight="1" x14ac:dyDescent="0.25">
      <c r="K56" s="27" t="s">
        <v>488</v>
      </c>
      <c r="L56" s="25">
        <f>CUSTOS!$F$2</f>
        <v>0</v>
      </c>
      <c r="M56" s="25">
        <f>CUSTOS!$F$3</f>
        <v>0</v>
      </c>
      <c r="N56" s="25">
        <f>CUSTOS!$F$4</f>
        <v>0</v>
      </c>
      <c r="O56" s="25">
        <f>CUSTOS!$F$5</f>
        <v>0</v>
      </c>
      <c r="P56" s="25">
        <f>CUSTOS!$F$6</f>
        <v>0</v>
      </c>
      <c r="Q56" s="25">
        <f>CUSTOS!$F$7</f>
        <v>0</v>
      </c>
      <c r="R56" s="25">
        <f>CUSTOS!$F$8</f>
        <v>0</v>
      </c>
      <c r="S56" s="25">
        <f>CUSTOS!$F$9</f>
        <v>0</v>
      </c>
      <c r="T56" s="25">
        <f>CUSTOS!$F$10</f>
        <v>0</v>
      </c>
      <c r="U56" s="25">
        <f>CUSTOS!$F$11</f>
        <v>0</v>
      </c>
      <c r="V56" s="25">
        <f>CUSTOS!$F$12</f>
        <v>0</v>
      </c>
      <c r="W56" s="25">
        <f>CUSTOS!$F$13</f>
        <v>0</v>
      </c>
      <c r="X56" s="25">
        <f>CUSTOS!$F$14</f>
        <v>0</v>
      </c>
      <c r="Y56" s="25">
        <f>CUSTOS!$F$15</f>
        <v>0</v>
      </c>
      <c r="Z56" s="25">
        <f>CUSTOS!$F$16</f>
        <v>0</v>
      </c>
      <c r="AA56" s="25">
        <f>CUSTOS!$F$17</f>
        <v>0</v>
      </c>
      <c r="AB56" s="25">
        <f>CUSTOS!$F$18</f>
        <v>0</v>
      </c>
      <c r="AC56" s="25">
        <f>CUSTOS!$F$19</f>
        <v>0</v>
      </c>
      <c r="AD56" s="25">
        <f>CUSTOS!$F$20</f>
        <v>0</v>
      </c>
      <c r="AE56" s="25">
        <f>CUSTOS!$F$21</f>
        <v>0</v>
      </c>
      <c r="AF56" s="25">
        <f>CUSTOS!$F$22</f>
        <v>0</v>
      </c>
      <c r="AG56" s="25">
        <f>CUSTOS!$F$23</f>
        <v>0</v>
      </c>
      <c r="AH56" s="25">
        <f>CUSTOS!$F$24</f>
        <v>0</v>
      </c>
      <c r="AI56" s="25">
        <f>CUSTOS!$F$25</f>
        <v>0</v>
      </c>
      <c r="AJ56" s="25">
        <f>CUSTOS!$F$26</f>
        <v>0</v>
      </c>
      <c r="AK56" s="25">
        <f>CUSTOS!$F$27</f>
        <v>0</v>
      </c>
      <c r="AL56" s="25">
        <f>CUSTOS!$F$28</f>
        <v>0</v>
      </c>
      <c r="AM56" s="25">
        <f>CUSTOS!$F$29</f>
        <v>0</v>
      </c>
    </row>
    <row r="57" spans="1:42" ht="11.25" customHeight="1" x14ac:dyDescent="0.25">
      <c r="K57" s="27" t="s">
        <v>551</v>
      </c>
      <c r="L57" s="25">
        <v>0</v>
      </c>
      <c r="M57" s="25">
        <v>0</v>
      </c>
      <c r="N57" s="25">
        <v>0</v>
      </c>
      <c r="O57" s="25">
        <v>0</v>
      </c>
      <c r="P57" s="25">
        <v>0</v>
      </c>
      <c r="Q57" s="25">
        <v>0</v>
      </c>
      <c r="R57" s="25">
        <v>0</v>
      </c>
      <c r="S57" s="25">
        <v>0</v>
      </c>
      <c r="T57" s="25">
        <f>SUM($L$57:$S$57)</f>
        <v>0</v>
      </c>
      <c r="U57" s="25">
        <v>0</v>
      </c>
      <c r="V57" s="25">
        <v>0</v>
      </c>
      <c r="W57" s="25">
        <v>0</v>
      </c>
      <c r="X57" s="25">
        <v>0</v>
      </c>
      <c r="Y57" s="25">
        <v>0</v>
      </c>
      <c r="Z57" s="25">
        <v>0</v>
      </c>
      <c r="AA57" s="25">
        <v>0</v>
      </c>
      <c r="AB57" s="25">
        <f>SUM($U$57:$AA$57)</f>
        <v>0</v>
      </c>
      <c r="AC57" s="25">
        <v>0</v>
      </c>
      <c r="AD57" s="25">
        <f>SUM($AC$57:$AC$57)</f>
        <v>0</v>
      </c>
      <c r="AE57" s="25">
        <v>0</v>
      </c>
      <c r="AF57" s="25">
        <v>0</v>
      </c>
      <c r="AG57" s="25">
        <f>SUM($AE$57:$AF$57)</f>
        <v>0</v>
      </c>
      <c r="AH57" s="25">
        <v>0</v>
      </c>
      <c r="AI57" s="25">
        <v>0</v>
      </c>
      <c r="AJ57" s="25">
        <v>0</v>
      </c>
      <c r="AK57" s="25">
        <v>0</v>
      </c>
      <c r="AL57" s="25">
        <f>SUM($AH$57:$AK$57)</f>
        <v>0</v>
      </c>
      <c r="AM57" s="25"/>
    </row>
    <row r="58" spans="1:42" ht="11.25" customHeight="1" x14ac:dyDescent="0.25">
      <c r="K58" s="27" t="s">
        <v>563</v>
      </c>
      <c r="L58" s="25">
        <f t="shared" ref="L58:R58" si="0">IF((L54-(0))&lt;&gt;0,(L56)/(L54-(0)),0)</f>
        <v>0</v>
      </c>
      <c r="M58" s="25">
        <f t="shared" si="0"/>
        <v>0</v>
      </c>
      <c r="N58" s="25">
        <f t="shared" si="0"/>
        <v>0</v>
      </c>
      <c r="O58" s="25">
        <f t="shared" si="0"/>
        <v>0</v>
      </c>
      <c r="P58" s="25">
        <f t="shared" si="0"/>
        <v>0</v>
      </c>
      <c r="Q58" s="25">
        <f t="shared" si="0"/>
        <v>0</v>
      </c>
      <c r="R58" s="25">
        <f t="shared" si="0"/>
        <v>0</v>
      </c>
      <c r="S58" s="25">
        <f>IF((R53-(0)&lt;&gt;0),(S55)/(R53-(0)),0)</f>
        <v>0</v>
      </c>
      <c r="T58" s="25"/>
      <c r="U58" s="25">
        <f t="shared" ref="U58:AA58" si="1">IF((U54-(0))&lt;&gt;0,(U56)/(U54-(0)),0)</f>
        <v>0</v>
      </c>
      <c r="V58" s="25">
        <f t="shared" si="1"/>
        <v>0</v>
      </c>
      <c r="W58" s="25">
        <f t="shared" si="1"/>
        <v>0</v>
      </c>
      <c r="X58" s="25">
        <f t="shared" si="1"/>
        <v>0</v>
      </c>
      <c r="Y58" s="25">
        <f t="shared" si="1"/>
        <v>0</v>
      </c>
      <c r="Z58" s="25">
        <f t="shared" si="1"/>
        <v>0</v>
      </c>
      <c r="AA58" s="25">
        <f t="shared" si="1"/>
        <v>0</v>
      </c>
      <c r="AB58" s="25"/>
      <c r="AC58" s="25">
        <f>IF((AC54-(0))&lt;&gt;0,(AC56)/(AC54-(0)),0)</f>
        <v>0</v>
      </c>
      <c r="AD58" s="25"/>
      <c r="AE58" s="25">
        <f ca="1">IF(($AM53-(0))&lt;&gt;0,(AE55)/($AM53-(0)),0)</f>
        <v>0</v>
      </c>
      <c r="AF58" s="25">
        <f ca="1">IF(($AM53-(0))&lt;&gt;0,(AF55)/($AM53-(0)),0)</f>
        <v>0</v>
      </c>
      <c r="AG58" s="25"/>
      <c r="AH58" s="25">
        <f>IF((AH54-(0))&lt;&gt;0,(AH56)/(AH54-(0)),0)</f>
        <v>0</v>
      </c>
      <c r="AI58" s="25">
        <f>IF((AI54-(0))&lt;&gt;0,(AI56)/(AI54-(0)),0)</f>
        <v>0</v>
      </c>
      <c r="AJ58" s="25">
        <f>IF((AJ54-(0))&lt;&gt;0,(AJ56)/(AJ54-(0)),0)</f>
        <v>0</v>
      </c>
      <c r="AK58" s="25">
        <f>IF((AK54-(0))&lt;&gt;0,(AK56)/(AK54-(0)),0)</f>
        <v>0</v>
      </c>
      <c r="AL58" s="25"/>
      <c r="AM58" s="25"/>
    </row>
  </sheetData>
  <mergeCells count="73">
    <mergeCell ref="D1:D4"/>
    <mergeCell ref="E1:E4"/>
    <mergeCell ref="F1:F4"/>
    <mergeCell ref="J1:J4"/>
    <mergeCell ref="L1:AM1"/>
    <mergeCell ref="G1:G4"/>
    <mergeCell ref="H1:H4"/>
    <mergeCell ref="I1:I4"/>
    <mergeCell ref="AP1:AP4"/>
    <mergeCell ref="L2:AM2"/>
    <mergeCell ref="L3:T3"/>
    <mergeCell ref="U3:AB3"/>
    <mergeCell ref="AC3:AD3"/>
    <mergeCell ref="AE3:AG3"/>
    <mergeCell ref="AH3:AL3"/>
    <mergeCell ref="AM3:AM4"/>
    <mergeCell ref="A1:A4"/>
    <mergeCell ref="C10:C14"/>
    <mergeCell ref="D10:D14"/>
    <mergeCell ref="E10:E12"/>
    <mergeCell ref="F10:F12"/>
    <mergeCell ref="E13:E14"/>
    <mergeCell ref="F13:F14"/>
    <mergeCell ref="F5:F7"/>
    <mergeCell ref="B10:B14"/>
    <mergeCell ref="A5:A14"/>
    <mergeCell ref="B5:B8"/>
    <mergeCell ref="C5:C8"/>
    <mergeCell ref="D5:D8"/>
    <mergeCell ref="E5:E7"/>
    <mergeCell ref="B1:B4"/>
    <mergeCell ref="C1:C4"/>
    <mergeCell ref="A15:A16"/>
    <mergeCell ref="B15:B16"/>
    <mergeCell ref="C15:C16"/>
    <mergeCell ref="D15:D16"/>
    <mergeCell ref="A17:A29"/>
    <mergeCell ref="B17:B19"/>
    <mergeCell ref="C17:C19"/>
    <mergeCell ref="D17:D19"/>
    <mergeCell ref="E17:E19"/>
    <mergeCell ref="F17:F19"/>
    <mergeCell ref="B20:B24"/>
    <mergeCell ref="C20:C24"/>
    <mergeCell ref="B25:B29"/>
    <mergeCell ref="C25:C29"/>
    <mergeCell ref="D38:D40"/>
    <mergeCell ref="E38:E40"/>
    <mergeCell ref="F38:F40"/>
    <mergeCell ref="D30:D32"/>
    <mergeCell ref="E30:E32"/>
    <mergeCell ref="F30:F32"/>
    <mergeCell ref="D34:D36"/>
    <mergeCell ref="E34:E36"/>
    <mergeCell ref="F34:F36"/>
    <mergeCell ref="B42:B44"/>
    <mergeCell ref="C42:C44"/>
    <mergeCell ref="A45:A49"/>
    <mergeCell ref="B45:B47"/>
    <mergeCell ref="C45:C47"/>
    <mergeCell ref="A30:A44"/>
    <mergeCell ref="B30:B32"/>
    <mergeCell ref="C30:C32"/>
    <mergeCell ref="B38:B40"/>
    <mergeCell ref="C38:C40"/>
    <mergeCell ref="B34:B36"/>
    <mergeCell ref="C34:C36"/>
    <mergeCell ref="E45:E47"/>
    <mergeCell ref="F45:F47"/>
    <mergeCell ref="A50:A51"/>
    <mergeCell ref="B50:B51"/>
    <mergeCell ref="C50:C51"/>
    <mergeCell ref="D45:D47"/>
  </mergeCells>
  <conditionalFormatting sqref="L53">
    <cfRule type="cellIs" dxfId="789" priority="55" operator="notEqual">
      <formula>$L$55</formula>
    </cfRule>
    <cfRule type="cellIs" dxfId="788" priority="56" operator="equal">
      <formula>$L$55</formula>
    </cfRule>
  </conditionalFormatting>
  <conditionalFormatting sqref="M53">
    <cfRule type="cellIs" dxfId="787" priority="53" operator="notEqual">
      <formula>$M$55</formula>
    </cfRule>
    <cfRule type="cellIs" dxfId="786" priority="54" operator="equal">
      <formula>$M$55</formula>
    </cfRule>
  </conditionalFormatting>
  <conditionalFormatting sqref="N53">
    <cfRule type="cellIs" dxfId="785" priority="51" operator="notEqual">
      <formula>$N$55</formula>
    </cfRule>
    <cfRule type="cellIs" dxfId="784" priority="52" operator="equal">
      <formula>$N$55</formula>
    </cfRule>
  </conditionalFormatting>
  <conditionalFormatting sqref="O53">
    <cfRule type="cellIs" dxfId="783" priority="49" operator="notEqual">
      <formula>$O$55</formula>
    </cfRule>
    <cfRule type="cellIs" dxfId="782" priority="50" operator="equal">
      <formula>$O$55</formula>
    </cfRule>
  </conditionalFormatting>
  <conditionalFormatting sqref="P53">
    <cfRule type="cellIs" dxfId="781" priority="47" operator="notEqual">
      <formula>$P$55</formula>
    </cfRule>
    <cfRule type="cellIs" dxfId="780" priority="48" operator="equal">
      <formula>$P$55</formula>
    </cfRule>
  </conditionalFormatting>
  <conditionalFormatting sqref="Q53">
    <cfRule type="cellIs" dxfId="779" priority="45" operator="notEqual">
      <formula>$Q$55</formula>
    </cfRule>
    <cfRule type="cellIs" dxfId="778" priority="46" operator="equal">
      <formula>$Q$55</formula>
    </cfRule>
  </conditionalFormatting>
  <conditionalFormatting sqref="R53">
    <cfRule type="cellIs" dxfId="777" priority="43" operator="notEqual">
      <formula>$R$55</formula>
    </cfRule>
    <cfRule type="cellIs" dxfId="776" priority="44" operator="equal">
      <formula>$R$55</formula>
    </cfRule>
  </conditionalFormatting>
  <conditionalFormatting sqref="S53">
    <cfRule type="cellIs" dxfId="775" priority="41" operator="notEqual">
      <formula>$S$55</formula>
    </cfRule>
    <cfRule type="cellIs" dxfId="774" priority="42" operator="equal">
      <formula>$S$55</formula>
    </cfRule>
  </conditionalFormatting>
  <conditionalFormatting sqref="T53">
    <cfRule type="cellIs" dxfId="773" priority="39" operator="notEqual">
      <formula>$T$55</formula>
    </cfRule>
    <cfRule type="cellIs" dxfId="772" priority="40" operator="equal">
      <formula>$T$55</formula>
    </cfRule>
  </conditionalFormatting>
  <conditionalFormatting sqref="U53">
    <cfRule type="cellIs" dxfId="771" priority="37" operator="notEqual">
      <formula>$U$55</formula>
    </cfRule>
    <cfRule type="cellIs" dxfId="770" priority="38" operator="equal">
      <formula>$U$55</formula>
    </cfRule>
  </conditionalFormatting>
  <conditionalFormatting sqref="V53">
    <cfRule type="cellIs" dxfId="769" priority="35" operator="notEqual">
      <formula>$V$55</formula>
    </cfRule>
    <cfRule type="cellIs" dxfId="768" priority="36" operator="equal">
      <formula>$V$55</formula>
    </cfRule>
  </conditionalFormatting>
  <conditionalFormatting sqref="W53">
    <cfRule type="cellIs" dxfId="767" priority="33" operator="notEqual">
      <formula>$W$55</formula>
    </cfRule>
    <cfRule type="cellIs" dxfId="766" priority="34" operator="equal">
      <formula>$W$55</formula>
    </cfRule>
  </conditionalFormatting>
  <conditionalFormatting sqref="X53">
    <cfRule type="cellIs" dxfId="765" priority="31" operator="notEqual">
      <formula>$X$55</formula>
    </cfRule>
    <cfRule type="cellIs" dxfId="764" priority="32" operator="equal">
      <formula>$X$55</formula>
    </cfRule>
  </conditionalFormatting>
  <conditionalFormatting sqref="Y53">
    <cfRule type="cellIs" dxfId="763" priority="29" operator="notEqual">
      <formula>$Y$55</formula>
    </cfRule>
    <cfRule type="cellIs" dxfId="762" priority="30" operator="equal">
      <formula>$Y$55</formula>
    </cfRule>
  </conditionalFormatting>
  <conditionalFormatting sqref="Z53">
    <cfRule type="cellIs" dxfId="761" priority="27" operator="notEqual">
      <formula>$Z$55</formula>
    </cfRule>
    <cfRule type="cellIs" dxfId="760" priority="28" operator="equal">
      <formula>$Z$55</formula>
    </cfRule>
  </conditionalFormatting>
  <conditionalFormatting sqref="AA53">
    <cfRule type="cellIs" dxfId="759" priority="25" operator="notEqual">
      <formula>$AA$55</formula>
    </cfRule>
    <cfRule type="cellIs" dxfId="758" priority="26" operator="equal">
      <formula>$AA$55</formula>
    </cfRule>
  </conditionalFormatting>
  <conditionalFormatting sqref="AB53">
    <cfRule type="cellIs" dxfId="757" priority="23" operator="notEqual">
      <formula>$AB$55</formula>
    </cfRule>
    <cfRule type="cellIs" dxfId="756" priority="24" operator="equal">
      <formula>$AB$55</formula>
    </cfRule>
  </conditionalFormatting>
  <conditionalFormatting sqref="AC53">
    <cfRule type="cellIs" dxfId="755" priority="21" operator="notEqual">
      <formula>$AC$55</formula>
    </cfRule>
    <cfRule type="cellIs" dxfId="754" priority="22" operator="equal">
      <formula>$AC$55</formula>
    </cfRule>
  </conditionalFormatting>
  <conditionalFormatting sqref="AD53">
    <cfRule type="cellIs" dxfId="753" priority="19" operator="notEqual">
      <formula>$AD$55</formula>
    </cfRule>
    <cfRule type="cellIs" dxfId="752" priority="20" operator="equal">
      <formula>$AD$55</formula>
    </cfRule>
  </conditionalFormatting>
  <conditionalFormatting sqref="AE53">
    <cfRule type="cellIs" dxfId="751" priority="17" operator="notEqual">
      <formula>$AE$55</formula>
    </cfRule>
    <cfRule type="cellIs" dxfId="750" priority="18" operator="equal">
      <formula>$AE$55</formula>
    </cfRule>
  </conditionalFormatting>
  <conditionalFormatting sqref="AF53">
    <cfRule type="cellIs" dxfId="749" priority="16" operator="equal">
      <formula>$AF$55</formula>
    </cfRule>
  </conditionalFormatting>
  <conditionalFormatting sqref="AF53">
    <cfRule type="cellIs" dxfId="748" priority="15" operator="notEqual">
      <formula>$AF$55</formula>
    </cfRule>
  </conditionalFormatting>
  <conditionalFormatting sqref="AG53">
    <cfRule type="cellIs" dxfId="747" priority="14" operator="equal">
      <formula>$AG$55</formula>
    </cfRule>
  </conditionalFormatting>
  <conditionalFormatting sqref="AG53">
    <cfRule type="cellIs" dxfId="746" priority="13" operator="notEqual">
      <formula>$AG$55</formula>
    </cfRule>
  </conditionalFormatting>
  <conditionalFormatting sqref="AH53">
    <cfRule type="cellIs" dxfId="745" priority="12" operator="equal">
      <formula>$AH$55</formula>
    </cfRule>
  </conditionalFormatting>
  <conditionalFormatting sqref="AH53">
    <cfRule type="cellIs" dxfId="744" priority="11" operator="notEqual">
      <formula>$AH$55</formula>
    </cfRule>
  </conditionalFormatting>
  <conditionalFormatting sqref="AI53">
    <cfRule type="cellIs" dxfId="743" priority="10" operator="equal">
      <formula>$AI$55</formula>
    </cfRule>
  </conditionalFormatting>
  <conditionalFormatting sqref="AI53">
    <cfRule type="cellIs" dxfId="742" priority="9" operator="notEqual">
      <formula>$AI$55</formula>
    </cfRule>
  </conditionalFormatting>
  <conditionalFormatting sqref="AJ53">
    <cfRule type="cellIs" dxfId="741" priority="8" operator="equal">
      <formula>$AJ$55</formula>
    </cfRule>
  </conditionalFormatting>
  <conditionalFormatting sqref="AJ53">
    <cfRule type="cellIs" dxfId="740" priority="7" operator="notEqual">
      <formula>$AJ$55</formula>
    </cfRule>
  </conditionalFormatting>
  <conditionalFormatting sqref="AK53">
    <cfRule type="cellIs" dxfId="739" priority="6" operator="equal">
      <formula>$AK$55</formula>
    </cfRule>
  </conditionalFormatting>
  <conditionalFormatting sqref="AK53">
    <cfRule type="cellIs" dxfId="738" priority="5" operator="notEqual">
      <formula>$AK$55</formula>
    </cfRule>
  </conditionalFormatting>
  <conditionalFormatting sqref="AL53">
    <cfRule type="cellIs" dxfId="737" priority="4" operator="equal">
      <formula>$AL$55</formula>
    </cfRule>
  </conditionalFormatting>
  <conditionalFormatting sqref="AL53">
    <cfRule type="cellIs" dxfId="736" priority="3" operator="notEqual">
      <formula>$AL$55</formula>
    </cfRule>
  </conditionalFormatting>
  <conditionalFormatting sqref="AM53">
    <cfRule type="cellIs" dxfId="735" priority="2" operator="equal">
      <formula>$AM$55</formula>
    </cfRule>
  </conditionalFormatting>
  <conditionalFormatting sqref="AM53">
    <cfRule type="cellIs" dxfId="734" priority="1" operator="notEqual">
      <formula>$AM$55</formula>
    </cfRule>
  </conditionalFormatting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23F0C-44F3-4A1E-9125-65AFF1DF82EB}">
  <dimension ref="A1:AP57"/>
  <sheetViews>
    <sheetView showGridLines="0" topLeftCell="AA29" workbookViewId="0">
      <selection activeCell="AO53" sqref="AO53:AP55"/>
    </sheetView>
  </sheetViews>
  <sheetFormatPr defaultRowHeight="11.25" customHeight="1" x14ac:dyDescent="0.25"/>
  <cols>
    <col min="1" max="1" width="9.28515625" style="9" bestFit="1" customWidth="1"/>
    <col min="2" max="2" width="21.5703125" style="9" bestFit="1" customWidth="1"/>
    <col min="3" max="3" width="13.5703125" style="9" bestFit="1" customWidth="1"/>
    <col min="4" max="4" width="25.140625" style="9" bestFit="1" customWidth="1"/>
    <col min="5" max="6" width="10.28515625" style="9" bestFit="1" customWidth="1"/>
    <col min="7" max="7" width="6.28515625" style="9" bestFit="1" customWidth="1"/>
    <col min="8" max="8" width="7.42578125" style="9" bestFit="1" customWidth="1"/>
    <col min="9" max="9" width="7.85546875" style="9" bestFit="1" customWidth="1"/>
    <col min="10" max="10" width="9.140625" style="9"/>
    <col min="11" max="11" width="14.28515625" style="9" bestFit="1" customWidth="1"/>
    <col min="12" max="12" width="13.42578125" style="9" bestFit="1" customWidth="1"/>
    <col min="13" max="13" width="8.7109375" style="9" bestFit="1" customWidth="1"/>
    <col min="14" max="14" width="4.140625" style="9" bestFit="1" customWidth="1"/>
    <col min="15" max="16" width="4.85546875" style="9" bestFit="1" customWidth="1"/>
    <col min="17" max="17" width="10" style="9" bestFit="1" customWidth="1"/>
    <col min="18" max="19" width="8.7109375" style="9" bestFit="1" customWidth="1"/>
    <col min="20" max="20" width="10" style="9" bestFit="1" customWidth="1"/>
    <col min="21" max="21" width="7.42578125" style="9" bestFit="1" customWidth="1"/>
    <col min="22" max="22" width="7.28515625" style="9" bestFit="1" customWidth="1"/>
    <col min="23" max="24" width="9.85546875" style="9" bestFit="1" customWidth="1"/>
    <col min="25" max="25" width="10" style="9" bestFit="1" customWidth="1"/>
    <col min="26" max="26" width="7.7109375" style="9" bestFit="1" customWidth="1"/>
    <col min="27" max="27" width="9.85546875" style="9" bestFit="1" customWidth="1"/>
    <col min="28" max="28" width="10" style="9" bestFit="1" customWidth="1"/>
    <col min="29" max="29" width="11.7109375" style="9" bestFit="1" customWidth="1"/>
    <col min="30" max="30" width="10.85546875" style="9" bestFit="1" customWidth="1"/>
    <col min="31" max="31" width="8" style="9" bestFit="1" customWidth="1"/>
    <col min="32" max="32" width="7.28515625" style="9" bestFit="1" customWidth="1"/>
    <col min="33" max="33" width="9.28515625" style="9" bestFit="1" customWidth="1"/>
    <col min="34" max="34" width="15.28515625" style="9" bestFit="1" customWidth="1"/>
    <col min="35" max="35" width="18" style="9" bestFit="1" customWidth="1"/>
    <col min="36" max="36" width="19.140625" style="9" bestFit="1" customWidth="1"/>
    <col min="37" max="37" width="4" style="9" bestFit="1" customWidth="1"/>
    <col min="38" max="38" width="10" style="9" bestFit="1" customWidth="1"/>
    <col min="39" max="39" width="10.85546875" style="9" bestFit="1" customWidth="1"/>
    <col min="40" max="40" width="9.140625" style="9"/>
    <col min="41" max="42" width="10.85546875" style="9" bestFit="1" customWidth="1"/>
    <col min="43" max="16384" width="9.140625" style="9"/>
  </cols>
  <sheetData>
    <row r="1" spans="1:42" ht="11.25" customHeight="1" x14ac:dyDescent="0.25">
      <c r="A1" s="130" t="s">
        <v>61</v>
      </c>
      <c r="B1" s="130" t="s">
        <v>62</v>
      </c>
      <c r="C1" s="130" t="s">
        <v>63</v>
      </c>
      <c r="D1" s="130" t="s">
        <v>64</v>
      </c>
      <c r="E1" s="130" t="s">
        <v>65</v>
      </c>
      <c r="F1" s="130" t="s">
        <v>15</v>
      </c>
      <c r="G1" s="130" t="s">
        <v>67</v>
      </c>
      <c r="H1" s="130" t="s">
        <v>68</v>
      </c>
      <c r="I1" s="130" t="s">
        <v>545</v>
      </c>
      <c r="J1" s="124"/>
      <c r="L1" s="131" t="s">
        <v>565</v>
      </c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1"/>
      <c r="Y1" s="131"/>
      <c r="Z1" s="131"/>
      <c r="AA1" s="131"/>
      <c r="AB1" s="131"/>
      <c r="AC1" s="131"/>
      <c r="AD1" s="131"/>
      <c r="AE1" s="131"/>
      <c r="AF1" s="131"/>
      <c r="AG1" s="131"/>
      <c r="AH1" s="131"/>
      <c r="AI1" s="131"/>
      <c r="AJ1" s="131"/>
      <c r="AK1" s="131"/>
      <c r="AL1" s="131"/>
      <c r="AM1" s="131"/>
      <c r="AO1" s="30"/>
      <c r="AP1" s="135" t="s">
        <v>547</v>
      </c>
    </row>
    <row r="2" spans="1:42" ht="11.25" customHeight="1" x14ac:dyDescent="0.25">
      <c r="A2" s="130"/>
      <c r="B2" s="130"/>
      <c r="C2" s="130"/>
      <c r="D2" s="130"/>
      <c r="E2" s="130"/>
      <c r="F2" s="130"/>
      <c r="G2" s="130"/>
      <c r="H2" s="130"/>
      <c r="I2" s="130"/>
      <c r="J2" s="124"/>
      <c r="L2" s="131" t="s">
        <v>445</v>
      </c>
      <c r="M2" s="131"/>
      <c r="N2" s="131"/>
      <c r="O2" s="131"/>
      <c r="P2" s="131"/>
      <c r="Q2" s="131"/>
      <c r="R2" s="131"/>
      <c r="S2" s="131"/>
      <c r="T2" s="131"/>
      <c r="U2" s="131"/>
      <c r="V2" s="131"/>
      <c r="W2" s="131"/>
      <c r="X2" s="131"/>
      <c r="Y2" s="131"/>
      <c r="Z2" s="131"/>
      <c r="AA2" s="131"/>
      <c r="AB2" s="131"/>
      <c r="AC2" s="131"/>
      <c r="AD2" s="131"/>
      <c r="AE2" s="131"/>
      <c r="AF2" s="131"/>
      <c r="AG2" s="131"/>
      <c r="AH2" s="131"/>
      <c r="AI2" s="131"/>
      <c r="AJ2" s="131"/>
      <c r="AK2" s="131"/>
      <c r="AL2" s="131"/>
      <c r="AM2" s="131"/>
      <c r="AO2" s="30"/>
      <c r="AP2" s="136"/>
    </row>
    <row r="3" spans="1:42" ht="11.25" customHeight="1" x14ac:dyDescent="0.25">
      <c r="A3" s="130"/>
      <c r="B3" s="130"/>
      <c r="C3" s="130"/>
      <c r="D3" s="130"/>
      <c r="E3" s="130"/>
      <c r="F3" s="130"/>
      <c r="G3" s="130"/>
      <c r="H3" s="130"/>
      <c r="I3" s="130"/>
      <c r="J3" s="124"/>
      <c r="L3" s="131" t="s">
        <v>446</v>
      </c>
      <c r="M3" s="131"/>
      <c r="N3" s="131"/>
      <c r="O3" s="131"/>
      <c r="P3" s="131"/>
      <c r="Q3" s="131"/>
      <c r="R3" s="131"/>
      <c r="S3" s="131"/>
      <c r="T3" s="131"/>
      <c r="U3" s="131" t="s">
        <v>455</v>
      </c>
      <c r="V3" s="131"/>
      <c r="W3" s="131"/>
      <c r="X3" s="131"/>
      <c r="Y3" s="131"/>
      <c r="Z3" s="131"/>
      <c r="AA3" s="131"/>
      <c r="AB3" s="131"/>
      <c r="AC3" s="131" t="s">
        <v>463</v>
      </c>
      <c r="AD3" s="131"/>
      <c r="AE3" s="131" t="s">
        <v>465</v>
      </c>
      <c r="AF3" s="131"/>
      <c r="AG3" s="131"/>
      <c r="AH3" s="131" t="s">
        <v>468</v>
      </c>
      <c r="AI3" s="131"/>
      <c r="AJ3" s="131"/>
      <c r="AK3" s="131"/>
      <c r="AL3" s="131"/>
      <c r="AM3" s="131" t="s">
        <v>454</v>
      </c>
      <c r="AO3" s="30"/>
      <c r="AP3" s="136"/>
    </row>
    <row r="4" spans="1:42" ht="11.25" customHeight="1" x14ac:dyDescent="0.25">
      <c r="A4" s="130"/>
      <c r="B4" s="130"/>
      <c r="C4" s="130"/>
      <c r="D4" s="130"/>
      <c r="E4" s="130"/>
      <c r="F4" s="130"/>
      <c r="G4" s="130"/>
      <c r="H4" s="130"/>
      <c r="I4" s="130"/>
      <c r="J4" s="124"/>
      <c r="L4" s="26" t="s">
        <v>530</v>
      </c>
      <c r="M4" s="26" t="s">
        <v>447</v>
      </c>
      <c r="N4" s="26" t="s">
        <v>448</v>
      </c>
      <c r="O4" s="26" t="s">
        <v>449</v>
      </c>
      <c r="P4" s="26" t="s">
        <v>450</v>
      </c>
      <c r="Q4" s="26" t="s">
        <v>451</v>
      </c>
      <c r="R4" s="26" t="s">
        <v>452</v>
      </c>
      <c r="S4" s="26" t="s">
        <v>453</v>
      </c>
      <c r="T4" s="26" t="s">
        <v>454</v>
      </c>
      <c r="U4" s="26" t="s">
        <v>456</v>
      </c>
      <c r="V4" s="26" t="s">
        <v>457</v>
      </c>
      <c r="W4" s="26" t="s">
        <v>458</v>
      </c>
      <c r="X4" s="26" t="s">
        <v>459</v>
      </c>
      <c r="Y4" s="26" t="s">
        <v>460</v>
      </c>
      <c r="Z4" s="26" t="s">
        <v>461</v>
      </c>
      <c r="AA4" s="26" t="s">
        <v>462</v>
      </c>
      <c r="AB4" s="26" t="s">
        <v>454</v>
      </c>
      <c r="AC4" s="26" t="s">
        <v>464</v>
      </c>
      <c r="AD4" s="26" t="s">
        <v>454</v>
      </c>
      <c r="AE4" s="26" t="s">
        <v>466</v>
      </c>
      <c r="AF4" s="26" t="s">
        <v>467</v>
      </c>
      <c r="AG4" s="26" t="s">
        <v>454</v>
      </c>
      <c r="AH4" s="26" t="s">
        <v>469</v>
      </c>
      <c r="AI4" s="26" t="s">
        <v>470</v>
      </c>
      <c r="AJ4" s="26" t="s">
        <v>471</v>
      </c>
      <c r="AK4" s="26" t="s">
        <v>472</v>
      </c>
      <c r="AL4" s="26" t="s">
        <v>454</v>
      </c>
      <c r="AM4" s="133"/>
      <c r="AO4" s="31" t="s">
        <v>564</v>
      </c>
      <c r="AP4" s="137"/>
    </row>
    <row r="5" spans="1:42" ht="11.25" customHeight="1" x14ac:dyDescent="0.25">
      <c r="A5" s="134" t="s">
        <v>33</v>
      </c>
      <c r="B5" s="134" t="s">
        <v>41</v>
      </c>
      <c r="C5" s="134" t="s">
        <v>25</v>
      </c>
      <c r="D5" s="134" t="s">
        <v>25</v>
      </c>
      <c r="E5" s="134" t="s">
        <v>25</v>
      </c>
      <c r="F5" s="134" t="s">
        <v>25</v>
      </c>
      <c r="G5" s="21" t="s">
        <v>77</v>
      </c>
      <c r="H5" s="21" t="s">
        <v>76</v>
      </c>
      <c r="I5" s="21">
        <f>'MERCADO TUSD'!$U$2</f>
        <v>384</v>
      </c>
      <c r="J5" s="17"/>
      <c r="L5" s="25">
        <f>'TUSD BE'!$L$5*'TUSD BF'!$L$58</f>
        <v>0</v>
      </c>
      <c r="M5" s="25">
        <f>'TUSD BE'!$M$5*'TUSD BF'!$M$58</f>
        <v>0</v>
      </c>
      <c r="N5" s="25">
        <f ca="1">'TUSD BE'!$N$5*'TUSD BF'!$N$58</f>
        <v>0</v>
      </c>
      <c r="O5" s="25">
        <f>'TUSD BE'!$O$5*'TUSD BF'!$O$58</f>
        <v>0</v>
      </c>
      <c r="P5" s="25">
        <f>'TUSD BE'!$P$5*'TUSD BF'!$P$58</f>
        <v>0</v>
      </c>
      <c r="Q5" s="25">
        <f>'TUSD BE'!$Q$5*'TUSD BF'!$Q$58</f>
        <v>0</v>
      </c>
      <c r="R5" s="25">
        <f>'TUSD BE'!$R$5*'TUSD BF'!$R$58</f>
        <v>0</v>
      </c>
      <c r="S5" s="25">
        <f>'TUSD BE'!$R$5*'TUSD BF'!$S$58</f>
        <v>0</v>
      </c>
      <c r="T5" s="25">
        <f ca="1">SUM($L$5:$S$5)</f>
        <v>0</v>
      </c>
      <c r="U5" s="25">
        <f>'TUSD BE'!$U$5*'TUSD BF'!$U$58</f>
        <v>0</v>
      </c>
      <c r="V5" s="25">
        <f>'TUSD BE'!$V$5*'TUSD BF'!$V$58</f>
        <v>0</v>
      </c>
      <c r="W5" s="25">
        <f>'TUSD BE'!$W$5*'TUSD BF'!$W$58</f>
        <v>0</v>
      </c>
      <c r="X5" s="25">
        <f>'TUSD BE'!$X$5*'TUSD BF'!$X$58</f>
        <v>0</v>
      </c>
      <c r="Y5" s="25">
        <f>'TUSD BE'!$Y$5*'TUSD BF'!$Y$58</f>
        <v>0</v>
      </c>
      <c r="Z5" s="25">
        <f>'TUSD BE'!$Z$5*'TUSD BF'!$Z$58</f>
        <v>0</v>
      </c>
      <c r="AA5" s="25">
        <f>'TUSD BE'!$AA$5*'TUSD BF'!$AA$58</f>
        <v>0</v>
      </c>
      <c r="AB5" s="25">
        <f>SUM($U$5:$AA$5)</f>
        <v>0</v>
      </c>
      <c r="AC5" s="25">
        <f>'TUSD BE'!$AC$5*'TUSD BF'!$AC$58</f>
        <v>0</v>
      </c>
      <c r="AD5" s="25">
        <f>SUM($AC$5:$AC$5)</f>
        <v>0</v>
      </c>
      <c r="AE5" s="25">
        <f ca="1">$AO$5*$AO$55</f>
        <v>0</v>
      </c>
      <c r="AF5" s="25">
        <f ca="1">$AP$5*$AP$55</f>
        <v>0</v>
      </c>
      <c r="AG5" s="25">
        <f ca="1">SUM($AE$5:$AF$5)</f>
        <v>0</v>
      </c>
      <c r="AH5" s="25">
        <f>'TUSD BE'!$AH$5*'TUSD BF'!$AH$58</f>
        <v>0</v>
      </c>
      <c r="AI5" s="25">
        <f>'TUSD BE'!$AI$5*'TUSD BF'!$AI$58</f>
        <v>0</v>
      </c>
      <c r="AJ5" s="25">
        <f ca="1">'TUSD BE'!$AJ$5*'TUSD BF'!$AJ$58</f>
        <v>0</v>
      </c>
      <c r="AK5" s="25">
        <f ca="1">'TUSD BE'!$AK$5*'TUSD BF'!$AK$58</f>
        <v>0</v>
      </c>
      <c r="AL5" s="25">
        <f ca="1">SUM($AH$5:$AK$5)</f>
        <v>0</v>
      </c>
      <c r="AM5" s="25">
        <f ca="1">SUMIF($L$4:$AL$4,"SUBTOTAL",$L$5:$AL$5)</f>
        <v>0</v>
      </c>
      <c r="AO5" s="30">
        <f ca="1">+'TUSD BE'!$T$5+'TUSD BE'!$AB$5+'TUSD BE'!$AD$5+'TUSD BE'!$AL$5</f>
        <v>214.95461363275854</v>
      </c>
      <c r="AP5" s="30">
        <f ca="1">+'TUSD BE'!$T$5+'TUSD BE'!$AB$5+'TUSD BE'!$AD$5+'TUSD BE'!$AL$5</f>
        <v>214.95461363275854</v>
      </c>
    </row>
    <row r="6" spans="1:42" ht="11.25" customHeight="1" x14ac:dyDescent="0.25">
      <c r="A6" s="134"/>
      <c r="B6" s="134"/>
      <c r="C6" s="134"/>
      <c r="D6" s="134"/>
      <c r="E6" s="134"/>
      <c r="F6" s="134"/>
      <c r="G6" s="21" t="s">
        <v>78</v>
      </c>
      <c r="H6" s="21" t="s">
        <v>76</v>
      </c>
      <c r="I6" s="21">
        <f>'MERCADO TUSD'!$U$3</f>
        <v>1095</v>
      </c>
      <c r="J6" s="17"/>
      <c r="L6" s="25">
        <f>'TUSD BE'!$L$6*'TUSD BF'!$L$58</f>
        <v>0</v>
      </c>
      <c r="M6" s="25">
        <f>'TUSD BE'!$M$6*'TUSD BF'!$M$58</f>
        <v>0</v>
      </c>
      <c r="N6" s="25">
        <f ca="1">'TUSD BE'!$N$6*'TUSD BF'!$N$58</f>
        <v>0</v>
      </c>
      <c r="O6" s="25">
        <f>'TUSD BE'!$O$6*'TUSD BF'!$O$58</f>
        <v>0</v>
      </c>
      <c r="P6" s="25">
        <f>'TUSD BE'!$P$6*'TUSD BF'!$P$58</f>
        <v>0</v>
      </c>
      <c r="Q6" s="25">
        <f>'TUSD BE'!$Q$6*'TUSD BF'!$Q$58</f>
        <v>0</v>
      </c>
      <c r="R6" s="25">
        <f>'TUSD BE'!$R$6*'TUSD BF'!$R$58</f>
        <v>0</v>
      </c>
      <c r="S6" s="25">
        <f>'TUSD BE'!$R$6*'TUSD BF'!$S$58</f>
        <v>0</v>
      </c>
      <c r="T6" s="25">
        <f ca="1">SUM($L$6:$S$6)</f>
        <v>0</v>
      </c>
      <c r="U6" s="25">
        <f>'TUSD BE'!$U$6*'TUSD BF'!$U$58</f>
        <v>0</v>
      </c>
      <c r="V6" s="25">
        <f>'TUSD BE'!$V$6*'TUSD BF'!$V$58</f>
        <v>0</v>
      </c>
      <c r="W6" s="25">
        <f>'TUSD BE'!$W$6*'TUSD BF'!$W$58</f>
        <v>0</v>
      </c>
      <c r="X6" s="25">
        <f>'TUSD BE'!$X$6*'TUSD BF'!$X$58</f>
        <v>0</v>
      </c>
      <c r="Y6" s="25">
        <f>'TUSD BE'!$Y$6*'TUSD BF'!$Y$58</f>
        <v>0</v>
      </c>
      <c r="Z6" s="25">
        <f>'TUSD BE'!$Z$6*'TUSD BF'!$Z$58</f>
        <v>0</v>
      </c>
      <c r="AA6" s="25">
        <f>'TUSD BE'!$AA$6*'TUSD BF'!$AA$58</f>
        <v>0</v>
      </c>
      <c r="AB6" s="25">
        <f>SUM($U$6:$AA$6)</f>
        <v>0</v>
      </c>
      <c r="AC6" s="25">
        <f>'TUSD BE'!$AC$6*'TUSD BF'!$AC$58</f>
        <v>0</v>
      </c>
      <c r="AD6" s="25">
        <f>SUM($AC$6:$AC$6)</f>
        <v>0</v>
      </c>
      <c r="AE6" s="25">
        <f ca="1">$AO$6*$AO$55</f>
        <v>0</v>
      </c>
      <c r="AF6" s="25">
        <f ca="1">$AP$6*$AP$55</f>
        <v>0</v>
      </c>
      <c r="AG6" s="25">
        <f ca="1">SUM($AE$6:$AF$6)</f>
        <v>0</v>
      </c>
      <c r="AH6" s="25">
        <f>'TUSD BE'!$AH$6*'TUSD BF'!$AH$58</f>
        <v>0</v>
      </c>
      <c r="AI6" s="25">
        <f>'TUSD BE'!$AI$6*'TUSD BF'!$AI$58</f>
        <v>0</v>
      </c>
      <c r="AJ6" s="25">
        <f ca="1">'TUSD BE'!$AJ$6*'TUSD BF'!$AJ$58</f>
        <v>0</v>
      </c>
      <c r="AK6" s="25">
        <f ca="1">'TUSD BE'!$AK$6*'TUSD BF'!$AK$58</f>
        <v>0</v>
      </c>
      <c r="AL6" s="25">
        <f ca="1">SUM($AH$6:$AK$6)</f>
        <v>0</v>
      </c>
      <c r="AM6" s="25">
        <f ca="1">SUMIF($L$4:$AL$4,"SUBTOTAL",$L$6:$AL$6)</f>
        <v>0</v>
      </c>
      <c r="AO6" s="30">
        <f ca="1">+'TUSD BE'!$T$6+'TUSD BE'!$AB$6+'TUSD BE'!$AD$6+'TUSD BE'!$AL$6</f>
        <v>80.466284885771927</v>
      </c>
      <c r="AP6" s="30">
        <f ca="1">+'TUSD BE'!$T$6+'TUSD BE'!$AB$6+'TUSD BE'!$AD$6+'TUSD BE'!$AL$6</f>
        <v>80.466284885771927</v>
      </c>
    </row>
    <row r="7" spans="1:42" ht="11.25" customHeight="1" x14ac:dyDescent="0.25">
      <c r="A7" s="134"/>
      <c r="B7" s="134"/>
      <c r="C7" s="134"/>
      <c r="D7" s="134"/>
      <c r="E7" s="134"/>
      <c r="F7" s="134"/>
      <c r="G7" s="21" t="s">
        <v>75</v>
      </c>
      <c r="H7" s="21" t="s">
        <v>71</v>
      </c>
      <c r="I7" s="21">
        <f>'MERCADO TUSD'!$U$4</f>
        <v>680.02800000000002</v>
      </c>
      <c r="J7" s="17"/>
      <c r="L7" s="25">
        <f>'TUSD BE'!$L$7*'TUSD BF'!$L$58</f>
        <v>0</v>
      </c>
      <c r="M7" s="25">
        <f>'TUSD BE'!$M$7*'TUSD BF'!$M$58</f>
        <v>0</v>
      </c>
      <c r="N7" s="25">
        <f ca="1">'TUSD BE'!$N$7*'TUSD BF'!$N$58</f>
        <v>0</v>
      </c>
      <c r="O7" s="25">
        <f>'TUSD BE'!$O$7*'TUSD BF'!$O$58</f>
        <v>0</v>
      </c>
      <c r="P7" s="25">
        <f>'TUSD BE'!$P$7*'TUSD BF'!$P$58</f>
        <v>0</v>
      </c>
      <c r="Q7" s="25">
        <f>'TUSD BE'!$Q$7*'TUSD BF'!$Q$58</f>
        <v>0</v>
      </c>
      <c r="R7" s="25">
        <f>'TUSD BE'!$R$7*'TUSD BF'!$R$58</f>
        <v>0</v>
      </c>
      <c r="S7" s="25">
        <f>'TUSD BE'!$R$7*'TUSD BF'!$S$58</f>
        <v>0</v>
      </c>
      <c r="T7" s="25">
        <f ca="1">SUM($L$7:$S$7)</f>
        <v>0</v>
      </c>
      <c r="U7" s="25">
        <f>'TUSD BE'!$U$7*'TUSD BF'!$U$58</f>
        <v>0</v>
      </c>
      <c r="V7" s="25">
        <f>'TUSD BE'!$V$7*'TUSD BF'!$V$58</f>
        <v>0</v>
      </c>
      <c r="W7" s="25">
        <f>'TUSD BE'!$W$7*'TUSD BF'!$W$58</f>
        <v>0</v>
      </c>
      <c r="X7" s="25">
        <f>'TUSD BE'!$X$7*'TUSD BF'!$X$58</f>
        <v>0</v>
      </c>
      <c r="Y7" s="25">
        <f>'TUSD BE'!$Y$7*'TUSD BF'!$Y$58</f>
        <v>0</v>
      </c>
      <c r="Z7" s="25">
        <f>'TUSD BE'!$Z$7*'TUSD BF'!$Z$58</f>
        <v>0</v>
      </c>
      <c r="AA7" s="25">
        <f>'TUSD BE'!$AA$7*'TUSD BF'!$AA$58</f>
        <v>0</v>
      </c>
      <c r="AB7" s="25">
        <f>SUM($U$7:$AA$7)</f>
        <v>0</v>
      </c>
      <c r="AC7" s="25">
        <f>'TUSD BE'!$AC$7*'TUSD BF'!$AC$58</f>
        <v>0</v>
      </c>
      <c r="AD7" s="25">
        <f>SUM($AC$7:$AC$7)</f>
        <v>0</v>
      </c>
      <c r="AE7" s="25">
        <f ca="1">$AO$7*$AO$55</f>
        <v>0</v>
      </c>
      <c r="AF7" s="25">
        <f ca="1">$AP$7*$AP$55</f>
        <v>0</v>
      </c>
      <c r="AG7" s="25">
        <f ca="1">SUM($AE$7:$AF$7)</f>
        <v>0</v>
      </c>
      <c r="AH7" s="25">
        <f>'TUSD BE'!$AH$7*'TUSD BF'!$AH$58</f>
        <v>0</v>
      </c>
      <c r="AI7" s="25">
        <f>'TUSD BE'!$AI$7*'TUSD BF'!$AI$58</f>
        <v>0</v>
      </c>
      <c r="AJ7" s="25">
        <f ca="1">'TUSD BE'!$AJ$7*'TUSD BF'!$AJ$58</f>
        <v>0</v>
      </c>
      <c r="AK7" s="25">
        <f ca="1">'TUSD BE'!$AK$7*'TUSD BF'!$AK$58</f>
        <v>0</v>
      </c>
      <c r="AL7" s="25">
        <f ca="1">SUM($AH$7:$AK$7)</f>
        <v>0</v>
      </c>
      <c r="AM7" s="25">
        <f ca="1">SUMIF($L$4:$AL$4,"SUBTOTAL",$L$7:$AL$7)</f>
        <v>0</v>
      </c>
      <c r="AO7" s="30">
        <f ca="1">+'TUSD BE'!$T$7+'TUSD BE'!$AB$7+'TUSD BE'!$AD$7+'TUSD BE'!$AL$7</f>
        <v>127.60094644634867</v>
      </c>
      <c r="AP7" s="30">
        <f ca="1">+'TUSD BE'!$T$7+'TUSD BE'!$AB$7+'TUSD BE'!$AD$7+'TUSD BE'!$AL$7</f>
        <v>127.60094644634867</v>
      </c>
    </row>
    <row r="8" spans="1:42" ht="11.25" customHeight="1" x14ac:dyDescent="0.25">
      <c r="A8" s="134"/>
      <c r="B8" s="134"/>
      <c r="C8" s="134"/>
      <c r="D8" s="134"/>
      <c r="E8" s="28" t="s">
        <v>79</v>
      </c>
      <c r="F8" s="28" t="s">
        <v>25</v>
      </c>
      <c r="G8" s="21" t="s">
        <v>75</v>
      </c>
      <c r="H8" s="21" t="s">
        <v>71</v>
      </c>
      <c r="I8" s="21">
        <f>'MERCADO TUSD'!$U$5</f>
        <v>0</v>
      </c>
      <c r="J8" s="17"/>
      <c r="L8" s="25">
        <f>'TUSD BE'!$L$8*'TUSD BF'!$L$58</f>
        <v>0</v>
      </c>
      <c r="M8" s="25">
        <f>'TUSD BE'!$M$8*'TUSD BF'!$M$58</f>
        <v>0</v>
      </c>
      <c r="N8" s="25">
        <f ca="1">'TUSD BE'!$N$8*'TUSD BF'!$N$58</f>
        <v>0</v>
      </c>
      <c r="O8" s="25">
        <f>'TUSD BE'!$O$8*'TUSD BF'!$O$58</f>
        <v>0</v>
      </c>
      <c r="P8" s="25">
        <f>'TUSD BE'!$P$8*'TUSD BF'!$P$58</f>
        <v>0</v>
      </c>
      <c r="Q8" s="25">
        <f>'TUSD BE'!$Q$8*'TUSD BF'!$Q$58</f>
        <v>0</v>
      </c>
      <c r="R8" s="25">
        <f>'TUSD BE'!$R$8*'TUSD BF'!$R$58</f>
        <v>0</v>
      </c>
      <c r="S8" s="25">
        <f>'TUSD BE'!$R$8*'TUSD BF'!$S$58</f>
        <v>0</v>
      </c>
      <c r="T8" s="25">
        <f ca="1">SUM($L$8:$S$8)</f>
        <v>0</v>
      </c>
      <c r="U8" s="25">
        <f>'TUSD BE'!$U$8*'TUSD BF'!$U$58</f>
        <v>0</v>
      </c>
      <c r="V8" s="25">
        <f>'TUSD BE'!$V$8*'TUSD BF'!$V$58</f>
        <v>0</v>
      </c>
      <c r="W8" s="25">
        <f>'TUSD BE'!$W$8*'TUSD BF'!$W$58</f>
        <v>0</v>
      </c>
      <c r="X8" s="25">
        <f>'TUSD BE'!$X$8*'TUSD BF'!$X$58</f>
        <v>0</v>
      </c>
      <c r="Y8" s="25">
        <f>'TUSD BE'!$Y$8*'TUSD BF'!$Y$58</f>
        <v>0</v>
      </c>
      <c r="Z8" s="25">
        <f>'TUSD BE'!$Z$8*'TUSD BF'!$Z$58</f>
        <v>0</v>
      </c>
      <c r="AA8" s="25">
        <f>'TUSD BE'!$AA$8*'TUSD BF'!$AA$58</f>
        <v>0</v>
      </c>
      <c r="AB8" s="25">
        <f>SUM($U$8:$AA$8)</f>
        <v>0</v>
      </c>
      <c r="AC8" s="25">
        <f>'TUSD BE'!$AC$8*'TUSD BF'!$AC$58</f>
        <v>0</v>
      </c>
      <c r="AD8" s="25">
        <f>SUM($AC$8:$AC$8)</f>
        <v>0</v>
      </c>
      <c r="AE8" s="25">
        <f ca="1">$AO$8*$AO$55</f>
        <v>0</v>
      </c>
      <c r="AF8" s="25">
        <f ca="1">$AP$8*$AP$55</f>
        <v>0</v>
      </c>
      <c r="AG8" s="25">
        <f ca="1">SUM($AE$8:$AF$8)</f>
        <v>0</v>
      </c>
      <c r="AH8" s="25">
        <f>'TUSD BE'!$AH$8*'TUSD BF'!$AH$58</f>
        <v>0</v>
      </c>
      <c r="AI8" s="25">
        <f>'TUSD BE'!$AI$8*'TUSD BF'!$AI$58</f>
        <v>0</v>
      </c>
      <c r="AJ8" s="25">
        <f ca="1">'TUSD BE'!$AJ$8*'TUSD BF'!$AJ$58</f>
        <v>0</v>
      </c>
      <c r="AK8" s="25">
        <f ca="1">'TUSD BE'!$AK$8*'TUSD BF'!$AK$58</f>
        <v>0</v>
      </c>
      <c r="AL8" s="25">
        <f ca="1">SUM($AH$8:$AK$8)</f>
        <v>0</v>
      </c>
      <c r="AM8" s="25">
        <f ca="1">SUMIF($L$4:$AL$4,"SUBTOTAL",$L$8:$AL$8)</f>
        <v>0</v>
      </c>
      <c r="AO8" s="30">
        <f ca="1">+'TUSD BE'!$T$8+'TUSD BE'!$AB$8+'TUSD BE'!$AD$8+'TUSD BE'!$AL$8</f>
        <v>18.831602074243435</v>
      </c>
      <c r="AP8" s="30">
        <f ca="1">+'TUSD BE'!$T$8+'TUSD BE'!$AB$8+'TUSD BE'!$AD$8+'TUSD BE'!$AL$8</f>
        <v>18.831602074243435</v>
      </c>
    </row>
    <row r="9" spans="1:42" ht="11.25" customHeight="1" x14ac:dyDescent="0.25">
      <c r="A9" s="134"/>
      <c r="B9" s="28" t="s">
        <v>80</v>
      </c>
      <c r="C9" s="28" t="s">
        <v>25</v>
      </c>
      <c r="D9" s="28" t="s">
        <v>25</v>
      </c>
      <c r="E9" s="28" t="s">
        <v>25</v>
      </c>
      <c r="F9" s="28" t="s">
        <v>25</v>
      </c>
      <c r="G9" s="21" t="s">
        <v>9</v>
      </c>
      <c r="H9" s="21" t="s">
        <v>76</v>
      </c>
      <c r="I9" s="21">
        <f>'MERCADO TUSD'!$U$6</f>
        <v>0</v>
      </c>
      <c r="J9" s="17"/>
      <c r="L9" s="25">
        <f>'TUSD BE'!$L$9*'TUSD BF'!$L$58</f>
        <v>0</v>
      </c>
      <c r="M9" s="25">
        <f>'TUSD BE'!$M$9*'TUSD BF'!$M$58</f>
        <v>0</v>
      </c>
      <c r="N9" s="25">
        <f ca="1">'TUSD BE'!$N$9*'TUSD BF'!$N$58</f>
        <v>0</v>
      </c>
      <c r="O9" s="25">
        <f>'TUSD BE'!$O$9*'TUSD BF'!$O$58</f>
        <v>0</v>
      </c>
      <c r="P9" s="25">
        <f>'TUSD BE'!$P$9*'TUSD BF'!$P$58</f>
        <v>0</v>
      </c>
      <c r="Q9" s="25">
        <f>'TUSD BE'!$Q$9*'TUSD BF'!$Q$58</f>
        <v>0</v>
      </c>
      <c r="R9" s="25">
        <f>'TUSD BE'!$R$9*'TUSD BF'!$R$58</f>
        <v>0</v>
      </c>
      <c r="S9" s="25">
        <f>'TUSD BE'!$R$9*'TUSD BF'!$S$58</f>
        <v>0</v>
      </c>
      <c r="T9" s="25">
        <f ca="1">SUM($L$9:$S$9)</f>
        <v>0</v>
      </c>
      <c r="U9" s="25">
        <f>'TUSD BE'!$U$9*'TUSD BF'!$U$58</f>
        <v>0</v>
      </c>
      <c r="V9" s="25">
        <f>'TUSD BE'!$V$9*'TUSD BF'!$V$58</f>
        <v>0</v>
      </c>
      <c r="W9" s="25">
        <f>'TUSD BE'!$W$9*'TUSD BF'!$W$58</f>
        <v>0</v>
      </c>
      <c r="X9" s="25">
        <f>'TUSD BE'!$X$9*'TUSD BF'!$X$58</f>
        <v>0</v>
      </c>
      <c r="Y9" s="25">
        <f>'TUSD BE'!$Y$9*'TUSD BF'!$Y$58</f>
        <v>0</v>
      </c>
      <c r="Z9" s="25">
        <f>'TUSD BE'!$Z$9*'TUSD BF'!$Z$58</f>
        <v>0</v>
      </c>
      <c r="AA9" s="25">
        <f>'TUSD BE'!$AA$9*'TUSD BF'!$AA$58</f>
        <v>0</v>
      </c>
      <c r="AB9" s="25">
        <f>SUM($U$9:$AA$9)</f>
        <v>0</v>
      </c>
      <c r="AC9" s="25">
        <f>'TUSD BE'!$AC$9*'TUSD BF'!$AC$58</f>
        <v>0</v>
      </c>
      <c r="AD9" s="25">
        <f>SUM($AC$9:$AC$9)</f>
        <v>0</v>
      </c>
      <c r="AE9" s="25">
        <f ca="1">$AO$9*$AO$55</f>
        <v>0</v>
      </c>
      <c r="AF9" s="25">
        <f ca="1">$AP$9*$AP$55</f>
        <v>0</v>
      </c>
      <c r="AG9" s="25">
        <f ca="1">SUM($AE$9:$AF$9)</f>
        <v>0</v>
      </c>
      <c r="AH9" s="25">
        <f>'TUSD BE'!$AH$9*'TUSD BF'!$AH$58</f>
        <v>0</v>
      </c>
      <c r="AI9" s="25">
        <f>'TUSD BE'!$AI$9*'TUSD BF'!$AI$58</f>
        <v>0</v>
      </c>
      <c r="AJ9" s="25">
        <f ca="1">'TUSD BE'!$AJ$9*'TUSD BF'!$AJ$58</f>
        <v>0</v>
      </c>
      <c r="AK9" s="25">
        <f ca="1">'TUSD BE'!$AK$9*'TUSD BF'!$AK$58</f>
        <v>0</v>
      </c>
      <c r="AL9" s="25">
        <f ca="1">SUM($AH$9:$AK$9)</f>
        <v>0</v>
      </c>
      <c r="AM9" s="25">
        <f ca="1">SUMIF($L$4:$AL$4,"SUBTOTAL",$L$9:$AL$9)</f>
        <v>0</v>
      </c>
      <c r="AO9" s="30">
        <f ca="1">+'TUSD BE'!$T$9+'TUSD BE'!$AB$9+'TUSD BE'!$AD$9+'TUSD BE'!$AL$9</f>
        <v>22.372261200908373</v>
      </c>
      <c r="AP9" s="30">
        <f ca="1">+'TUSD BE'!$T$9+'TUSD BE'!$AB$9+'TUSD BE'!$AD$9+'TUSD BE'!$AL$9</f>
        <v>22.372261200908373</v>
      </c>
    </row>
    <row r="10" spans="1:42" ht="11.25" customHeight="1" x14ac:dyDescent="0.25">
      <c r="A10" s="134"/>
      <c r="B10" s="134" t="s">
        <v>34</v>
      </c>
      <c r="C10" s="134" t="s">
        <v>25</v>
      </c>
      <c r="D10" s="134" t="s">
        <v>25</v>
      </c>
      <c r="E10" s="134" t="s">
        <v>25</v>
      </c>
      <c r="F10" s="134" t="s">
        <v>25</v>
      </c>
      <c r="G10" s="21" t="s">
        <v>9</v>
      </c>
      <c r="H10" s="21" t="s">
        <v>76</v>
      </c>
      <c r="I10" s="21">
        <f>'MERCADO TUSD'!$U$7</f>
        <v>17227</v>
      </c>
      <c r="J10" s="17"/>
      <c r="L10" s="25">
        <f>'TUSD BE'!$L$10*'TUSD BF'!$L$58</f>
        <v>0</v>
      </c>
      <c r="M10" s="25">
        <f>'TUSD BE'!$M$10*'TUSD BF'!$M$58</f>
        <v>0</v>
      </c>
      <c r="N10" s="25">
        <f ca="1">'TUSD BE'!$N$10*'TUSD BF'!$N$58</f>
        <v>0</v>
      </c>
      <c r="O10" s="25">
        <f>'TUSD BE'!$O$10*'TUSD BF'!$O$58</f>
        <v>0</v>
      </c>
      <c r="P10" s="25">
        <f>'TUSD BE'!$P$10*'TUSD BF'!$P$58</f>
        <v>0</v>
      </c>
      <c r="Q10" s="25">
        <f>'TUSD BE'!$Q$10*'TUSD BF'!$Q$58</f>
        <v>0</v>
      </c>
      <c r="R10" s="25">
        <f>'TUSD BE'!$R$10*'TUSD BF'!$R$58</f>
        <v>0</v>
      </c>
      <c r="S10" s="25">
        <f>'TUSD BE'!$R$10*'TUSD BF'!$S$58</f>
        <v>0</v>
      </c>
      <c r="T10" s="25">
        <f ca="1">SUM($L$10:$S$10)</f>
        <v>0</v>
      </c>
      <c r="U10" s="25">
        <f>'TUSD BE'!$U$10*'TUSD BF'!$U$58</f>
        <v>0</v>
      </c>
      <c r="V10" s="25">
        <f>'TUSD BE'!$V$10*'TUSD BF'!$V$58</f>
        <v>0</v>
      </c>
      <c r="W10" s="25">
        <f>'TUSD BE'!$W$10*'TUSD BF'!$W$58</f>
        <v>0</v>
      </c>
      <c r="X10" s="25">
        <f>'TUSD BE'!$X$10*'TUSD BF'!$X$58</f>
        <v>0</v>
      </c>
      <c r="Y10" s="25">
        <f>'TUSD BE'!$Y$10*'TUSD BF'!$Y$58</f>
        <v>0</v>
      </c>
      <c r="Z10" s="25">
        <f>'TUSD BE'!$Z$10*'TUSD BF'!$Z$58</f>
        <v>0</v>
      </c>
      <c r="AA10" s="25">
        <f>'TUSD BE'!$AA$10*'TUSD BF'!$AA$58</f>
        <v>0</v>
      </c>
      <c r="AB10" s="25">
        <f>SUM($U$10:$AA$10)</f>
        <v>0</v>
      </c>
      <c r="AC10" s="25">
        <f>'TUSD BE'!$AC$10*'TUSD BF'!$AC$58</f>
        <v>0</v>
      </c>
      <c r="AD10" s="25">
        <f>SUM($AC$10:$AC$10)</f>
        <v>0</v>
      </c>
      <c r="AE10" s="25">
        <f ca="1">$AO$10*$AO$55</f>
        <v>0</v>
      </c>
      <c r="AF10" s="25">
        <f ca="1">$AP$10*$AP$55</f>
        <v>0</v>
      </c>
      <c r="AG10" s="25">
        <f ca="1">SUM($AE$10:$AF$10)</f>
        <v>0</v>
      </c>
      <c r="AH10" s="25">
        <f>'TUSD BE'!$AH$10*'TUSD BF'!$AH$58</f>
        <v>0</v>
      </c>
      <c r="AI10" s="25">
        <f>'TUSD BE'!$AI$10*'TUSD BF'!$AI$58</f>
        <v>0</v>
      </c>
      <c r="AJ10" s="25">
        <f ca="1">'TUSD BE'!$AJ$10*'TUSD BF'!$AJ$58</f>
        <v>0</v>
      </c>
      <c r="AK10" s="25">
        <f ca="1">'TUSD BE'!$AK$10*'TUSD BF'!$AK$58</f>
        <v>0</v>
      </c>
      <c r="AL10" s="25">
        <f ca="1">SUM($AH$10:$AK$10)</f>
        <v>0</v>
      </c>
      <c r="AM10" s="25">
        <f ca="1">SUMIF($L$4:$AL$4,"SUBTOTAL",$L$10:$AL$10)</f>
        <v>0</v>
      </c>
      <c r="AO10" s="30">
        <f ca="1">+'TUSD BE'!$T$10+'TUSD BE'!$AB$10+'TUSD BE'!$AD$10+'TUSD BE'!$AL$10</f>
        <v>80.466284885771927</v>
      </c>
      <c r="AP10" s="30">
        <f ca="1">+'TUSD BE'!$T$10+'TUSD BE'!$AB$10+'TUSD BE'!$AD$10+'TUSD BE'!$AL$10</f>
        <v>80.466284885771927</v>
      </c>
    </row>
    <row r="11" spans="1:42" ht="11.25" customHeight="1" x14ac:dyDescent="0.25">
      <c r="A11" s="134"/>
      <c r="B11" s="134"/>
      <c r="C11" s="134"/>
      <c r="D11" s="134"/>
      <c r="E11" s="134"/>
      <c r="F11" s="134"/>
      <c r="G11" s="21" t="s">
        <v>72</v>
      </c>
      <c r="H11" s="21" t="s">
        <v>71</v>
      </c>
      <c r="I11" s="21">
        <f>'MERCADO TUSD'!$U$8</f>
        <v>96.685999999999993</v>
      </c>
      <c r="J11" s="17"/>
      <c r="L11" s="25">
        <f>'TUSD BE'!$L$11*'TUSD BF'!$L$58</f>
        <v>0</v>
      </c>
      <c r="M11" s="25">
        <f>'TUSD BE'!$M$11*'TUSD BF'!$M$58</f>
        <v>0</v>
      </c>
      <c r="N11" s="25">
        <f ca="1">'TUSD BE'!$N$11*'TUSD BF'!$N$58</f>
        <v>0</v>
      </c>
      <c r="O11" s="25">
        <f>'TUSD BE'!$O$11*'TUSD BF'!$O$58</f>
        <v>0</v>
      </c>
      <c r="P11" s="25">
        <f>'TUSD BE'!$P$11*'TUSD BF'!$P$58</f>
        <v>0</v>
      </c>
      <c r="Q11" s="25">
        <f>'TUSD BE'!$Q$11*'TUSD BF'!$Q$58</f>
        <v>0</v>
      </c>
      <c r="R11" s="25">
        <f>'TUSD BE'!$R$11*'TUSD BF'!$R$58</f>
        <v>0</v>
      </c>
      <c r="S11" s="25">
        <f>'TUSD BE'!$R$11*'TUSD BF'!$S$58</f>
        <v>0</v>
      </c>
      <c r="T11" s="25">
        <f ca="1">SUM($L$11:$S$11)</f>
        <v>0</v>
      </c>
      <c r="U11" s="25">
        <f>'TUSD BE'!$U$11*'TUSD BF'!$U$58</f>
        <v>0</v>
      </c>
      <c r="V11" s="25">
        <f>'TUSD BE'!$V$11*'TUSD BF'!$V$58</f>
        <v>0</v>
      </c>
      <c r="W11" s="25">
        <f>'TUSD BE'!$W$11*'TUSD BF'!$W$58</f>
        <v>0</v>
      </c>
      <c r="X11" s="25">
        <f>'TUSD BE'!$X$11*'TUSD BF'!$X$58</f>
        <v>0</v>
      </c>
      <c r="Y11" s="25">
        <f>'TUSD BE'!$Y$11*'TUSD BF'!$Y$58</f>
        <v>0</v>
      </c>
      <c r="Z11" s="25">
        <f>'TUSD BE'!$Z$11*'TUSD BF'!$Z$58</f>
        <v>0</v>
      </c>
      <c r="AA11" s="25">
        <f>'TUSD BE'!$AA$11*'TUSD BF'!$AA$58</f>
        <v>0</v>
      </c>
      <c r="AB11" s="25">
        <f>SUM($U$11:$AA$11)</f>
        <v>0</v>
      </c>
      <c r="AC11" s="25">
        <f>'TUSD BE'!$AC$11*'TUSD BF'!$AC$58</f>
        <v>0</v>
      </c>
      <c r="AD11" s="25">
        <f>SUM($AC$11:$AC$11)</f>
        <v>0</v>
      </c>
      <c r="AE11" s="25">
        <f ca="1">$AO$11*$AO$55</f>
        <v>0</v>
      </c>
      <c r="AF11" s="25">
        <f ca="1">$AP$11*$AP$55</f>
        <v>0</v>
      </c>
      <c r="AG11" s="25">
        <f ca="1">SUM($AE$11:$AF$11)</f>
        <v>0</v>
      </c>
      <c r="AH11" s="25">
        <f>'TUSD BE'!$AH$11*'TUSD BF'!$AH$58</f>
        <v>0</v>
      </c>
      <c r="AI11" s="25">
        <f>'TUSD BE'!$AI$11*'TUSD BF'!$AI$58</f>
        <v>0</v>
      </c>
      <c r="AJ11" s="25">
        <f ca="1">'TUSD BE'!$AJ$11*'TUSD BF'!$AJ$58</f>
        <v>0</v>
      </c>
      <c r="AK11" s="25">
        <f ca="1">'TUSD BE'!$AK$11*'TUSD BF'!$AK$58</f>
        <v>0</v>
      </c>
      <c r="AL11" s="25">
        <f ca="1">SUM($AH$11:$AK$11)</f>
        <v>0</v>
      </c>
      <c r="AM11" s="25">
        <f ca="1">SUMIF($L$4:$AL$4,"SUBTOTAL",$L$11:$AL$11)</f>
        <v>0</v>
      </c>
      <c r="AO11" s="30">
        <f ca="1">+'TUSD BE'!$T$11+'TUSD BE'!$AB$11+'TUSD BE'!$AD$11+'TUSD BE'!$AL$11</f>
        <v>5297.2798127204996</v>
      </c>
      <c r="AP11" s="30">
        <f ca="1">+'TUSD BE'!$T$11+'TUSD BE'!$AB$11+'TUSD BE'!$AD$11+'TUSD BE'!$AL$11</f>
        <v>5297.2798127204996</v>
      </c>
    </row>
    <row r="12" spans="1:42" ht="11.25" customHeight="1" x14ac:dyDescent="0.25">
      <c r="A12" s="134"/>
      <c r="B12" s="134"/>
      <c r="C12" s="134"/>
      <c r="D12" s="134"/>
      <c r="E12" s="134"/>
      <c r="F12" s="134"/>
      <c r="G12" s="21" t="s">
        <v>73</v>
      </c>
      <c r="H12" s="21" t="s">
        <v>71</v>
      </c>
      <c r="I12" s="21">
        <f>'MERCADO TUSD'!$U$9</f>
        <v>3244.7709999999997</v>
      </c>
      <c r="J12" s="17"/>
      <c r="L12" s="25">
        <f>'TUSD BE'!$L$12*'TUSD BF'!$L$58</f>
        <v>0</v>
      </c>
      <c r="M12" s="25">
        <f>'TUSD BE'!$M$12*'TUSD BF'!$M$58</f>
        <v>0</v>
      </c>
      <c r="N12" s="25">
        <f ca="1">'TUSD BE'!$N$12*'TUSD BF'!$N$58</f>
        <v>0</v>
      </c>
      <c r="O12" s="25">
        <f>'TUSD BE'!$O$12*'TUSD BF'!$O$58</f>
        <v>0</v>
      </c>
      <c r="P12" s="25">
        <f>'TUSD BE'!$P$12*'TUSD BF'!$P$58</f>
        <v>0</v>
      </c>
      <c r="Q12" s="25">
        <f>'TUSD BE'!$Q$12*'TUSD BF'!$Q$58</f>
        <v>0</v>
      </c>
      <c r="R12" s="25">
        <f>'TUSD BE'!$R$12*'TUSD BF'!$R$58</f>
        <v>0</v>
      </c>
      <c r="S12" s="25">
        <f>'TUSD BE'!$R$12*'TUSD BF'!$S$58</f>
        <v>0</v>
      </c>
      <c r="T12" s="25">
        <f ca="1">SUM($L$12:$S$12)</f>
        <v>0</v>
      </c>
      <c r="U12" s="25">
        <f>'TUSD BE'!$U$12*'TUSD BF'!$U$58</f>
        <v>0</v>
      </c>
      <c r="V12" s="25">
        <f>'TUSD BE'!$V$12*'TUSD BF'!$V$58</f>
        <v>0</v>
      </c>
      <c r="W12" s="25">
        <f>'TUSD BE'!$W$12*'TUSD BF'!$W$58</f>
        <v>0</v>
      </c>
      <c r="X12" s="25">
        <f>'TUSD BE'!$X$12*'TUSD BF'!$X$58</f>
        <v>0</v>
      </c>
      <c r="Y12" s="25">
        <f>'TUSD BE'!$Y$12*'TUSD BF'!$Y$58</f>
        <v>0</v>
      </c>
      <c r="Z12" s="25">
        <f>'TUSD BE'!$Z$12*'TUSD BF'!$Z$58</f>
        <v>0</v>
      </c>
      <c r="AA12" s="25">
        <f>'TUSD BE'!$AA$12*'TUSD BF'!$AA$58</f>
        <v>0</v>
      </c>
      <c r="AB12" s="25">
        <f>SUM($U$12:$AA$12)</f>
        <v>0</v>
      </c>
      <c r="AC12" s="25">
        <f>'TUSD BE'!$AC$12*'TUSD BF'!$AC$58</f>
        <v>0</v>
      </c>
      <c r="AD12" s="25">
        <f>SUM($AC$12:$AC$12)</f>
        <v>0</v>
      </c>
      <c r="AE12" s="25">
        <f ca="1">$AO$12*$AO$55</f>
        <v>0</v>
      </c>
      <c r="AF12" s="25">
        <f ca="1">$AP$12*$AP$55</f>
        <v>0</v>
      </c>
      <c r="AG12" s="25">
        <f ca="1">SUM($AE$12:$AF$12)</f>
        <v>0</v>
      </c>
      <c r="AH12" s="25">
        <f>'TUSD BE'!$AH$12*'TUSD BF'!$AH$58</f>
        <v>0</v>
      </c>
      <c r="AI12" s="25">
        <f>'TUSD BE'!$AI$12*'TUSD BF'!$AI$58</f>
        <v>0</v>
      </c>
      <c r="AJ12" s="25">
        <f ca="1">'TUSD BE'!$AJ$12*'TUSD BF'!$AJ$58</f>
        <v>0</v>
      </c>
      <c r="AK12" s="25">
        <f ca="1">'TUSD BE'!$AK$12*'TUSD BF'!$AK$58</f>
        <v>0</v>
      </c>
      <c r="AL12" s="25">
        <f ca="1">SUM($AH$12:$AK$12)</f>
        <v>0</v>
      </c>
      <c r="AM12" s="25">
        <f ca="1">SUMIF($L$4:$AL$4,"SUBTOTAL",$L$12:$AL$12)</f>
        <v>0</v>
      </c>
      <c r="AO12" s="30">
        <f ca="1">+'TUSD BE'!$T$12+'TUSD BE'!$AB$12+'TUSD BE'!$AD$12+'TUSD BE'!$AL$12</f>
        <v>127.60094644634867</v>
      </c>
      <c r="AP12" s="30">
        <f ca="1">+'TUSD BE'!$T$12+'TUSD BE'!$AB$12+'TUSD BE'!$AD$12+'TUSD BE'!$AL$12</f>
        <v>127.60094644634867</v>
      </c>
    </row>
    <row r="13" spans="1:42" ht="11.25" customHeight="1" x14ac:dyDescent="0.25">
      <c r="A13" s="134"/>
      <c r="B13" s="134"/>
      <c r="C13" s="134"/>
      <c r="D13" s="134"/>
      <c r="E13" s="134" t="s">
        <v>79</v>
      </c>
      <c r="F13" s="134" t="s">
        <v>25</v>
      </c>
      <c r="G13" s="21" t="s">
        <v>72</v>
      </c>
      <c r="H13" s="21" t="s">
        <v>71</v>
      </c>
      <c r="I13" s="21">
        <f>'MERCADO TUSD'!$U$10</f>
        <v>0</v>
      </c>
      <c r="J13" s="17"/>
      <c r="L13" s="25">
        <f>'TUSD BE'!$L$13*'TUSD BF'!$L$58</f>
        <v>0</v>
      </c>
      <c r="M13" s="25">
        <f>'TUSD BE'!$M$13*'TUSD BF'!$M$58</f>
        <v>0</v>
      </c>
      <c r="N13" s="25">
        <f ca="1">'TUSD BE'!$N$13*'TUSD BF'!$N$58</f>
        <v>0</v>
      </c>
      <c r="O13" s="25">
        <f>'TUSD BE'!$O$13*'TUSD BF'!$O$58</f>
        <v>0</v>
      </c>
      <c r="P13" s="25">
        <f>'TUSD BE'!$P$13*'TUSD BF'!$P$58</f>
        <v>0</v>
      </c>
      <c r="Q13" s="25">
        <f>'TUSD BE'!$Q$13*'TUSD BF'!$Q$58</f>
        <v>0</v>
      </c>
      <c r="R13" s="25">
        <f>'TUSD BE'!$R$13*'TUSD BF'!$R$58</f>
        <v>0</v>
      </c>
      <c r="S13" s="25">
        <f>'TUSD BE'!$R$13*'TUSD BF'!$S$58</f>
        <v>0</v>
      </c>
      <c r="T13" s="25">
        <f ca="1">SUM($L$13:$S$13)</f>
        <v>0</v>
      </c>
      <c r="U13" s="25">
        <f>'TUSD BE'!$U$13*'TUSD BF'!$U$58</f>
        <v>0</v>
      </c>
      <c r="V13" s="25">
        <f>'TUSD BE'!$V$13*'TUSD BF'!$V$58</f>
        <v>0</v>
      </c>
      <c r="W13" s="25">
        <f>'TUSD BE'!$W$13*'TUSD BF'!$W$58</f>
        <v>0</v>
      </c>
      <c r="X13" s="25">
        <f>'TUSD BE'!$X$13*'TUSD BF'!$X$58</f>
        <v>0</v>
      </c>
      <c r="Y13" s="25">
        <f>'TUSD BE'!$Y$13*'TUSD BF'!$Y$58</f>
        <v>0</v>
      </c>
      <c r="Z13" s="25">
        <f>'TUSD BE'!$Z$13*'TUSD BF'!$Z$58</f>
        <v>0</v>
      </c>
      <c r="AA13" s="25">
        <f>'TUSD BE'!$AA$13*'TUSD BF'!$AA$58</f>
        <v>0</v>
      </c>
      <c r="AB13" s="25">
        <f>SUM($U$13:$AA$13)</f>
        <v>0</v>
      </c>
      <c r="AC13" s="25">
        <f>'TUSD BE'!$AC$13*'TUSD BF'!$AC$58</f>
        <v>0</v>
      </c>
      <c r="AD13" s="25">
        <f>SUM($AC$13:$AC$13)</f>
        <v>0</v>
      </c>
      <c r="AE13" s="25">
        <f ca="1">$AO$13*$AO$55</f>
        <v>0</v>
      </c>
      <c r="AF13" s="25">
        <f ca="1">$AP$13*$AP$55</f>
        <v>0</v>
      </c>
      <c r="AG13" s="25">
        <f ca="1">SUM($AE$13:$AF$13)</f>
        <v>0</v>
      </c>
      <c r="AH13" s="25">
        <f>'TUSD BE'!$AH$13*'TUSD BF'!$AH$58</f>
        <v>0</v>
      </c>
      <c r="AI13" s="25">
        <f>'TUSD BE'!$AI$13*'TUSD BF'!$AI$58</f>
        <v>0</v>
      </c>
      <c r="AJ13" s="25">
        <f ca="1">'TUSD BE'!$AJ$13*'TUSD BF'!$AJ$58</f>
        <v>0</v>
      </c>
      <c r="AK13" s="25">
        <f ca="1">'TUSD BE'!$AK$13*'TUSD BF'!$AK$58</f>
        <v>0</v>
      </c>
      <c r="AL13" s="25">
        <f ca="1">SUM($AH$13:$AK$13)</f>
        <v>0</v>
      </c>
      <c r="AM13" s="25">
        <f ca="1">SUMIF($L$4:$AL$4,"SUBTOTAL",$L$13:$AL$13)</f>
        <v>0</v>
      </c>
      <c r="AO13" s="30">
        <f ca="1">+'TUSD BE'!$T$13+'TUSD BE'!$AB$13+'TUSD BE'!$AD$13+'TUSD BE'!$AL$13</f>
        <v>5188.5104683483951</v>
      </c>
      <c r="AP13" s="30">
        <f ca="1">+'TUSD BE'!$T$13+'TUSD BE'!$AB$13+'TUSD BE'!$AD$13+'TUSD BE'!$AL$13</f>
        <v>5188.5104683483951</v>
      </c>
    </row>
    <row r="14" spans="1:42" ht="11.25" customHeight="1" x14ac:dyDescent="0.25">
      <c r="A14" s="134"/>
      <c r="B14" s="134"/>
      <c r="C14" s="134"/>
      <c r="D14" s="134"/>
      <c r="E14" s="134"/>
      <c r="F14" s="134"/>
      <c r="G14" s="21" t="s">
        <v>73</v>
      </c>
      <c r="H14" s="21" t="s">
        <v>71</v>
      </c>
      <c r="I14" s="21">
        <f>'MERCADO TUSD'!$U$11</f>
        <v>0</v>
      </c>
      <c r="J14" s="17"/>
      <c r="L14" s="25">
        <f>'TUSD BE'!$L$14*'TUSD BF'!$L$58</f>
        <v>0</v>
      </c>
      <c r="M14" s="25">
        <f>'TUSD BE'!$M$14*'TUSD BF'!$M$58</f>
        <v>0</v>
      </c>
      <c r="N14" s="25">
        <f ca="1">'TUSD BE'!$N$14*'TUSD BF'!$N$58</f>
        <v>0</v>
      </c>
      <c r="O14" s="25">
        <f>'TUSD BE'!$O$14*'TUSD BF'!$O$58</f>
        <v>0</v>
      </c>
      <c r="P14" s="25">
        <f>'TUSD BE'!$P$14*'TUSD BF'!$P$58</f>
        <v>0</v>
      </c>
      <c r="Q14" s="25">
        <f>'TUSD BE'!$Q$14*'TUSD BF'!$Q$58</f>
        <v>0</v>
      </c>
      <c r="R14" s="25">
        <f>'TUSD BE'!$R$14*'TUSD BF'!$R$58</f>
        <v>0</v>
      </c>
      <c r="S14" s="25">
        <f>'TUSD BE'!$R$14*'TUSD BF'!$S$58</f>
        <v>0</v>
      </c>
      <c r="T14" s="25">
        <f ca="1">SUM($L$14:$S$14)</f>
        <v>0</v>
      </c>
      <c r="U14" s="25">
        <f>'TUSD BE'!$U$14*'TUSD BF'!$U$58</f>
        <v>0</v>
      </c>
      <c r="V14" s="25">
        <f>'TUSD BE'!$V$14*'TUSD BF'!$V$58</f>
        <v>0</v>
      </c>
      <c r="W14" s="25">
        <f>'TUSD BE'!$W$14*'TUSD BF'!$W$58</f>
        <v>0</v>
      </c>
      <c r="X14" s="25">
        <f>'TUSD BE'!$X$14*'TUSD BF'!$X$58</f>
        <v>0</v>
      </c>
      <c r="Y14" s="25">
        <f>'TUSD BE'!$Y$14*'TUSD BF'!$Y$58</f>
        <v>0</v>
      </c>
      <c r="Z14" s="25">
        <f>'TUSD BE'!$Z$14*'TUSD BF'!$Z$58</f>
        <v>0</v>
      </c>
      <c r="AA14" s="25">
        <f>'TUSD BE'!$AA$14*'TUSD BF'!$AA$58</f>
        <v>0</v>
      </c>
      <c r="AB14" s="25">
        <f>SUM($U$14:$AA$14)</f>
        <v>0</v>
      </c>
      <c r="AC14" s="25">
        <f>'TUSD BE'!$AC$14*'TUSD BF'!$AC$58</f>
        <v>0</v>
      </c>
      <c r="AD14" s="25">
        <f>SUM($AC$14:$AC$14)</f>
        <v>0</v>
      </c>
      <c r="AE14" s="25">
        <f ca="1">$AO$14*$AO$55</f>
        <v>0</v>
      </c>
      <c r="AF14" s="25">
        <f ca="1">$AP$14*$AP$55</f>
        <v>0</v>
      </c>
      <c r="AG14" s="25">
        <f ca="1">SUM($AE$14:$AF$14)</f>
        <v>0</v>
      </c>
      <c r="AH14" s="25">
        <f>'TUSD BE'!$AH$14*'TUSD BF'!$AH$58</f>
        <v>0</v>
      </c>
      <c r="AI14" s="25">
        <f>'TUSD BE'!$AI$14*'TUSD BF'!$AI$58</f>
        <v>0</v>
      </c>
      <c r="AJ14" s="25">
        <f ca="1">'TUSD BE'!$AJ$14*'TUSD BF'!$AJ$58</f>
        <v>0</v>
      </c>
      <c r="AK14" s="25">
        <f ca="1">'TUSD BE'!$AK$14*'TUSD BF'!$AK$58</f>
        <v>0</v>
      </c>
      <c r="AL14" s="25">
        <f ca="1">SUM($AH$14:$AK$14)</f>
        <v>0</v>
      </c>
      <c r="AM14" s="25">
        <f ca="1">SUMIF($L$4:$AL$4,"SUBTOTAL",$L$14:$AL$14)</f>
        <v>0</v>
      </c>
      <c r="AO14" s="30">
        <f ca="1">+'TUSD BE'!$T$14+'TUSD BE'!$AB$14+'TUSD BE'!$AD$14+'TUSD BE'!$AL$14</f>
        <v>18.831602074243435</v>
      </c>
      <c r="AP14" s="30">
        <f ca="1">+'TUSD BE'!$T$14+'TUSD BE'!$AB$14+'TUSD BE'!$AD$14+'TUSD BE'!$AL$14</f>
        <v>18.831602074243435</v>
      </c>
    </row>
    <row r="15" spans="1:42" ht="11.25" customHeight="1" x14ac:dyDescent="0.25">
      <c r="A15" s="134" t="s">
        <v>81</v>
      </c>
      <c r="B15" s="134" t="s">
        <v>80</v>
      </c>
      <c r="C15" s="134" t="s">
        <v>25</v>
      </c>
      <c r="D15" s="134" t="s">
        <v>25</v>
      </c>
      <c r="E15" s="28" t="s">
        <v>82</v>
      </c>
      <c r="F15" s="28" t="s">
        <v>25</v>
      </c>
      <c r="G15" s="21" t="s">
        <v>9</v>
      </c>
      <c r="H15" s="21" t="s">
        <v>76</v>
      </c>
      <c r="I15" s="21">
        <f>'MERCADO TUSD'!$U$12+0.00000001</f>
        <v>1E-8</v>
      </c>
      <c r="J15" s="17"/>
      <c r="L15" s="25">
        <f>'TUSD BE'!$L$15*'TUSD BF'!$L$58</f>
        <v>0</v>
      </c>
      <c r="M15" s="25">
        <f>'TUSD BE'!$M$15*'TUSD BF'!$M$58</f>
        <v>0</v>
      </c>
      <c r="N15" s="25">
        <f ca="1">'TUSD BE'!$N$15*'TUSD BF'!$N$58</f>
        <v>0</v>
      </c>
      <c r="O15" s="25">
        <f>'TUSD BE'!$O$15*'TUSD BF'!$O$58</f>
        <v>0</v>
      </c>
      <c r="P15" s="25">
        <f>'TUSD BE'!$P$15*'TUSD BF'!$P$58</f>
        <v>0</v>
      </c>
      <c r="Q15" s="25">
        <f>'TUSD BE'!$Q$15*'TUSD BF'!$Q$58</f>
        <v>0</v>
      </c>
      <c r="R15" s="25">
        <f>'TUSD BE'!$R$15*'TUSD BF'!$R$58</f>
        <v>0</v>
      </c>
      <c r="S15" s="25">
        <f>'TUSD BE'!$R$15*'TUSD BF'!$S$58</f>
        <v>0</v>
      </c>
      <c r="T15" s="25">
        <f ca="1">SUM($L$15:$S$15)</f>
        <v>0</v>
      </c>
      <c r="U15" s="25">
        <f>'TUSD BE'!$U$15*'TUSD BF'!$U$58</f>
        <v>0</v>
      </c>
      <c r="V15" s="25">
        <f>'TUSD BE'!$V$15*'TUSD BF'!$V$58</f>
        <v>0</v>
      </c>
      <c r="W15" s="25">
        <f>'TUSD BE'!$W$15*'TUSD BF'!$W$58</f>
        <v>0</v>
      </c>
      <c r="X15" s="25">
        <f>'TUSD BE'!$X$15*'TUSD BF'!$X$58</f>
        <v>0</v>
      </c>
      <c r="Y15" s="25">
        <f>'TUSD BE'!$Y$15*'TUSD BF'!$Y$58</f>
        <v>0</v>
      </c>
      <c r="Z15" s="25">
        <f>'TUSD BE'!$Z$15*'TUSD BF'!$Z$58</f>
        <v>0</v>
      </c>
      <c r="AA15" s="25">
        <f>'TUSD BE'!$AA$15*'TUSD BF'!$AA$58</f>
        <v>0</v>
      </c>
      <c r="AB15" s="25">
        <f>SUM($U$15:$AA$15)</f>
        <v>0</v>
      </c>
      <c r="AC15" s="25">
        <f>'TUSD BE'!$AC$15*'TUSD BF'!$AC$58</f>
        <v>0</v>
      </c>
      <c r="AD15" s="25">
        <f>SUM($AC$15:$AC$15)</f>
        <v>0</v>
      </c>
      <c r="AE15" s="25">
        <f ca="1">$AO$15*$AO$55</f>
        <v>0</v>
      </c>
      <c r="AF15" s="25">
        <f ca="1">$AP$15*$AP$55</f>
        <v>0</v>
      </c>
      <c r="AG15" s="25">
        <f ca="1">SUM($AE$15:$AF$15)</f>
        <v>0</v>
      </c>
      <c r="AH15" s="25">
        <f>'TUSD BE'!$AH$15*'TUSD BF'!$AH$58</f>
        <v>0</v>
      </c>
      <c r="AI15" s="25">
        <f>'TUSD BE'!$AI$15*'TUSD BF'!$AI$58</f>
        <v>0</v>
      </c>
      <c r="AJ15" s="25">
        <f ca="1">'TUSD BE'!$AJ$15*'TUSD BF'!$AJ$58</f>
        <v>0</v>
      </c>
      <c r="AK15" s="25">
        <f ca="1">'TUSD BE'!$AK$15*'TUSD BF'!$AK$58</f>
        <v>0</v>
      </c>
      <c r="AL15" s="25">
        <f ca="1">SUM($AH$15:$AK$15)</f>
        <v>0</v>
      </c>
      <c r="AM15" s="25">
        <f ca="1">SUMIF($L$4:$AL$4,"SUBTOTAL",$L$15:$AL$15)</f>
        <v>0</v>
      </c>
      <c r="AO15" s="30">
        <f ca="1">+'TUSD BE'!$T$15+'TUSD BE'!$AB$15+'TUSD BE'!$AD$15+'TUSD BE'!$AL$15</f>
        <v>8.8263282209178016</v>
      </c>
      <c r="AP15" s="30">
        <f ca="1">+'TUSD BE'!$T$15+'TUSD BE'!$AB$15+'TUSD BE'!$AD$15+'TUSD BE'!$AL$15</f>
        <v>8.8263282209178016</v>
      </c>
    </row>
    <row r="16" spans="1:42" ht="11.25" customHeight="1" x14ac:dyDescent="0.25">
      <c r="A16" s="134"/>
      <c r="B16" s="134"/>
      <c r="C16" s="134"/>
      <c r="D16" s="134"/>
      <c r="E16" s="28" t="s">
        <v>83</v>
      </c>
      <c r="F16" s="28" t="s">
        <v>25</v>
      </c>
      <c r="G16" s="21" t="s">
        <v>9</v>
      </c>
      <c r="H16" s="21" t="s">
        <v>76</v>
      </c>
      <c r="I16" s="21">
        <f>'MERCADO TUSD'!$U$13+0.00000001</f>
        <v>1E-8</v>
      </c>
      <c r="J16" s="17"/>
      <c r="L16" s="25">
        <f>'TUSD BE'!$L$16*'TUSD BF'!$L$58</f>
        <v>0</v>
      </c>
      <c r="M16" s="25">
        <f>'TUSD BE'!$M$16*'TUSD BF'!$M$58</f>
        <v>0</v>
      </c>
      <c r="N16" s="25">
        <f ca="1">'TUSD BE'!$N$16*'TUSD BF'!$N$58</f>
        <v>0</v>
      </c>
      <c r="O16" s="25">
        <f>'TUSD BE'!$O$16*'TUSD BF'!$O$58</f>
        <v>0</v>
      </c>
      <c r="P16" s="25">
        <f>'TUSD BE'!$P$16*'TUSD BF'!$P$58</f>
        <v>0</v>
      </c>
      <c r="Q16" s="25">
        <f>'TUSD BE'!$Q$16*'TUSD BF'!$Q$58</f>
        <v>0</v>
      </c>
      <c r="R16" s="25">
        <f>'TUSD BE'!$R$16*'TUSD BF'!$R$58</f>
        <v>0</v>
      </c>
      <c r="S16" s="25">
        <f>'TUSD BE'!$R$16*'TUSD BF'!$S$58</f>
        <v>0</v>
      </c>
      <c r="T16" s="25">
        <f ca="1">SUM($L$16:$S$16)</f>
        <v>0</v>
      </c>
      <c r="U16" s="25">
        <f>'TUSD BE'!$U$16*'TUSD BF'!$U$58</f>
        <v>0</v>
      </c>
      <c r="V16" s="25">
        <f>'TUSD BE'!$V$16*'TUSD BF'!$V$58</f>
        <v>0</v>
      </c>
      <c r="W16" s="25">
        <f>'TUSD BE'!$W$16*'TUSD BF'!$W$58</f>
        <v>0</v>
      </c>
      <c r="X16" s="25">
        <f>'TUSD BE'!$X$16*'TUSD BF'!$X$58</f>
        <v>0</v>
      </c>
      <c r="Y16" s="25">
        <f>'TUSD BE'!$Y$16*'TUSD BF'!$Y$58</f>
        <v>0</v>
      </c>
      <c r="Z16" s="25">
        <f>'TUSD BE'!$Z$16*'TUSD BF'!$Z$58</f>
        <v>0</v>
      </c>
      <c r="AA16" s="25">
        <f>'TUSD BE'!$AA$16*'TUSD BF'!$AA$58</f>
        <v>0</v>
      </c>
      <c r="AB16" s="25">
        <f>SUM($U$16:$AA$16)</f>
        <v>0</v>
      </c>
      <c r="AC16" s="25">
        <f>'TUSD BE'!$AC$16*'TUSD BF'!$AC$58</f>
        <v>0</v>
      </c>
      <c r="AD16" s="25">
        <f>SUM($AC$16:$AC$16)</f>
        <v>0</v>
      </c>
      <c r="AE16" s="25">
        <f ca="1">$AO$16*$AO$55</f>
        <v>0</v>
      </c>
      <c r="AF16" s="25">
        <f ca="1">$AP$16*$AP$55</f>
        <v>0</v>
      </c>
      <c r="AG16" s="25">
        <f ca="1">SUM($AE$16:$AF$16)</f>
        <v>0</v>
      </c>
      <c r="AH16" s="25">
        <f>'TUSD BE'!$AH$16*'TUSD BF'!$AH$58</f>
        <v>0</v>
      </c>
      <c r="AI16" s="25">
        <f>'TUSD BE'!$AI$16*'TUSD BF'!$AI$58</f>
        <v>0</v>
      </c>
      <c r="AJ16" s="25">
        <f ca="1">'TUSD BE'!$AJ$16*'TUSD BF'!$AJ$58</f>
        <v>0</v>
      </c>
      <c r="AK16" s="25">
        <f ca="1">'TUSD BE'!$AK$16*'TUSD BF'!$AK$58</f>
        <v>0</v>
      </c>
      <c r="AL16" s="25">
        <f ca="1">SUM($AH$16:$AK$16)</f>
        <v>0</v>
      </c>
      <c r="AM16" s="25">
        <f ca="1">SUMIF($L$4:$AL$4,"SUBTOTAL",$L$16:$AL$16)</f>
        <v>0</v>
      </c>
      <c r="AO16" s="30">
        <f ca="1">+'TUSD BE'!$T$16+'TUSD BE'!$AB$16+'TUSD BE'!$AD$16+'TUSD BE'!$AL$16</f>
        <v>28.422848570507185</v>
      </c>
      <c r="AP16" s="30">
        <f ca="1">+'TUSD BE'!$T$16+'TUSD BE'!$AB$16+'TUSD BE'!$AD$16+'TUSD BE'!$AL$16</f>
        <v>28.422848570507185</v>
      </c>
    </row>
    <row r="17" spans="1:42" ht="11.25" customHeight="1" x14ac:dyDescent="0.25">
      <c r="A17" s="134" t="s">
        <v>22</v>
      </c>
      <c r="B17" s="134" t="s">
        <v>37</v>
      </c>
      <c r="C17" s="134" t="s">
        <v>24</v>
      </c>
      <c r="D17" s="134" t="s">
        <v>24</v>
      </c>
      <c r="E17" s="134" t="s">
        <v>25</v>
      </c>
      <c r="F17" s="134" t="s">
        <v>25</v>
      </c>
      <c r="G17" s="21" t="s">
        <v>72</v>
      </c>
      <c r="H17" s="21" t="s">
        <v>71</v>
      </c>
      <c r="I17" s="21">
        <f>'MERCADO TUSD'!$U$14</f>
        <v>2.3139999999999996</v>
      </c>
      <c r="J17" s="17"/>
      <c r="L17" s="25">
        <f>'TUSD BE'!$L$17*'TUSD BF'!$L$58</f>
        <v>0</v>
      </c>
      <c r="M17" s="25">
        <f>'TUSD BE'!$M$17*'TUSD BF'!$M$58</f>
        <v>0</v>
      </c>
      <c r="N17" s="25">
        <f ca="1">'TUSD BE'!$N$17*'TUSD BF'!$N$58</f>
        <v>0</v>
      </c>
      <c r="O17" s="25">
        <f>'TUSD BE'!$O$17*'TUSD BF'!$O$58</f>
        <v>0</v>
      </c>
      <c r="P17" s="25">
        <f>'TUSD BE'!$P$17*'TUSD BF'!$P$58</f>
        <v>0</v>
      </c>
      <c r="Q17" s="25">
        <f>'TUSD BE'!$Q$17*'TUSD BF'!$Q$58</f>
        <v>0</v>
      </c>
      <c r="R17" s="25">
        <f>'TUSD BE'!$R$17*'TUSD BF'!$R$58</f>
        <v>0</v>
      </c>
      <c r="S17" s="25">
        <f>'TUSD BE'!$R$17*'TUSD BF'!$S$58</f>
        <v>0</v>
      </c>
      <c r="T17" s="25">
        <f ca="1">SUM($L$17:$S$17)</f>
        <v>0</v>
      </c>
      <c r="U17" s="25">
        <f>'TUSD BE'!$U$17*'TUSD BF'!$U$58</f>
        <v>0</v>
      </c>
      <c r="V17" s="25">
        <f>'TUSD BE'!$V$17*'TUSD BF'!$V$58</f>
        <v>0</v>
      </c>
      <c r="W17" s="25">
        <f>'TUSD BE'!$W$17*'TUSD BF'!$W$58</f>
        <v>0</v>
      </c>
      <c r="X17" s="25">
        <f>'TUSD BE'!$X$17*'TUSD BF'!$X$58</f>
        <v>0</v>
      </c>
      <c r="Y17" s="25">
        <f>'TUSD BE'!$Y$17*'TUSD BF'!$Y$58</f>
        <v>0</v>
      </c>
      <c r="Z17" s="25">
        <f>'TUSD BE'!$Z$17*'TUSD BF'!$Z$58</f>
        <v>0</v>
      </c>
      <c r="AA17" s="25">
        <f>'TUSD BE'!$AA$17*'TUSD BF'!$AA$58</f>
        <v>0</v>
      </c>
      <c r="AB17" s="25">
        <f>SUM($U$17:$AA$17)</f>
        <v>0</v>
      </c>
      <c r="AC17" s="25">
        <f>'TUSD BE'!$AC$17*'TUSD BF'!$AC$58</f>
        <v>0</v>
      </c>
      <c r="AD17" s="25">
        <f>SUM($AC$17:$AC$17)</f>
        <v>0</v>
      </c>
      <c r="AE17" s="25">
        <f ca="1">$AO$17*$AO$55</f>
        <v>0</v>
      </c>
      <c r="AF17" s="25">
        <f ca="1">$AP$17*$AP$55</f>
        <v>0</v>
      </c>
      <c r="AG17" s="25">
        <f ca="1">SUM($AE$17:$AF$17)</f>
        <v>0</v>
      </c>
      <c r="AH17" s="25">
        <f>'TUSD BE'!$AH$17*'TUSD BF'!$AH$58</f>
        <v>0</v>
      </c>
      <c r="AI17" s="25">
        <f>'TUSD BE'!$AI$17*'TUSD BF'!$AI$58</f>
        <v>0</v>
      </c>
      <c r="AJ17" s="25">
        <f ca="1">'TUSD BE'!$AJ$17*'TUSD BF'!$AJ$58</f>
        <v>0</v>
      </c>
      <c r="AK17" s="25">
        <f ca="1">'TUSD BE'!$AK$17*'TUSD BF'!$AK$58</f>
        <v>0</v>
      </c>
      <c r="AL17" s="25">
        <f ca="1">SUM($AH$17:$AK$17)</f>
        <v>0</v>
      </c>
      <c r="AM17" s="25">
        <f ca="1">SUMIF($L$4:$AL$4,"SUBTOTAL",$L$17:$AL$17)</f>
        <v>0</v>
      </c>
      <c r="AO17" s="30">
        <f ca="1">+'TUSD BE'!$T$17+'TUSD BE'!$AB$17+'TUSD BE'!$AD$17+'TUSD BE'!$AL$17</f>
        <v>2492.4658702061097</v>
      </c>
      <c r="AP17" s="30">
        <f ca="1">+'TUSD BE'!$T$17+'TUSD BE'!$AB$17+'TUSD BE'!$AD$17+'TUSD BE'!$AL$17</f>
        <v>2492.4658702061097</v>
      </c>
    </row>
    <row r="18" spans="1:42" ht="11.25" customHeight="1" x14ac:dyDescent="0.25">
      <c r="A18" s="134"/>
      <c r="B18" s="134"/>
      <c r="C18" s="134"/>
      <c r="D18" s="134"/>
      <c r="E18" s="134"/>
      <c r="F18" s="134"/>
      <c r="G18" s="21" t="s">
        <v>84</v>
      </c>
      <c r="H18" s="21" t="s">
        <v>71</v>
      </c>
      <c r="I18" s="21">
        <f>'MERCADO TUSD'!$U$15</f>
        <v>1.2229999999999999</v>
      </c>
      <c r="J18" s="17"/>
      <c r="L18" s="25">
        <f>'TUSD BE'!$L$18*'TUSD BF'!$L$58</f>
        <v>0</v>
      </c>
      <c r="M18" s="25">
        <f>'TUSD BE'!$M$18*'TUSD BF'!$M$58</f>
        <v>0</v>
      </c>
      <c r="N18" s="25">
        <f ca="1">'TUSD BE'!$N$18*'TUSD BF'!$N$58</f>
        <v>0</v>
      </c>
      <c r="O18" s="25">
        <f>'TUSD BE'!$O$18*'TUSD BF'!$O$58</f>
        <v>0</v>
      </c>
      <c r="P18" s="25">
        <f>'TUSD BE'!$P$18*'TUSD BF'!$P$58</f>
        <v>0</v>
      </c>
      <c r="Q18" s="25">
        <f>'TUSD BE'!$Q$18*'TUSD BF'!$Q$58</f>
        <v>0</v>
      </c>
      <c r="R18" s="25">
        <f>'TUSD BE'!$R$18*'TUSD BF'!$R$58</f>
        <v>0</v>
      </c>
      <c r="S18" s="25">
        <f>'TUSD BE'!$R$18*'TUSD BF'!$S$58</f>
        <v>0</v>
      </c>
      <c r="T18" s="25">
        <f ca="1">SUM($L$18:$S$18)</f>
        <v>0</v>
      </c>
      <c r="U18" s="25">
        <f>'TUSD BE'!$U$18*'TUSD BF'!$U$58</f>
        <v>0</v>
      </c>
      <c r="V18" s="25">
        <f>'TUSD BE'!$V$18*'TUSD BF'!$V$58</f>
        <v>0</v>
      </c>
      <c r="W18" s="25">
        <f>'TUSD BE'!$W$18*'TUSD BF'!$W$58</f>
        <v>0</v>
      </c>
      <c r="X18" s="25">
        <f>'TUSD BE'!$X$18*'TUSD BF'!$X$58</f>
        <v>0</v>
      </c>
      <c r="Y18" s="25">
        <f>'TUSD BE'!$Y$18*'TUSD BF'!$Y$58</f>
        <v>0</v>
      </c>
      <c r="Z18" s="25">
        <f>'TUSD BE'!$Z$18*'TUSD BF'!$Z$58</f>
        <v>0</v>
      </c>
      <c r="AA18" s="25">
        <f>'TUSD BE'!$AA$18*'TUSD BF'!$AA$58</f>
        <v>0</v>
      </c>
      <c r="AB18" s="25">
        <f>SUM($U$18:$AA$18)</f>
        <v>0</v>
      </c>
      <c r="AC18" s="25">
        <f>'TUSD BE'!$AC$18*'TUSD BF'!$AC$58</f>
        <v>0</v>
      </c>
      <c r="AD18" s="25">
        <f>SUM($AC$18:$AC$18)</f>
        <v>0</v>
      </c>
      <c r="AE18" s="25">
        <f ca="1">$AO$18*$AO$55</f>
        <v>0</v>
      </c>
      <c r="AF18" s="25">
        <f ca="1">$AP$18*$AP$55</f>
        <v>0</v>
      </c>
      <c r="AG18" s="25">
        <f ca="1">SUM($AE$18:$AF$18)</f>
        <v>0</v>
      </c>
      <c r="AH18" s="25">
        <f>'TUSD BE'!$AH$18*'TUSD BF'!$AH$58</f>
        <v>0</v>
      </c>
      <c r="AI18" s="25">
        <f>'TUSD BE'!$AI$18*'TUSD BF'!$AI$58</f>
        <v>0</v>
      </c>
      <c r="AJ18" s="25">
        <f ca="1">'TUSD BE'!$AJ$18*'TUSD BF'!$AJ$58</f>
        <v>0</v>
      </c>
      <c r="AK18" s="25">
        <f ca="1">'TUSD BE'!$AK$18*'TUSD BF'!$AK$58</f>
        <v>0</v>
      </c>
      <c r="AL18" s="25">
        <f ca="1">SUM($AH$18:$AK$18)</f>
        <v>0</v>
      </c>
      <c r="AM18" s="25">
        <f ca="1">SUMIF($L$4:$AL$4,"SUBTOTAL",$L$18:$AL$18)</f>
        <v>0</v>
      </c>
      <c r="AO18" s="30">
        <f ca="1">+'TUSD BE'!$T$18+'TUSD BE'!$AB$18+'TUSD BE'!$AD$18+'TUSD BE'!$AL$18</f>
        <v>1562.8761069138422</v>
      </c>
      <c r="AP18" s="30">
        <f ca="1">+'TUSD BE'!$T$18+'TUSD BE'!$AB$18+'TUSD BE'!$AD$18+'TUSD BE'!$AL$18</f>
        <v>1562.8761069138422</v>
      </c>
    </row>
    <row r="19" spans="1:42" ht="11.25" customHeight="1" x14ac:dyDescent="0.25">
      <c r="A19" s="134"/>
      <c r="B19" s="134"/>
      <c r="C19" s="134"/>
      <c r="D19" s="134"/>
      <c r="E19" s="134"/>
      <c r="F19" s="134"/>
      <c r="G19" s="21" t="s">
        <v>73</v>
      </c>
      <c r="H19" s="21" t="s">
        <v>71</v>
      </c>
      <c r="I19" s="21">
        <f>'MERCADO TUSD'!$U$16</f>
        <v>15.786</v>
      </c>
      <c r="J19" s="17"/>
      <c r="L19" s="25">
        <f>'TUSD BE'!$L$19*'TUSD BF'!$L$58</f>
        <v>0</v>
      </c>
      <c r="M19" s="25">
        <f>'TUSD BE'!$M$19*'TUSD BF'!$M$58</f>
        <v>0</v>
      </c>
      <c r="N19" s="25">
        <f ca="1">'TUSD BE'!$N$19*'TUSD BF'!$N$58</f>
        <v>0</v>
      </c>
      <c r="O19" s="25">
        <f>'TUSD BE'!$O$19*'TUSD BF'!$O$58</f>
        <v>0</v>
      </c>
      <c r="P19" s="25">
        <f>'TUSD BE'!$P$19*'TUSD BF'!$P$58</f>
        <v>0</v>
      </c>
      <c r="Q19" s="25">
        <f>'TUSD BE'!$Q$19*'TUSD BF'!$Q$58</f>
        <v>0</v>
      </c>
      <c r="R19" s="25">
        <f>'TUSD BE'!$R$19*'TUSD BF'!$R$58</f>
        <v>0</v>
      </c>
      <c r="S19" s="25">
        <f>'TUSD BE'!$R$19*'TUSD BF'!$S$58</f>
        <v>0</v>
      </c>
      <c r="T19" s="25">
        <f ca="1">SUM($L$19:$S$19)</f>
        <v>0</v>
      </c>
      <c r="U19" s="25">
        <f>'TUSD BE'!$U$19*'TUSD BF'!$U$58</f>
        <v>0</v>
      </c>
      <c r="V19" s="25">
        <f>'TUSD BE'!$V$19*'TUSD BF'!$V$58</f>
        <v>0</v>
      </c>
      <c r="W19" s="25">
        <f>'TUSD BE'!$W$19*'TUSD BF'!$W$58</f>
        <v>0</v>
      </c>
      <c r="X19" s="25">
        <f>'TUSD BE'!$X$19*'TUSD BF'!$X$58</f>
        <v>0</v>
      </c>
      <c r="Y19" s="25">
        <f>'TUSD BE'!$Y$19*'TUSD BF'!$Y$58</f>
        <v>0</v>
      </c>
      <c r="Z19" s="25">
        <f>'TUSD BE'!$Z$19*'TUSD BF'!$Z$58</f>
        <v>0</v>
      </c>
      <c r="AA19" s="25">
        <f>'TUSD BE'!$AA$19*'TUSD BF'!$AA$58</f>
        <v>0</v>
      </c>
      <c r="AB19" s="25">
        <f>SUM($U$19:$AA$19)</f>
        <v>0</v>
      </c>
      <c r="AC19" s="25">
        <f>'TUSD BE'!$AC$19*'TUSD BF'!$AC$58</f>
        <v>0</v>
      </c>
      <c r="AD19" s="25">
        <f>SUM($AC$19:$AC$19)</f>
        <v>0</v>
      </c>
      <c r="AE19" s="25">
        <f ca="1">$AO$19*$AO$55</f>
        <v>0</v>
      </c>
      <c r="AF19" s="25">
        <f ca="1">$AP$19*$AP$55</f>
        <v>0</v>
      </c>
      <c r="AG19" s="25">
        <f ca="1">SUM($AE$19:$AF$19)</f>
        <v>0</v>
      </c>
      <c r="AH19" s="25">
        <f>'TUSD BE'!$AH$19*'TUSD BF'!$AH$58</f>
        <v>0</v>
      </c>
      <c r="AI19" s="25">
        <f>'TUSD BE'!$AI$19*'TUSD BF'!$AI$58</f>
        <v>0</v>
      </c>
      <c r="AJ19" s="25">
        <f ca="1">'TUSD BE'!$AJ$19*'TUSD BF'!$AJ$58</f>
        <v>0</v>
      </c>
      <c r="AK19" s="25">
        <f ca="1">'TUSD BE'!$AK$19*'TUSD BF'!$AK$58</f>
        <v>0</v>
      </c>
      <c r="AL19" s="25">
        <f ca="1">SUM($AH$19:$AK$19)</f>
        <v>0</v>
      </c>
      <c r="AM19" s="25">
        <f ca="1">SUMIF($L$4:$AL$4,"SUBTOTAL",$L$19:$AL$19)</f>
        <v>0</v>
      </c>
      <c r="AO19" s="30">
        <f ca="1">+'TUSD BE'!$T$19+'TUSD BE'!$AB$19+'TUSD BE'!$AD$19+'TUSD BE'!$AL$19</f>
        <v>633.28693695591448</v>
      </c>
      <c r="AP19" s="30">
        <f ca="1">+'TUSD BE'!$T$19+'TUSD BE'!$AB$19+'TUSD BE'!$AD$19+'TUSD BE'!$AL$19</f>
        <v>633.28693695591448</v>
      </c>
    </row>
    <row r="20" spans="1:42" ht="11.25" customHeight="1" x14ac:dyDescent="0.25">
      <c r="A20" s="134"/>
      <c r="B20" s="134" t="s">
        <v>23</v>
      </c>
      <c r="C20" s="134" t="s">
        <v>24</v>
      </c>
      <c r="D20" s="28" t="s">
        <v>24</v>
      </c>
      <c r="E20" s="28" t="s">
        <v>25</v>
      </c>
      <c r="F20" s="28" t="s">
        <v>25</v>
      </c>
      <c r="G20" s="21" t="s">
        <v>75</v>
      </c>
      <c r="H20" s="21" t="s">
        <v>71</v>
      </c>
      <c r="I20" s="21">
        <f>'MERCADO TUSD'!$U$17</f>
        <v>26510.091</v>
      </c>
      <c r="J20" s="17"/>
      <c r="L20" s="25">
        <f>'TUSD BE'!$L$20*'TUSD BF'!$L$58</f>
        <v>0</v>
      </c>
      <c r="M20" s="25">
        <f>'TUSD BE'!$M$20*'TUSD BF'!$M$58</f>
        <v>0</v>
      </c>
      <c r="N20" s="25">
        <f ca="1">'TUSD BE'!$N$20*'TUSD BF'!$N$58</f>
        <v>0</v>
      </c>
      <c r="O20" s="25">
        <f>'TUSD BE'!$O$20*'TUSD BF'!$O$58</f>
        <v>0</v>
      </c>
      <c r="P20" s="25">
        <f>'TUSD BE'!$P$20*'TUSD BF'!$P$58</f>
        <v>0</v>
      </c>
      <c r="Q20" s="25">
        <f>'TUSD BE'!$Q$20*'TUSD BF'!$Q$58</f>
        <v>0</v>
      </c>
      <c r="R20" s="25">
        <f>'TUSD BE'!$R$20*'TUSD BF'!$R$58</f>
        <v>0</v>
      </c>
      <c r="S20" s="25">
        <f>'TUSD BE'!$R$20*'TUSD BF'!$S$58</f>
        <v>0</v>
      </c>
      <c r="T20" s="25">
        <f ca="1">SUM($L$20:$S$20)</f>
        <v>0</v>
      </c>
      <c r="U20" s="25">
        <f>'TUSD BE'!$U$20*'TUSD BF'!$U$58</f>
        <v>0</v>
      </c>
      <c r="V20" s="25">
        <f>'TUSD BE'!$V$20*'TUSD BF'!$V$58</f>
        <v>0</v>
      </c>
      <c r="W20" s="25">
        <f>'TUSD BE'!$W$20*'TUSD BF'!$W$58</f>
        <v>0</v>
      </c>
      <c r="X20" s="25">
        <f>'TUSD BE'!$X$20*'TUSD BF'!$X$58</f>
        <v>0</v>
      </c>
      <c r="Y20" s="25">
        <f>'TUSD BE'!$Y$20*'TUSD BF'!$Y$58</f>
        <v>0</v>
      </c>
      <c r="Z20" s="25">
        <f>'TUSD BE'!$Z$20*'TUSD BF'!$Z$58</f>
        <v>0</v>
      </c>
      <c r="AA20" s="25">
        <f>'TUSD BE'!$AA$20*'TUSD BF'!$AA$58</f>
        <v>0</v>
      </c>
      <c r="AB20" s="25">
        <f>SUM($U$20:$AA$20)</f>
        <v>0</v>
      </c>
      <c r="AC20" s="25">
        <f>'TUSD BE'!$AC$20*'TUSD BF'!$AC$58</f>
        <v>0</v>
      </c>
      <c r="AD20" s="25">
        <f>SUM($AC$20:$AC$20)</f>
        <v>0</v>
      </c>
      <c r="AE20" s="25">
        <f ca="1">$AO$20*$AO$55</f>
        <v>0</v>
      </c>
      <c r="AF20" s="25">
        <f ca="1">$AP$20*$AP$55</f>
        <v>0</v>
      </c>
      <c r="AG20" s="25">
        <f ca="1">SUM($AE$20:$AF$20)</f>
        <v>0</v>
      </c>
      <c r="AH20" s="25">
        <f>'TUSD BE'!$AH$20*'TUSD BF'!$AH$58</f>
        <v>0</v>
      </c>
      <c r="AI20" s="25">
        <f>'TUSD BE'!$AI$20*'TUSD BF'!$AI$58</f>
        <v>0</v>
      </c>
      <c r="AJ20" s="25">
        <f ca="1">'TUSD BE'!$AJ$20*'TUSD BF'!$AJ$58</f>
        <v>0</v>
      </c>
      <c r="AK20" s="25">
        <f ca="1">'TUSD BE'!$AK$20*'TUSD BF'!$AK$58</f>
        <v>0</v>
      </c>
      <c r="AL20" s="25">
        <f ca="1">SUM($AH$20:$AK$20)</f>
        <v>0</v>
      </c>
      <c r="AM20" s="25">
        <f ca="1">SUMIF($L$4:$AL$4,"SUBTOTAL",$L$20:$AL$20)</f>
        <v>0</v>
      </c>
      <c r="AO20" s="30">
        <f ca="1">+'TUSD BE'!$T$20+'TUSD BE'!$AB$20+'TUSD BE'!$AD$20+'TUSD BE'!$AL$20</f>
        <v>1029.2229273331159</v>
      </c>
      <c r="AP20" s="30">
        <f ca="1">+'TUSD BE'!$T$20+'TUSD BE'!$AB$20+'TUSD BE'!$AD$20+'TUSD BE'!$AL$20</f>
        <v>1029.2229273331159</v>
      </c>
    </row>
    <row r="21" spans="1:42" ht="11.25" customHeight="1" x14ac:dyDescent="0.25">
      <c r="A21" s="134"/>
      <c r="B21" s="134"/>
      <c r="C21" s="134"/>
      <c r="D21" s="28" t="s">
        <v>29</v>
      </c>
      <c r="E21" s="28" t="s">
        <v>25</v>
      </c>
      <c r="F21" s="28" t="s">
        <v>25</v>
      </c>
      <c r="G21" s="21" t="s">
        <v>75</v>
      </c>
      <c r="H21" s="21" t="s">
        <v>71</v>
      </c>
      <c r="I21" s="21">
        <f>'MERCADO TUSD'!$U$18</f>
        <v>224.727</v>
      </c>
      <c r="J21" s="17"/>
      <c r="L21" s="25">
        <f>'TUSD BE'!$L$21*'TUSD BF'!$L$58</f>
        <v>0</v>
      </c>
      <c r="M21" s="25">
        <f>'TUSD BE'!$M$21*'TUSD BF'!$M$58</f>
        <v>0</v>
      </c>
      <c r="N21" s="25">
        <f ca="1">'TUSD BE'!$N$21*'TUSD BF'!$N$58</f>
        <v>0</v>
      </c>
      <c r="O21" s="25">
        <f>'TUSD BE'!$O$21*'TUSD BF'!$O$58</f>
        <v>0</v>
      </c>
      <c r="P21" s="25">
        <f>'TUSD BE'!$P$21*'TUSD BF'!$P$58</f>
        <v>0</v>
      </c>
      <c r="Q21" s="25">
        <f>'TUSD BE'!$Q$21*'TUSD BF'!$Q$58</f>
        <v>0</v>
      </c>
      <c r="R21" s="25">
        <f>'TUSD BE'!$R$21*'TUSD BF'!$R$58</f>
        <v>0</v>
      </c>
      <c r="S21" s="25">
        <f>'TUSD BE'!$R$21*'TUSD BF'!$S$58</f>
        <v>0</v>
      </c>
      <c r="T21" s="25">
        <f ca="1">SUM($L$21:$S$21)</f>
        <v>0</v>
      </c>
      <c r="U21" s="25">
        <f>'TUSD BE'!$U$21*'TUSD BF'!$U$58</f>
        <v>0</v>
      </c>
      <c r="V21" s="25">
        <f>'TUSD BE'!$V$21*'TUSD BF'!$V$58</f>
        <v>0</v>
      </c>
      <c r="W21" s="25">
        <f>'TUSD BE'!$W$21*'TUSD BF'!$W$58</f>
        <v>0</v>
      </c>
      <c r="X21" s="25">
        <f>'TUSD BE'!$X$21*'TUSD BF'!$X$58</f>
        <v>0</v>
      </c>
      <c r="Y21" s="25">
        <f>'TUSD BE'!$Y$21*'TUSD BF'!$Y$58</f>
        <v>0</v>
      </c>
      <c r="Z21" s="25">
        <f>'TUSD BE'!$Z$21*'TUSD BF'!$Z$58</f>
        <v>0</v>
      </c>
      <c r="AA21" s="25">
        <f>'TUSD BE'!$AA$21*'TUSD BF'!$AA$58</f>
        <v>0</v>
      </c>
      <c r="AB21" s="25">
        <f>SUM($U$21:$AA$21)</f>
        <v>0</v>
      </c>
      <c r="AC21" s="25">
        <f>'TUSD BE'!$AC$21*'TUSD BF'!$AC$58</f>
        <v>0</v>
      </c>
      <c r="AD21" s="25">
        <f>SUM($AC$21:$AC$21)</f>
        <v>0</v>
      </c>
      <c r="AE21" s="25">
        <f ca="1">$AO$21*$AO$55</f>
        <v>0</v>
      </c>
      <c r="AF21" s="25">
        <f ca="1">$AP$21*$AP$55</f>
        <v>0</v>
      </c>
      <c r="AG21" s="25">
        <f ca="1">SUM($AE$21:$AF$21)</f>
        <v>0</v>
      </c>
      <c r="AH21" s="25">
        <f>'TUSD BE'!$AH$21*'TUSD BF'!$AH$58</f>
        <v>0</v>
      </c>
      <c r="AI21" s="25">
        <f>'TUSD BE'!$AI$21*'TUSD BF'!$AI$58</f>
        <v>0</v>
      </c>
      <c r="AJ21" s="25">
        <f ca="1">'TUSD BE'!$AJ$21*'TUSD BF'!$AJ$58</f>
        <v>0</v>
      </c>
      <c r="AK21" s="25">
        <f ca="1">'TUSD BE'!$AK$21*'TUSD BF'!$AK$58</f>
        <v>0</v>
      </c>
      <c r="AL21" s="25">
        <f ca="1">SUM($AH$21:$AK$21)</f>
        <v>0</v>
      </c>
      <c r="AM21" s="25">
        <f ca="1">SUMIF($L$4:$AL$4,"SUBTOTAL",$L$21:$AL$21)</f>
        <v>0</v>
      </c>
      <c r="AO21" s="30">
        <f ca="1">+'TUSD BE'!$T$21+'TUSD BE'!$AB$21+'TUSD BE'!$AD$21+'TUSD BE'!$AL$21</f>
        <v>902.5275655715925</v>
      </c>
      <c r="AP21" s="30">
        <f ca="1">+'TUSD BE'!$T$21+'TUSD BE'!$AB$21+'TUSD BE'!$AD$21+'TUSD BE'!$AL$21</f>
        <v>902.5275655715925</v>
      </c>
    </row>
    <row r="22" spans="1:42" ht="11.25" customHeight="1" x14ac:dyDescent="0.25">
      <c r="A22" s="134"/>
      <c r="B22" s="134"/>
      <c r="C22" s="134"/>
      <c r="D22" s="28" t="s">
        <v>30</v>
      </c>
      <c r="E22" s="28" t="s">
        <v>25</v>
      </c>
      <c r="F22" s="28" t="s">
        <v>25</v>
      </c>
      <c r="G22" s="21" t="s">
        <v>75</v>
      </c>
      <c r="H22" s="21" t="s">
        <v>71</v>
      </c>
      <c r="I22" s="21">
        <f>'MERCADO TUSD'!$U$19</f>
        <v>457.44400000000002</v>
      </c>
      <c r="J22" s="17"/>
      <c r="L22" s="25">
        <f>'TUSD BE'!$L$22*'TUSD BF'!$L$58</f>
        <v>0</v>
      </c>
      <c r="M22" s="25">
        <f>'TUSD BE'!$M$22*'TUSD BF'!$M$58</f>
        <v>0</v>
      </c>
      <c r="N22" s="25">
        <f ca="1">'TUSD BE'!$N$22*'TUSD BF'!$N$58</f>
        <v>0</v>
      </c>
      <c r="O22" s="25">
        <f>'TUSD BE'!$O$22*'TUSD BF'!$O$58</f>
        <v>0</v>
      </c>
      <c r="P22" s="25">
        <f>'TUSD BE'!$P$22*'TUSD BF'!$P$58</f>
        <v>0</v>
      </c>
      <c r="Q22" s="25">
        <f>'TUSD BE'!$Q$22*'TUSD BF'!$Q$58</f>
        <v>0</v>
      </c>
      <c r="R22" s="25">
        <f>'TUSD BE'!$R$22*'TUSD BF'!$R$58</f>
        <v>0</v>
      </c>
      <c r="S22" s="25">
        <f>'TUSD BE'!$R$22*'TUSD BF'!$S$58</f>
        <v>0</v>
      </c>
      <c r="T22" s="25">
        <f ca="1">SUM($L$22:$S$22)</f>
        <v>0</v>
      </c>
      <c r="U22" s="25">
        <f>'TUSD BE'!$U$22*'TUSD BF'!$U$58</f>
        <v>0</v>
      </c>
      <c r="V22" s="25">
        <f>'TUSD BE'!$V$22*'TUSD BF'!$V$58</f>
        <v>0</v>
      </c>
      <c r="W22" s="25">
        <f>'TUSD BE'!$W$22*'TUSD BF'!$W$58</f>
        <v>0</v>
      </c>
      <c r="X22" s="25">
        <f>'TUSD BE'!$X$22*'TUSD BF'!$X$58</f>
        <v>0</v>
      </c>
      <c r="Y22" s="25">
        <f>'TUSD BE'!$Y$22*'TUSD BF'!$Y$58</f>
        <v>0</v>
      </c>
      <c r="Z22" s="25">
        <f>'TUSD BE'!$Z$22*'TUSD BF'!$Z$58</f>
        <v>0</v>
      </c>
      <c r="AA22" s="25">
        <f>'TUSD BE'!$AA$22*'TUSD BF'!$AA$58</f>
        <v>0</v>
      </c>
      <c r="AB22" s="25">
        <f>SUM($U$22:$AA$22)</f>
        <v>0</v>
      </c>
      <c r="AC22" s="25">
        <f>'TUSD BE'!$AC$22*'TUSD BF'!$AC$58</f>
        <v>0</v>
      </c>
      <c r="AD22" s="25">
        <f>SUM($AC$22:$AC$22)</f>
        <v>0</v>
      </c>
      <c r="AE22" s="25">
        <f ca="1">$AO$22*$AO$55</f>
        <v>0</v>
      </c>
      <c r="AF22" s="25">
        <f ca="1">$AP$22*$AP$55</f>
        <v>0</v>
      </c>
      <c r="AG22" s="25">
        <f ca="1">SUM($AE$22:$AF$22)</f>
        <v>0</v>
      </c>
      <c r="AH22" s="25">
        <f>'TUSD BE'!$AH$22*'TUSD BF'!$AH$58</f>
        <v>0</v>
      </c>
      <c r="AI22" s="25">
        <f>'TUSD BE'!$AI$22*'TUSD BF'!$AI$58</f>
        <v>0</v>
      </c>
      <c r="AJ22" s="25">
        <f ca="1">'TUSD BE'!$AJ$22*'TUSD BF'!$AJ$58</f>
        <v>0</v>
      </c>
      <c r="AK22" s="25">
        <f ca="1">'TUSD BE'!$AK$22*'TUSD BF'!$AK$58</f>
        <v>0</v>
      </c>
      <c r="AL22" s="25">
        <f ca="1">SUM($AH$22:$AK$22)</f>
        <v>0</v>
      </c>
      <c r="AM22" s="25">
        <f ca="1">SUMIF($L$4:$AL$4,"SUBTOTAL",$L$22:$AL$22)</f>
        <v>0</v>
      </c>
      <c r="AO22" s="30">
        <f ca="1">+'TUSD BE'!$T$22+'TUSD BE'!$AB$22+'TUSD BE'!$AD$22+'TUSD BE'!$AL$22</f>
        <v>902.5275655715925</v>
      </c>
      <c r="AP22" s="30">
        <f ca="1">+'TUSD BE'!$T$22+'TUSD BE'!$AB$22+'TUSD BE'!$AD$22+'TUSD BE'!$AL$22</f>
        <v>902.5275655715925</v>
      </c>
    </row>
    <row r="23" spans="1:42" ht="11.25" customHeight="1" x14ac:dyDescent="0.25">
      <c r="A23" s="134"/>
      <c r="B23" s="134"/>
      <c r="C23" s="134"/>
      <c r="D23" s="28" t="s">
        <v>31</v>
      </c>
      <c r="E23" s="28" t="s">
        <v>25</v>
      </c>
      <c r="F23" s="28" t="s">
        <v>25</v>
      </c>
      <c r="G23" s="21" t="s">
        <v>75</v>
      </c>
      <c r="H23" s="21" t="s">
        <v>71</v>
      </c>
      <c r="I23" s="21">
        <f>'MERCADO TUSD'!$U$20</f>
        <v>365.92600000000004</v>
      </c>
      <c r="J23" s="17"/>
      <c r="L23" s="25">
        <f>'TUSD BE'!$L$23*'TUSD BF'!$L$58</f>
        <v>0</v>
      </c>
      <c r="M23" s="25">
        <f>'TUSD BE'!$M$23*'TUSD BF'!$M$58</f>
        <v>0</v>
      </c>
      <c r="N23" s="25">
        <f ca="1">'TUSD BE'!$N$23*'TUSD BF'!$N$58</f>
        <v>0</v>
      </c>
      <c r="O23" s="25">
        <f>'TUSD BE'!$O$23*'TUSD BF'!$O$58</f>
        <v>0</v>
      </c>
      <c r="P23" s="25">
        <f>'TUSD BE'!$P$23*'TUSD BF'!$P$58</f>
        <v>0</v>
      </c>
      <c r="Q23" s="25">
        <f>'TUSD BE'!$Q$23*'TUSD BF'!$Q$58</f>
        <v>0</v>
      </c>
      <c r="R23" s="25">
        <f>'TUSD BE'!$R$23*'TUSD BF'!$R$58</f>
        <v>0</v>
      </c>
      <c r="S23" s="25">
        <f>'TUSD BE'!$R$23*'TUSD BF'!$S$58</f>
        <v>0</v>
      </c>
      <c r="T23" s="25">
        <f ca="1">SUM($L$23:$S$23)</f>
        <v>0</v>
      </c>
      <c r="U23" s="25">
        <f>'TUSD BE'!$U$23*'TUSD BF'!$U$58</f>
        <v>0</v>
      </c>
      <c r="V23" s="25">
        <f>'TUSD BE'!$V$23*'TUSD BF'!$V$58</f>
        <v>0</v>
      </c>
      <c r="W23" s="25">
        <f>'TUSD BE'!$W$23*'TUSD BF'!$W$58</f>
        <v>0</v>
      </c>
      <c r="X23" s="25">
        <f>'TUSD BE'!$X$23*'TUSD BF'!$X$58</f>
        <v>0</v>
      </c>
      <c r="Y23" s="25">
        <f>'TUSD BE'!$Y$23*'TUSD BF'!$Y$58</f>
        <v>0</v>
      </c>
      <c r="Z23" s="25">
        <f>'TUSD BE'!$Z$23*'TUSD BF'!$Z$58</f>
        <v>0</v>
      </c>
      <c r="AA23" s="25">
        <f>'TUSD BE'!$AA$23*'TUSD BF'!$AA$58</f>
        <v>0</v>
      </c>
      <c r="AB23" s="25">
        <f>SUM($U$23:$AA$23)</f>
        <v>0</v>
      </c>
      <c r="AC23" s="25">
        <f>'TUSD BE'!$AC$23*'TUSD BF'!$AC$58</f>
        <v>0</v>
      </c>
      <c r="AD23" s="25">
        <f>SUM($AC$23:$AC$23)</f>
        <v>0</v>
      </c>
      <c r="AE23" s="25">
        <f ca="1">$AO$23*$AO$55</f>
        <v>0</v>
      </c>
      <c r="AF23" s="25">
        <f ca="1">$AP$23*$AP$55</f>
        <v>0</v>
      </c>
      <c r="AG23" s="25">
        <f ca="1">SUM($AE$23:$AF$23)</f>
        <v>0</v>
      </c>
      <c r="AH23" s="25">
        <f>'TUSD BE'!$AH$23*'TUSD BF'!$AH$58</f>
        <v>0</v>
      </c>
      <c r="AI23" s="25">
        <f>'TUSD BE'!$AI$23*'TUSD BF'!$AI$58</f>
        <v>0</v>
      </c>
      <c r="AJ23" s="25">
        <f ca="1">'TUSD BE'!$AJ$23*'TUSD BF'!$AJ$58</f>
        <v>0</v>
      </c>
      <c r="AK23" s="25">
        <f ca="1">'TUSD BE'!$AK$23*'TUSD BF'!$AK$58</f>
        <v>0</v>
      </c>
      <c r="AL23" s="25">
        <f ca="1">SUM($AH$23:$AK$23)</f>
        <v>0</v>
      </c>
      <c r="AM23" s="25">
        <f ca="1">SUMIF($L$4:$AL$4,"SUBTOTAL",$L$23:$AL$23)</f>
        <v>0</v>
      </c>
      <c r="AO23" s="30">
        <f ca="1">+'TUSD BE'!$T$23+'TUSD BE'!$AB$23+'TUSD BE'!$AD$23+'TUSD BE'!$AL$23</f>
        <v>902.5275655715925</v>
      </c>
      <c r="AP23" s="30">
        <f ca="1">+'TUSD BE'!$T$23+'TUSD BE'!$AB$23+'TUSD BE'!$AD$23+'TUSD BE'!$AL$23</f>
        <v>902.5275655715925</v>
      </c>
    </row>
    <row r="24" spans="1:42" ht="11.25" customHeight="1" x14ac:dyDescent="0.25">
      <c r="A24" s="134"/>
      <c r="B24" s="134"/>
      <c r="C24" s="134"/>
      <c r="D24" s="28" t="s">
        <v>32</v>
      </c>
      <c r="E24" s="28" t="s">
        <v>25</v>
      </c>
      <c r="F24" s="28" t="s">
        <v>25</v>
      </c>
      <c r="G24" s="21" t="s">
        <v>75</v>
      </c>
      <c r="H24" s="21" t="s">
        <v>71</v>
      </c>
      <c r="I24" s="21">
        <f>'MERCADO TUSD'!$U$21</f>
        <v>81.745999999999995</v>
      </c>
      <c r="J24" s="17"/>
      <c r="L24" s="25">
        <f>'TUSD BE'!$L$24*'TUSD BF'!$L$58</f>
        <v>0</v>
      </c>
      <c r="M24" s="25">
        <f>'TUSD BE'!$M$24*'TUSD BF'!$M$58</f>
        <v>0</v>
      </c>
      <c r="N24" s="25">
        <f ca="1">'TUSD BE'!$N$24*'TUSD BF'!$N$58</f>
        <v>0</v>
      </c>
      <c r="O24" s="25">
        <f>'TUSD BE'!$O$24*'TUSD BF'!$O$58</f>
        <v>0</v>
      </c>
      <c r="P24" s="25">
        <f>'TUSD BE'!$P$24*'TUSD BF'!$P$58</f>
        <v>0</v>
      </c>
      <c r="Q24" s="25">
        <f>'TUSD BE'!$Q$24*'TUSD BF'!$Q$58</f>
        <v>0</v>
      </c>
      <c r="R24" s="25">
        <f>'TUSD BE'!$R$24*'TUSD BF'!$R$58</f>
        <v>0</v>
      </c>
      <c r="S24" s="25">
        <f>'TUSD BE'!$R$24*'TUSD BF'!$S$58</f>
        <v>0</v>
      </c>
      <c r="T24" s="25">
        <f ca="1">SUM($L$24:$S$24)</f>
        <v>0</v>
      </c>
      <c r="U24" s="25">
        <f>'TUSD BE'!$U$24*'TUSD BF'!$U$58</f>
        <v>0</v>
      </c>
      <c r="V24" s="25">
        <f>'TUSD BE'!$V$24*'TUSD BF'!$V$58</f>
        <v>0</v>
      </c>
      <c r="W24" s="25">
        <f>'TUSD BE'!$W$24*'TUSD BF'!$W$58</f>
        <v>0</v>
      </c>
      <c r="X24" s="25">
        <f>'TUSD BE'!$X$24*'TUSD BF'!$X$58</f>
        <v>0</v>
      </c>
      <c r="Y24" s="25">
        <f>'TUSD BE'!$Y$24*'TUSD BF'!$Y$58</f>
        <v>0</v>
      </c>
      <c r="Z24" s="25">
        <f>'TUSD BE'!$Z$24*'TUSD BF'!$Z$58</f>
        <v>0</v>
      </c>
      <c r="AA24" s="25">
        <f>'TUSD BE'!$AA$24*'TUSD BF'!$AA$58</f>
        <v>0</v>
      </c>
      <c r="AB24" s="25">
        <f>SUM($U$24:$AA$24)</f>
        <v>0</v>
      </c>
      <c r="AC24" s="25">
        <f>'TUSD BE'!$AC$24*'TUSD BF'!$AC$58</f>
        <v>0</v>
      </c>
      <c r="AD24" s="25">
        <f>SUM($AC$24:$AC$24)</f>
        <v>0</v>
      </c>
      <c r="AE24" s="25">
        <f ca="1">$AO$24*$AO$55</f>
        <v>0</v>
      </c>
      <c r="AF24" s="25">
        <f ca="1">$AP$24*$AP$55</f>
        <v>0</v>
      </c>
      <c r="AG24" s="25">
        <f ca="1">SUM($AE$24:$AF$24)</f>
        <v>0</v>
      </c>
      <c r="AH24" s="25">
        <f>'TUSD BE'!$AH$24*'TUSD BF'!$AH$58</f>
        <v>0</v>
      </c>
      <c r="AI24" s="25">
        <f>'TUSD BE'!$AI$24*'TUSD BF'!$AI$58</f>
        <v>0</v>
      </c>
      <c r="AJ24" s="25">
        <f ca="1">'TUSD BE'!$AJ$24*'TUSD BF'!$AJ$58</f>
        <v>0</v>
      </c>
      <c r="AK24" s="25">
        <f ca="1">'TUSD BE'!$AK$24*'TUSD BF'!$AK$58</f>
        <v>0</v>
      </c>
      <c r="AL24" s="25">
        <f ca="1">SUM($AH$24:$AK$24)</f>
        <v>0</v>
      </c>
      <c r="AM24" s="25">
        <f ca="1">SUMIF($L$4:$AL$4,"SUBTOTAL",$L$24:$AL$24)</f>
        <v>0</v>
      </c>
      <c r="AO24" s="30">
        <f ca="1">+'TUSD BE'!$T$24+'TUSD BE'!$AB$24+'TUSD BE'!$AD$24+'TUSD BE'!$AL$24</f>
        <v>902.5275655715925</v>
      </c>
      <c r="AP24" s="30">
        <f ca="1">+'TUSD BE'!$T$24+'TUSD BE'!$AB$24+'TUSD BE'!$AD$24+'TUSD BE'!$AL$24</f>
        <v>902.5275655715925</v>
      </c>
    </row>
    <row r="25" spans="1:42" ht="11.25" customHeight="1" x14ac:dyDescent="0.25">
      <c r="A25" s="134"/>
      <c r="B25" s="134" t="s">
        <v>86</v>
      </c>
      <c r="C25" s="134" t="s">
        <v>24</v>
      </c>
      <c r="D25" s="28" t="s">
        <v>24</v>
      </c>
      <c r="E25" s="28" t="s">
        <v>25</v>
      </c>
      <c r="F25" s="28" t="s">
        <v>25</v>
      </c>
      <c r="G25" s="21" t="s">
        <v>75</v>
      </c>
      <c r="H25" s="21" t="s">
        <v>71</v>
      </c>
      <c r="I25" s="21">
        <f>'MERCADO TUSD'!$U$22</f>
        <v>0</v>
      </c>
      <c r="J25" s="17"/>
      <c r="L25" s="25">
        <f>'TUSD BE'!$L$25*'TUSD BF'!$L$58</f>
        <v>0</v>
      </c>
      <c r="M25" s="25">
        <f>'TUSD BE'!$M$25*'TUSD BF'!$M$58</f>
        <v>0</v>
      </c>
      <c r="N25" s="25">
        <f ca="1">'TUSD BE'!$N$25*'TUSD BF'!$N$58</f>
        <v>0</v>
      </c>
      <c r="O25" s="25">
        <f>'TUSD BE'!$O$25*'TUSD BF'!$O$58</f>
        <v>0</v>
      </c>
      <c r="P25" s="25">
        <f>'TUSD BE'!$P$25*'TUSD BF'!$P$58</f>
        <v>0</v>
      </c>
      <c r="Q25" s="25">
        <f>'TUSD BE'!$Q$25*'TUSD BF'!$Q$58</f>
        <v>0</v>
      </c>
      <c r="R25" s="25">
        <f>'TUSD BE'!$R$25*'TUSD BF'!$R$58</f>
        <v>0</v>
      </c>
      <c r="S25" s="25">
        <f>'TUSD BE'!$R$25*'TUSD BF'!$S$58</f>
        <v>0</v>
      </c>
      <c r="T25" s="25">
        <f ca="1">SUM($L$25:$S$25)</f>
        <v>0</v>
      </c>
      <c r="U25" s="25">
        <f>'TUSD BE'!$U$25*'TUSD BF'!$U$58</f>
        <v>0</v>
      </c>
      <c r="V25" s="25">
        <f>'TUSD BE'!$V$25*'TUSD BF'!$V$58</f>
        <v>0</v>
      </c>
      <c r="W25" s="25">
        <f>'TUSD BE'!$W$25*'TUSD BF'!$W$58</f>
        <v>0</v>
      </c>
      <c r="X25" s="25">
        <f>'TUSD BE'!$X$25*'TUSD BF'!$X$58</f>
        <v>0</v>
      </c>
      <c r="Y25" s="25">
        <f>'TUSD BE'!$Y$25*'TUSD BF'!$Y$58</f>
        <v>0</v>
      </c>
      <c r="Z25" s="25">
        <f>'TUSD BE'!$Z$25*'TUSD BF'!$Z$58</f>
        <v>0</v>
      </c>
      <c r="AA25" s="25">
        <f>'TUSD BE'!$AA$25*'TUSD BF'!$AA$58</f>
        <v>0</v>
      </c>
      <c r="AB25" s="25">
        <f>SUM($U$25:$AA$25)</f>
        <v>0</v>
      </c>
      <c r="AC25" s="25">
        <f>'TUSD BE'!$AC$25*'TUSD BF'!$AC$58</f>
        <v>0</v>
      </c>
      <c r="AD25" s="25">
        <f>SUM($AC$25:$AC$25)</f>
        <v>0</v>
      </c>
      <c r="AE25" s="25">
        <f ca="1">$AO$25*$AO$55</f>
        <v>0</v>
      </c>
      <c r="AF25" s="25">
        <f ca="1">$AP$25*$AP$55</f>
        <v>0</v>
      </c>
      <c r="AG25" s="25">
        <f ca="1">SUM($AE$25:$AF$25)</f>
        <v>0</v>
      </c>
      <c r="AH25" s="25">
        <f>'TUSD BE'!$AH$25*'TUSD BF'!$AH$58</f>
        <v>0</v>
      </c>
      <c r="AI25" s="25">
        <f>'TUSD BE'!$AI$25*'TUSD BF'!$AI$58</f>
        <v>0</v>
      </c>
      <c r="AJ25" s="25">
        <f ca="1">'TUSD BE'!$AJ$25*'TUSD BF'!$AJ$58</f>
        <v>0</v>
      </c>
      <c r="AK25" s="25">
        <f ca="1">'TUSD BE'!$AK$25*'TUSD BF'!$AK$58</f>
        <v>0</v>
      </c>
      <c r="AL25" s="25">
        <f ca="1">SUM($AH$25:$AK$25)</f>
        <v>0</v>
      </c>
      <c r="AM25" s="25">
        <f ca="1">SUMIF($L$4:$AL$4,"SUBTOTAL",$L$25:$AL$25)</f>
        <v>0</v>
      </c>
      <c r="AO25" s="30">
        <f ca="1">+'TUSD BE'!$T$25+'TUSD BE'!$AB$25+'TUSD BE'!$AD$25+'TUSD BE'!$AL$25</f>
        <v>1029.2229273331159</v>
      </c>
      <c r="AP25" s="30">
        <f ca="1">+'TUSD BE'!$T$25+'TUSD BE'!$AB$25+'TUSD BE'!$AD$25+'TUSD BE'!$AL$25</f>
        <v>1029.2229273331159</v>
      </c>
    </row>
    <row r="26" spans="1:42" ht="11.25" customHeight="1" x14ac:dyDescent="0.25">
      <c r="A26" s="134"/>
      <c r="B26" s="134"/>
      <c r="C26" s="134"/>
      <c r="D26" s="28" t="s">
        <v>29</v>
      </c>
      <c r="E26" s="28" t="s">
        <v>25</v>
      </c>
      <c r="F26" s="28" t="s">
        <v>25</v>
      </c>
      <c r="G26" s="21" t="s">
        <v>75</v>
      </c>
      <c r="H26" s="21" t="s">
        <v>71</v>
      </c>
      <c r="I26" s="21">
        <f>'MERCADO TUSD'!$U$23</f>
        <v>0</v>
      </c>
      <c r="J26" s="17"/>
      <c r="L26" s="25">
        <f>'TUSD BE'!$L$26*'TUSD BF'!$L$58</f>
        <v>0</v>
      </c>
      <c r="M26" s="25">
        <f>'TUSD BE'!$M$26*'TUSD BF'!$M$58</f>
        <v>0</v>
      </c>
      <c r="N26" s="25">
        <f ca="1">'TUSD BE'!$N$26*'TUSD BF'!$N$58</f>
        <v>0</v>
      </c>
      <c r="O26" s="25">
        <f>'TUSD BE'!$O$26*'TUSD BF'!$O$58</f>
        <v>0</v>
      </c>
      <c r="P26" s="25">
        <f>'TUSD BE'!$P$26*'TUSD BF'!$P$58</f>
        <v>0</v>
      </c>
      <c r="Q26" s="25">
        <f>'TUSD BE'!$Q$26*'TUSD BF'!$Q$58</f>
        <v>0</v>
      </c>
      <c r="R26" s="25">
        <f>'TUSD BE'!$R$26*'TUSD BF'!$R$58</f>
        <v>0</v>
      </c>
      <c r="S26" s="25">
        <f>'TUSD BE'!$R$26*'TUSD BF'!$S$58</f>
        <v>0</v>
      </c>
      <c r="T26" s="25">
        <f ca="1">SUM($L$26:$S$26)</f>
        <v>0</v>
      </c>
      <c r="U26" s="25">
        <f>'TUSD BE'!$U$26*'TUSD BF'!$U$58</f>
        <v>0</v>
      </c>
      <c r="V26" s="25">
        <f>'TUSD BE'!$V$26*'TUSD BF'!$V$58</f>
        <v>0</v>
      </c>
      <c r="W26" s="25">
        <f>'TUSD BE'!$W$26*'TUSD BF'!$W$58</f>
        <v>0</v>
      </c>
      <c r="X26" s="25">
        <f>'TUSD BE'!$X$26*'TUSD BF'!$X$58</f>
        <v>0</v>
      </c>
      <c r="Y26" s="25">
        <f>'TUSD BE'!$Y$26*'TUSD BF'!$Y$58</f>
        <v>0</v>
      </c>
      <c r="Z26" s="25">
        <f>'TUSD BE'!$Z$26*'TUSD BF'!$Z$58</f>
        <v>0</v>
      </c>
      <c r="AA26" s="25">
        <f>'TUSD BE'!$AA$26*'TUSD BF'!$AA$58</f>
        <v>0</v>
      </c>
      <c r="AB26" s="25">
        <f>SUM($U$26:$AA$26)</f>
        <v>0</v>
      </c>
      <c r="AC26" s="25">
        <f>'TUSD BE'!$AC$26*'TUSD BF'!$AC$58</f>
        <v>0</v>
      </c>
      <c r="AD26" s="25">
        <f>SUM($AC$26:$AC$26)</f>
        <v>0</v>
      </c>
      <c r="AE26" s="25">
        <f ca="1">$AO$26*$AO$55</f>
        <v>0</v>
      </c>
      <c r="AF26" s="25">
        <f ca="1">$AP$26*$AP$55</f>
        <v>0</v>
      </c>
      <c r="AG26" s="25">
        <f ca="1">SUM($AE$26:$AF$26)</f>
        <v>0</v>
      </c>
      <c r="AH26" s="25">
        <f>'TUSD BE'!$AH$26*'TUSD BF'!$AH$58</f>
        <v>0</v>
      </c>
      <c r="AI26" s="25">
        <f>'TUSD BE'!$AI$26*'TUSD BF'!$AI$58</f>
        <v>0</v>
      </c>
      <c r="AJ26" s="25">
        <f ca="1">'TUSD BE'!$AJ$26*'TUSD BF'!$AJ$58</f>
        <v>0</v>
      </c>
      <c r="AK26" s="25">
        <f ca="1">'TUSD BE'!$AK$26*'TUSD BF'!$AK$58</f>
        <v>0</v>
      </c>
      <c r="AL26" s="25">
        <f ca="1">SUM($AH$26:$AK$26)</f>
        <v>0</v>
      </c>
      <c r="AM26" s="25">
        <f ca="1">SUMIF($L$4:$AL$4,"SUBTOTAL",$L$26:$AL$26)</f>
        <v>0</v>
      </c>
      <c r="AO26" s="30">
        <f ca="1">+'TUSD BE'!$T$26+'TUSD BE'!$AB$26+'TUSD BE'!$AD$26+'TUSD BE'!$AL$26</f>
        <v>902.5275655715925</v>
      </c>
      <c r="AP26" s="30">
        <f ca="1">+'TUSD BE'!$T$26+'TUSD BE'!$AB$26+'TUSD BE'!$AD$26+'TUSD BE'!$AL$26</f>
        <v>902.5275655715925</v>
      </c>
    </row>
    <row r="27" spans="1:42" ht="11.25" customHeight="1" x14ac:dyDescent="0.25">
      <c r="A27" s="134"/>
      <c r="B27" s="134"/>
      <c r="C27" s="134"/>
      <c r="D27" s="28" t="s">
        <v>30</v>
      </c>
      <c r="E27" s="28" t="s">
        <v>25</v>
      </c>
      <c r="F27" s="28" t="s">
        <v>25</v>
      </c>
      <c r="G27" s="21" t="s">
        <v>75</v>
      </c>
      <c r="H27" s="21" t="s">
        <v>71</v>
      </c>
      <c r="I27" s="21">
        <f>'MERCADO TUSD'!$U$24</f>
        <v>0</v>
      </c>
      <c r="J27" s="17"/>
      <c r="L27" s="25">
        <f>'TUSD BE'!$L$27*'TUSD BF'!$L$58</f>
        <v>0</v>
      </c>
      <c r="M27" s="25">
        <f>'TUSD BE'!$M$27*'TUSD BF'!$M$58</f>
        <v>0</v>
      </c>
      <c r="N27" s="25">
        <f ca="1">'TUSD BE'!$N$27*'TUSD BF'!$N$58</f>
        <v>0</v>
      </c>
      <c r="O27" s="25">
        <f>'TUSD BE'!$O$27*'TUSD BF'!$O$58</f>
        <v>0</v>
      </c>
      <c r="P27" s="25">
        <f>'TUSD BE'!$P$27*'TUSD BF'!$P$58</f>
        <v>0</v>
      </c>
      <c r="Q27" s="25">
        <f>'TUSD BE'!$Q$27*'TUSD BF'!$Q$58</f>
        <v>0</v>
      </c>
      <c r="R27" s="25">
        <f>'TUSD BE'!$R$27*'TUSD BF'!$R$58</f>
        <v>0</v>
      </c>
      <c r="S27" s="25">
        <f>'TUSD BE'!$R$27*'TUSD BF'!$S$58</f>
        <v>0</v>
      </c>
      <c r="T27" s="25">
        <f ca="1">SUM($L$27:$S$27)</f>
        <v>0</v>
      </c>
      <c r="U27" s="25">
        <f>'TUSD BE'!$U$27*'TUSD BF'!$U$58</f>
        <v>0</v>
      </c>
      <c r="V27" s="25">
        <f>'TUSD BE'!$V$27*'TUSD BF'!$V$58</f>
        <v>0</v>
      </c>
      <c r="W27" s="25">
        <f>'TUSD BE'!$W$27*'TUSD BF'!$W$58</f>
        <v>0</v>
      </c>
      <c r="X27" s="25">
        <f>'TUSD BE'!$X$27*'TUSD BF'!$X$58</f>
        <v>0</v>
      </c>
      <c r="Y27" s="25">
        <f>'TUSD BE'!$Y$27*'TUSD BF'!$Y$58</f>
        <v>0</v>
      </c>
      <c r="Z27" s="25">
        <f>'TUSD BE'!$Z$27*'TUSD BF'!$Z$58</f>
        <v>0</v>
      </c>
      <c r="AA27" s="25">
        <f>'TUSD BE'!$AA$27*'TUSD BF'!$AA$58</f>
        <v>0</v>
      </c>
      <c r="AB27" s="25">
        <f>SUM($U$27:$AA$27)</f>
        <v>0</v>
      </c>
      <c r="AC27" s="25">
        <f>'TUSD BE'!$AC$27*'TUSD BF'!$AC$58</f>
        <v>0</v>
      </c>
      <c r="AD27" s="25">
        <f>SUM($AC$27:$AC$27)</f>
        <v>0</v>
      </c>
      <c r="AE27" s="25">
        <f ca="1">$AO$27*$AO$55</f>
        <v>0</v>
      </c>
      <c r="AF27" s="25">
        <f ca="1">$AP$27*$AP$55</f>
        <v>0</v>
      </c>
      <c r="AG27" s="25">
        <f ca="1">SUM($AE$27:$AF$27)</f>
        <v>0</v>
      </c>
      <c r="AH27" s="25">
        <f>'TUSD BE'!$AH$27*'TUSD BF'!$AH$58</f>
        <v>0</v>
      </c>
      <c r="AI27" s="25">
        <f>'TUSD BE'!$AI$27*'TUSD BF'!$AI$58</f>
        <v>0</v>
      </c>
      <c r="AJ27" s="25">
        <f ca="1">'TUSD BE'!$AJ$27*'TUSD BF'!$AJ$58</f>
        <v>0</v>
      </c>
      <c r="AK27" s="25">
        <f ca="1">'TUSD BE'!$AK$27*'TUSD BF'!$AK$58</f>
        <v>0</v>
      </c>
      <c r="AL27" s="25">
        <f ca="1">SUM($AH$27:$AK$27)</f>
        <v>0</v>
      </c>
      <c r="AM27" s="25">
        <f ca="1">SUMIF($L$4:$AL$4,"SUBTOTAL",$L$27:$AL$27)</f>
        <v>0</v>
      </c>
      <c r="AO27" s="30">
        <f ca="1">+'TUSD BE'!$T$27+'TUSD BE'!$AB$27+'TUSD BE'!$AD$27+'TUSD BE'!$AL$27</f>
        <v>902.5275655715925</v>
      </c>
      <c r="AP27" s="30">
        <f ca="1">+'TUSD BE'!$T$27+'TUSD BE'!$AB$27+'TUSD BE'!$AD$27+'TUSD BE'!$AL$27</f>
        <v>902.5275655715925</v>
      </c>
    </row>
    <row r="28" spans="1:42" ht="11.25" customHeight="1" x14ac:dyDescent="0.25">
      <c r="A28" s="134"/>
      <c r="B28" s="134"/>
      <c r="C28" s="134"/>
      <c r="D28" s="28" t="s">
        <v>31</v>
      </c>
      <c r="E28" s="28" t="s">
        <v>25</v>
      </c>
      <c r="F28" s="28" t="s">
        <v>25</v>
      </c>
      <c r="G28" s="21" t="s">
        <v>75</v>
      </c>
      <c r="H28" s="21" t="s">
        <v>71</v>
      </c>
      <c r="I28" s="21">
        <f>'MERCADO TUSD'!$U$25</f>
        <v>0</v>
      </c>
      <c r="J28" s="17"/>
      <c r="L28" s="25">
        <f>'TUSD BE'!$L$28*'TUSD BF'!$L$58</f>
        <v>0</v>
      </c>
      <c r="M28" s="25">
        <f>'TUSD BE'!$M$28*'TUSD BF'!$M$58</f>
        <v>0</v>
      </c>
      <c r="N28" s="25">
        <f ca="1">'TUSD BE'!$N$28*'TUSD BF'!$N$58</f>
        <v>0</v>
      </c>
      <c r="O28" s="25">
        <f>'TUSD BE'!$O$28*'TUSD BF'!$O$58</f>
        <v>0</v>
      </c>
      <c r="P28" s="25">
        <f>'TUSD BE'!$P$28*'TUSD BF'!$P$58</f>
        <v>0</v>
      </c>
      <c r="Q28" s="25">
        <f>'TUSD BE'!$Q$28*'TUSD BF'!$Q$58</f>
        <v>0</v>
      </c>
      <c r="R28" s="25">
        <f>'TUSD BE'!$R$28*'TUSD BF'!$R$58</f>
        <v>0</v>
      </c>
      <c r="S28" s="25">
        <f>'TUSD BE'!$R$28*'TUSD BF'!$S$58</f>
        <v>0</v>
      </c>
      <c r="T28" s="25">
        <f ca="1">SUM($L$28:$S$28)</f>
        <v>0</v>
      </c>
      <c r="U28" s="25">
        <f>'TUSD BE'!$U$28*'TUSD BF'!$U$58</f>
        <v>0</v>
      </c>
      <c r="V28" s="25">
        <f>'TUSD BE'!$V$28*'TUSD BF'!$V$58</f>
        <v>0</v>
      </c>
      <c r="W28" s="25">
        <f>'TUSD BE'!$W$28*'TUSD BF'!$W$58</f>
        <v>0</v>
      </c>
      <c r="X28" s="25">
        <f>'TUSD BE'!$X$28*'TUSD BF'!$X$58</f>
        <v>0</v>
      </c>
      <c r="Y28" s="25">
        <f>'TUSD BE'!$Y$28*'TUSD BF'!$Y$58</f>
        <v>0</v>
      </c>
      <c r="Z28" s="25">
        <f>'TUSD BE'!$Z$28*'TUSD BF'!$Z$58</f>
        <v>0</v>
      </c>
      <c r="AA28" s="25">
        <f>'TUSD BE'!$AA$28*'TUSD BF'!$AA$58</f>
        <v>0</v>
      </c>
      <c r="AB28" s="25">
        <f>SUM($U$28:$AA$28)</f>
        <v>0</v>
      </c>
      <c r="AC28" s="25">
        <f>'TUSD BE'!$AC$28*'TUSD BF'!$AC$58</f>
        <v>0</v>
      </c>
      <c r="AD28" s="25">
        <f>SUM($AC$28:$AC$28)</f>
        <v>0</v>
      </c>
      <c r="AE28" s="25">
        <f ca="1">$AO$28*$AO$55</f>
        <v>0</v>
      </c>
      <c r="AF28" s="25">
        <f ca="1">$AP$28*$AP$55</f>
        <v>0</v>
      </c>
      <c r="AG28" s="25">
        <f ca="1">SUM($AE$28:$AF$28)</f>
        <v>0</v>
      </c>
      <c r="AH28" s="25">
        <f>'TUSD BE'!$AH$28*'TUSD BF'!$AH$58</f>
        <v>0</v>
      </c>
      <c r="AI28" s="25">
        <f>'TUSD BE'!$AI$28*'TUSD BF'!$AI$58</f>
        <v>0</v>
      </c>
      <c r="AJ28" s="25">
        <f ca="1">'TUSD BE'!$AJ$28*'TUSD BF'!$AJ$58</f>
        <v>0</v>
      </c>
      <c r="AK28" s="25">
        <f ca="1">'TUSD BE'!$AK$28*'TUSD BF'!$AK$58</f>
        <v>0</v>
      </c>
      <c r="AL28" s="25">
        <f ca="1">SUM($AH$28:$AK$28)</f>
        <v>0</v>
      </c>
      <c r="AM28" s="25">
        <f ca="1">SUMIF($L$4:$AL$4,"SUBTOTAL",$L$28:$AL$28)</f>
        <v>0</v>
      </c>
      <c r="AO28" s="30">
        <f ca="1">+'TUSD BE'!$T$28+'TUSD BE'!$AB$28+'TUSD BE'!$AD$28+'TUSD BE'!$AL$28</f>
        <v>902.5275655715925</v>
      </c>
      <c r="AP28" s="30">
        <f ca="1">+'TUSD BE'!$T$28+'TUSD BE'!$AB$28+'TUSD BE'!$AD$28+'TUSD BE'!$AL$28</f>
        <v>902.5275655715925</v>
      </c>
    </row>
    <row r="29" spans="1:42" ht="11.25" customHeight="1" x14ac:dyDescent="0.25">
      <c r="A29" s="134"/>
      <c r="B29" s="134"/>
      <c r="C29" s="134"/>
      <c r="D29" s="28" t="s">
        <v>32</v>
      </c>
      <c r="E29" s="28" t="s">
        <v>25</v>
      </c>
      <c r="F29" s="28" t="s">
        <v>25</v>
      </c>
      <c r="G29" s="21" t="s">
        <v>75</v>
      </c>
      <c r="H29" s="21" t="s">
        <v>71</v>
      </c>
      <c r="I29" s="21">
        <f>'MERCADO TUSD'!$U$26</f>
        <v>0</v>
      </c>
      <c r="J29" s="17"/>
      <c r="L29" s="25">
        <f>'TUSD BE'!$L$29*'TUSD BF'!$L$58</f>
        <v>0</v>
      </c>
      <c r="M29" s="25">
        <f>'TUSD BE'!$M$29*'TUSD BF'!$M$58</f>
        <v>0</v>
      </c>
      <c r="N29" s="25">
        <f ca="1">'TUSD BE'!$N$29*'TUSD BF'!$N$58</f>
        <v>0</v>
      </c>
      <c r="O29" s="25">
        <f>'TUSD BE'!$O$29*'TUSD BF'!$O$58</f>
        <v>0</v>
      </c>
      <c r="P29" s="25">
        <f>'TUSD BE'!$P$29*'TUSD BF'!$P$58</f>
        <v>0</v>
      </c>
      <c r="Q29" s="25">
        <f>'TUSD BE'!$Q$29*'TUSD BF'!$Q$58</f>
        <v>0</v>
      </c>
      <c r="R29" s="25">
        <f>'TUSD BE'!$R$29*'TUSD BF'!$R$58</f>
        <v>0</v>
      </c>
      <c r="S29" s="25">
        <f>'TUSD BE'!$R$29*'TUSD BF'!$S$58</f>
        <v>0</v>
      </c>
      <c r="T29" s="25">
        <f ca="1">SUM($L$29:$S$29)</f>
        <v>0</v>
      </c>
      <c r="U29" s="25">
        <f>'TUSD BE'!$U$29*'TUSD BF'!$U$58</f>
        <v>0</v>
      </c>
      <c r="V29" s="25">
        <f>'TUSD BE'!$V$29*'TUSD BF'!$V$58</f>
        <v>0</v>
      </c>
      <c r="W29" s="25">
        <f>'TUSD BE'!$W$29*'TUSD BF'!$W$58</f>
        <v>0</v>
      </c>
      <c r="X29" s="25">
        <f>'TUSD BE'!$X$29*'TUSD BF'!$X$58</f>
        <v>0</v>
      </c>
      <c r="Y29" s="25">
        <f>'TUSD BE'!$Y$29*'TUSD BF'!$Y$58</f>
        <v>0</v>
      </c>
      <c r="Z29" s="25">
        <f>'TUSD BE'!$Z$29*'TUSD BF'!$Z$58</f>
        <v>0</v>
      </c>
      <c r="AA29" s="25">
        <f>'TUSD BE'!$AA$29*'TUSD BF'!$AA$58</f>
        <v>0</v>
      </c>
      <c r="AB29" s="25">
        <f>SUM($U$29:$AA$29)</f>
        <v>0</v>
      </c>
      <c r="AC29" s="25">
        <f>'TUSD BE'!$AC$29*'TUSD BF'!$AC$58</f>
        <v>0</v>
      </c>
      <c r="AD29" s="25">
        <f>SUM($AC$29:$AC$29)</f>
        <v>0</v>
      </c>
      <c r="AE29" s="25">
        <f ca="1">$AO$29*$AO$55</f>
        <v>0</v>
      </c>
      <c r="AF29" s="25">
        <f ca="1">$AP$29*$AP$55</f>
        <v>0</v>
      </c>
      <c r="AG29" s="25">
        <f ca="1">SUM($AE$29:$AF$29)</f>
        <v>0</v>
      </c>
      <c r="AH29" s="25">
        <f>'TUSD BE'!$AH$29*'TUSD BF'!$AH$58</f>
        <v>0</v>
      </c>
      <c r="AI29" s="25">
        <f>'TUSD BE'!$AI$29*'TUSD BF'!$AI$58</f>
        <v>0</v>
      </c>
      <c r="AJ29" s="25">
        <f ca="1">'TUSD BE'!$AJ$29*'TUSD BF'!$AJ$58</f>
        <v>0</v>
      </c>
      <c r="AK29" s="25">
        <f ca="1">'TUSD BE'!$AK$29*'TUSD BF'!$AK$58</f>
        <v>0</v>
      </c>
      <c r="AL29" s="25">
        <f ca="1">SUM($AH$29:$AK$29)</f>
        <v>0</v>
      </c>
      <c r="AM29" s="25">
        <f ca="1">SUMIF($L$4:$AL$4,"SUBTOTAL",$L$29:$AL$29)</f>
        <v>0</v>
      </c>
      <c r="AO29" s="30">
        <f ca="1">+'TUSD BE'!$T$29+'TUSD BE'!$AB$29+'TUSD BE'!$AD$29+'TUSD BE'!$AL$29</f>
        <v>902.5275655715925</v>
      </c>
      <c r="AP29" s="30">
        <f ca="1">+'TUSD BE'!$T$29+'TUSD BE'!$AB$29+'TUSD BE'!$AD$29+'TUSD BE'!$AL$29</f>
        <v>902.5275655715925</v>
      </c>
    </row>
    <row r="30" spans="1:42" ht="11.25" customHeight="1" x14ac:dyDescent="0.25">
      <c r="A30" s="134" t="s">
        <v>43</v>
      </c>
      <c r="B30" s="134" t="s">
        <v>37</v>
      </c>
      <c r="C30" s="134" t="s">
        <v>44</v>
      </c>
      <c r="D30" s="134" t="s">
        <v>25</v>
      </c>
      <c r="E30" s="134" t="s">
        <v>25</v>
      </c>
      <c r="F30" s="134" t="s">
        <v>25</v>
      </c>
      <c r="G30" s="21" t="s">
        <v>72</v>
      </c>
      <c r="H30" s="21" t="s">
        <v>71</v>
      </c>
      <c r="I30" s="21">
        <f>'MERCADO TUSD'!$U$27</f>
        <v>0</v>
      </c>
      <c r="J30" s="17"/>
      <c r="L30" s="25">
        <f>'TUSD BE'!$L$30*'TUSD BF'!$L$58</f>
        <v>0</v>
      </c>
      <c r="M30" s="25">
        <f>'TUSD BE'!$M$30*'TUSD BF'!$M$58</f>
        <v>0</v>
      </c>
      <c r="N30" s="25">
        <f ca="1">'TUSD BE'!$N$30*'TUSD BF'!$N$58</f>
        <v>0</v>
      </c>
      <c r="O30" s="25">
        <f>'TUSD BE'!$O$30*'TUSD BF'!$O$58</f>
        <v>0</v>
      </c>
      <c r="P30" s="25">
        <f>'TUSD BE'!$P$30*'TUSD BF'!$P$58</f>
        <v>0</v>
      </c>
      <c r="Q30" s="25">
        <f>'TUSD BE'!$Q$30*'TUSD BF'!$Q$58</f>
        <v>0</v>
      </c>
      <c r="R30" s="25">
        <f>'TUSD BE'!$R$30*'TUSD BF'!$R$58</f>
        <v>0</v>
      </c>
      <c r="S30" s="25">
        <f>'TUSD BE'!$R$30*'TUSD BF'!$S$58</f>
        <v>0</v>
      </c>
      <c r="T30" s="25">
        <f ca="1">SUM($L$30:$S$30)</f>
        <v>0</v>
      </c>
      <c r="U30" s="25">
        <f>'TUSD BE'!$U$30*'TUSD BF'!$U$58</f>
        <v>0</v>
      </c>
      <c r="V30" s="25">
        <f>'TUSD BE'!$V$30*'TUSD BF'!$V$58</f>
        <v>0</v>
      </c>
      <c r="W30" s="25">
        <f>'TUSD BE'!$W$30*'TUSD BF'!$W$58</f>
        <v>0</v>
      </c>
      <c r="X30" s="25">
        <f>'TUSD BE'!$X$30*'TUSD BF'!$X$58</f>
        <v>0</v>
      </c>
      <c r="Y30" s="25">
        <f>'TUSD BE'!$Y$30*'TUSD BF'!$Y$58</f>
        <v>0</v>
      </c>
      <c r="Z30" s="25">
        <f>'TUSD BE'!$Z$30*'TUSD BF'!$Z$58</f>
        <v>0</v>
      </c>
      <c r="AA30" s="25">
        <f>'TUSD BE'!$AA$30*'TUSD BF'!$AA$58</f>
        <v>0</v>
      </c>
      <c r="AB30" s="25">
        <f>SUM($U$30:$AA$30)</f>
        <v>0</v>
      </c>
      <c r="AC30" s="25">
        <f>'TUSD BE'!$AC$30*'TUSD BF'!$AC$58</f>
        <v>0</v>
      </c>
      <c r="AD30" s="25">
        <f>SUM($AC$30:$AC$30)</f>
        <v>0</v>
      </c>
      <c r="AE30" s="25">
        <f ca="1">$AO$30*$AO$55</f>
        <v>0</v>
      </c>
      <c r="AF30" s="25">
        <f ca="1">$AP$30*$AP$55</f>
        <v>0</v>
      </c>
      <c r="AG30" s="25">
        <f ca="1">SUM($AE$30:$AF$30)</f>
        <v>0</v>
      </c>
      <c r="AH30" s="25">
        <f>'TUSD BE'!$AH$30*'TUSD BF'!$AH$58</f>
        <v>0</v>
      </c>
      <c r="AI30" s="25">
        <f>'TUSD BE'!$AI$30*'TUSD BF'!$AI$58</f>
        <v>0</v>
      </c>
      <c r="AJ30" s="25">
        <f ca="1">'TUSD BE'!$AJ$30*'TUSD BF'!$AJ$58</f>
        <v>0</v>
      </c>
      <c r="AK30" s="25">
        <f ca="1">'TUSD BE'!$AK$30*'TUSD BF'!$AK$58</f>
        <v>0</v>
      </c>
      <c r="AL30" s="25">
        <f ca="1">SUM($AH$30:$AK$30)</f>
        <v>0</v>
      </c>
      <c r="AM30" s="25">
        <f ca="1">SUMIF($L$4:$AL$4,"SUBTOTAL",$L$30:$AL$30)</f>
        <v>0</v>
      </c>
      <c r="AO30" s="30">
        <f ca="1">+'TUSD BE'!$T$30+'TUSD BE'!$AB$30+'TUSD BE'!$AD$30+'TUSD BE'!$AL$30</f>
        <v>2406.3940408431858</v>
      </c>
      <c r="AP30" s="30">
        <f ca="1">+'TUSD BE'!$T$30+'TUSD BE'!$AB$30+'TUSD BE'!$AD$30+'TUSD BE'!$AL$30</f>
        <v>2406.3940408431858</v>
      </c>
    </row>
    <row r="31" spans="1:42" ht="11.25" customHeight="1" x14ac:dyDescent="0.25">
      <c r="A31" s="134"/>
      <c r="B31" s="134"/>
      <c r="C31" s="134"/>
      <c r="D31" s="134"/>
      <c r="E31" s="134"/>
      <c r="F31" s="134"/>
      <c r="G31" s="21" t="s">
        <v>84</v>
      </c>
      <c r="H31" s="21" t="s">
        <v>71</v>
      </c>
      <c r="I31" s="21">
        <f>'MERCADO TUSD'!$U$28</f>
        <v>0</v>
      </c>
      <c r="J31" s="17"/>
      <c r="L31" s="25">
        <f>'TUSD BE'!$L$31*'TUSD BF'!$L$58</f>
        <v>0</v>
      </c>
      <c r="M31" s="25">
        <f>'TUSD BE'!$M$31*'TUSD BF'!$M$58</f>
        <v>0</v>
      </c>
      <c r="N31" s="25">
        <f ca="1">'TUSD BE'!$N$31*'TUSD BF'!$N$58</f>
        <v>0</v>
      </c>
      <c r="O31" s="25">
        <f>'TUSD BE'!$O$31*'TUSD BF'!$O$58</f>
        <v>0</v>
      </c>
      <c r="P31" s="25">
        <f>'TUSD BE'!$P$31*'TUSD BF'!$P$58</f>
        <v>0</v>
      </c>
      <c r="Q31" s="25">
        <f>'TUSD BE'!$Q$31*'TUSD BF'!$Q$58</f>
        <v>0</v>
      </c>
      <c r="R31" s="25">
        <f>'TUSD BE'!$R$31*'TUSD BF'!$R$58</f>
        <v>0</v>
      </c>
      <c r="S31" s="25">
        <f>'TUSD BE'!$R$31*'TUSD BF'!$S$58</f>
        <v>0</v>
      </c>
      <c r="T31" s="25">
        <f ca="1">SUM($L$31:$S$31)</f>
        <v>0</v>
      </c>
      <c r="U31" s="25">
        <f>'TUSD BE'!$U$31*'TUSD BF'!$U$58</f>
        <v>0</v>
      </c>
      <c r="V31" s="25">
        <f>'TUSD BE'!$V$31*'TUSD BF'!$V$58</f>
        <v>0</v>
      </c>
      <c r="W31" s="25">
        <f>'TUSD BE'!$W$31*'TUSD BF'!$W$58</f>
        <v>0</v>
      </c>
      <c r="X31" s="25">
        <f>'TUSD BE'!$X$31*'TUSD BF'!$X$58</f>
        <v>0</v>
      </c>
      <c r="Y31" s="25">
        <f>'TUSD BE'!$Y$31*'TUSD BF'!$Y$58</f>
        <v>0</v>
      </c>
      <c r="Z31" s="25">
        <f>'TUSD BE'!$Z$31*'TUSD BF'!$Z$58</f>
        <v>0</v>
      </c>
      <c r="AA31" s="25">
        <f>'TUSD BE'!$AA$31*'TUSD BF'!$AA$58</f>
        <v>0</v>
      </c>
      <c r="AB31" s="25">
        <f>SUM($U$31:$AA$31)</f>
        <v>0</v>
      </c>
      <c r="AC31" s="25">
        <f>'TUSD BE'!$AC$31*'TUSD BF'!$AC$58</f>
        <v>0</v>
      </c>
      <c r="AD31" s="25">
        <f>SUM($AC$31:$AC$31)</f>
        <v>0</v>
      </c>
      <c r="AE31" s="25">
        <f ca="1">$AO$31*$AO$55</f>
        <v>0</v>
      </c>
      <c r="AF31" s="25">
        <f ca="1">$AP$31*$AP$55</f>
        <v>0</v>
      </c>
      <c r="AG31" s="25">
        <f ca="1">SUM($AE$31:$AF$31)</f>
        <v>0</v>
      </c>
      <c r="AH31" s="25">
        <f>'TUSD BE'!$AH$31*'TUSD BF'!$AH$58</f>
        <v>0</v>
      </c>
      <c r="AI31" s="25">
        <f>'TUSD BE'!$AI$31*'TUSD BF'!$AI$58</f>
        <v>0</v>
      </c>
      <c r="AJ31" s="25">
        <f ca="1">'TUSD BE'!$AJ$31*'TUSD BF'!$AJ$58</f>
        <v>0</v>
      </c>
      <c r="AK31" s="25">
        <f ca="1">'TUSD BE'!$AK$31*'TUSD BF'!$AK$58</f>
        <v>0</v>
      </c>
      <c r="AL31" s="25">
        <f ca="1">SUM($AH$31:$AK$31)</f>
        <v>0</v>
      </c>
      <c r="AM31" s="25">
        <f ca="1">SUMIF($L$4:$AL$4,"SUBTOTAL",$L$31:$AL$31)</f>
        <v>0</v>
      </c>
      <c r="AO31" s="30">
        <f ca="1">+'TUSD BE'!$T$31+'TUSD BE'!$AB$31+'TUSD BE'!$AD$31+'TUSD BE'!$AL$31</f>
        <v>1511.2327311480035</v>
      </c>
      <c r="AP31" s="30">
        <f ca="1">+'TUSD BE'!$T$31+'TUSD BE'!$AB$31+'TUSD BE'!$AD$31+'TUSD BE'!$AL$31</f>
        <v>1511.2327311480035</v>
      </c>
    </row>
    <row r="32" spans="1:42" ht="11.25" customHeight="1" x14ac:dyDescent="0.25">
      <c r="A32" s="134"/>
      <c r="B32" s="134"/>
      <c r="C32" s="134"/>
      <c r="D32" s="134"/>
      <c r="E32" s="134"/>
      <c r="F32" s="134"/>
      <c r="G32" s="21" t="s">
        <v>73</v>
      </c>
      <c r="H32" s="21" t="s">
        <v>71</v>
      </c>
      <c r="I32" s="21">
        <f>'MERCADO TUSD'!$U$29</f>
        <v>0</v>
      </c>
      <c r="J32" s="17"/>
      <c r="L32" s="25">
        <f>'TUSD BE'!$L$32*'TUSD BF'!$L$58</f>
        <v>0</v>
      </c>
      <c r="M32" s="25">
        <f>'TUSD BE'!$M$32*'TUSD BF'!$M$58</f>
        <v>0</v>
      </c>
      <c r="N32" s="25">
        <f ca="1">'TUSD BE'!$N$32*'TUSD BF'!$N$58</f>
        <v>0</v>
      </c>
      <c r="O32" s="25">
        <f>'TUSD BE'!$O$32*'TUSD BF'!$O$58</f>
        <v>0</v>
      </c>
      <c r="P32" s="25">
        <f>'TUSD BE'!$P$32*'TUSD BF'!$P$58</f>
        <v>0</v>
      </c>
      <c r="Q32" s="25">
        <f>'TUSD BE'!$Q$32*'TUSD BF'!$Q$58</f>
        <v>0</v>
      </c>
      <c r="R32" s="25">
        <f>'TUSD BE'!$R$32*'TUSD BF'!$R$58</f>
        <v>0</v>
      </c>
      <c r="S32" s="25">
        <f>'TUSD BE'!$R$32*'TUSD BF'!$S$58</f>
        <v>0</v>
      </c>
      <c r="T32" s="25">
        <f ca="1">SUM($L$32:$S$32)</f>
        <v>0</v>
      </c>
      <c r="U32" s="25">
        <f>'TUSD BE'!$U$32*'TUSD BF'!$U$58</f>
        <v>0</v>
      </c>
      <c r="V32" s="25">
        <f>'TUSD BE'!$V$32*'TUSD BF'!$V$58</f>
        <v>0</v>
      </c>
      <c r="W32" s="25">
        <f>'TUSD BE'!$W$32*'TUSD BF'!$W$58</f>
        <v>0</v>
      </c>
      <c r="X32" s="25">
        <f>'TUSD BE'!$X$32*'TUSD BF'!$X$58</f>
        <v>0</v>
      </c>
      <c r="Y32" s="25">
        <f>'TUSD BE'!$Y$32*'TUSD BF'!$Y$58</f>
        <v>0</v>
      </c>
      <c r="Z32" s="25">
        <f>'TUSD BE'!$Z$32*'TUSD BF'!$Z$58</f>
        <v>0</v>
      </c>
      <c r="AA32" s="25">
        <f>'TUSD BE'!$AA$32*'TUSD BF'!$AA$58</f>
        <v>0</v>
      </c>
      <c r="AB32" s="25">
        <f>SUM($U$32:$AA$32)</f>
        <v>0</v>
      </c>
      <c r="AC32" s="25">
        <f>'TUSD BE'!$AC$32*'TUSD BF'!$AC$58</f>
        <v>0</v>
      </c>
      <c r="AD32" s="25">
        <f>SUM($AC$32:$AC$32)</f>
        <v>0</v>
      </c>
      <c r="AE32" s="25">
        <f ca="1">$AO$32*$AO$55</f>
        <v>0</v>
      </c>
      <c r="AF32" s="25">
        <f ca="1">$AP$32*$AP$55</f>
        <v>0</v>
      </c>
      <c r="AG32" s="25">
        <f ca="1">SUM($AE$32:$AF$32)</f>
        <v>0</v>
      </c>
      <c r="AH32" s="25">
        <f>'TUSD BE'!$AH$32*'TUSD BF'!$AH$58</f>
        <v>0</v>
      </c>
      <c r="AI32" s="25">
        <f>'TUSD BE'!$AI$32*'TUSD BF'!$AI$58</f>
        <v>0</v>
      </c>
      <c r="AJ32" s="25">
        <f ca="1">'TUSD BE'!$AJ$32*'TUSD BF'!$AJ$58</f>
        <v>0</v>
      </c>
      <c r="AK32" s="25">
        <f ca="1">'TUSD BE'!$AK$32*'TUSD BF'!$AK$58</f>
        <v>0</v>
      </c>
      <c r="AL32" s="25">
        <f ca="1">SUM($AH$32:$AK$32)</f>
        <v>0</v>
      </c>
      <c r="AM32" s="25">
        <f ca="1">SUMIF($L$4:$AL$4,"SUBTOTAL",$L$32:$AL$32)</f>
        <v>0</v>
      </c>
      <c r="AO32" s="30">
        <f ca="1">+'TUSD BE'!$T$32+'TUSD BE'!$AB$32+'TUSD BE'!$AD$32+'TUSD BE'!$AL$32</f>
        <v>616.07115565079266</v>
      </c>
      <c r="AP32" s="30">
        <f ca="1">+'TUSD BE'!$T$32+'TUSD BE'!$AB$32+'TUSD BE'!$AD$32+'TUSD BE'!$AL$32</f>
        <v>616.07115565079266</v>
      </c>
    </row>
    <row r="33" spans="1:42" ht="11.25" customHeight="1" x14ac:dyDescent="0.25">
      <c r="A33" s="134"/>
      <c r="B33" s="28" t="s">
        <v>23</v>
      </c>
      <c r="C33" s="28" t="s">
        <v>44</v>
      </c>
      <c r="D33" s="28" t="s">
        <v>25</v>
      </c>
      <c r="E33" s="28" t="s">
        <v>25</v>
      </c>
      <c r="F33" s="28" t="s">
        <v>25</v>
      </c>
      <c r="G33" s="21" t="s">
        <v>75</v>
      </c>
      <c r="H33" s="21" t="s">
        <v>71</v>
      </c>
      <c r="I33" s="21">
        <f>'MERCADO TUSD'!$U$30</f>
        <v>3313.4050000000002</v>
      </c>
      <c r="J33" s="17"/>
      <c r="L33" s="25">
        <f>'TUSD BE'!$L$33*'TUSD BF'!$L$58</f>
        <v>0</v>
      </c>
      <c r="M33" s="25">
        <f>'TUSD BE'!$M$33*'TUSD BF'!$M$58</f>
        <v>0</v>
      </c>
      <c r="N33" s="25">
        <f ca="1">'TUSD BE'!$N$33*'TUSD BF'!$N$58</f>
        <v>0</v>
      </c>
      <c r="O33" s="25">
        <f>'TUSD BE'!$O$33*'TUSD BF'!$O$58</f>
        <v>0</v>
      </c>
      <c r="P33" s="25">
        <f>'TUSD BE'!$P$33*'TUSD BF'!$P$58</f>
        <v>0</v>
      </c>
      <c r="Q33" s="25">
        <f>'TUSD BE'!$Q$33*'TUSD BF'!$Q$58</f>
        <v>0</v>
      </c>
      <c r="R33" s="25">
        <f>'TUSD BE'!$R$33*'TUSD BF'!$R$58</f>
        <v>0</v>
      </c>
      <c r="S33" s="25">
        <f>'TUSD BE'!$R$33*'TUSD BF'!$S$58</f>
        <v>0</v>
      </c>
      <c r="T33" s="25">
        <f ca="1">SUM($L$33:$S$33)</f>
        <v>0</v>
      </c>
      <c r="U33" s="25">
        <f>'TUSD BE'!$U$33*'TUSD BF'!$U$58</f>
        <v>0</v>
      </c>
      <c r="V33" s="25">
        <f>'TUSD BE'!$V$33*'TUSD BF'!$V$58</f>
        <v>0</v>
      </c>
      <c r="W33" s="25">
        <f>'TUSD BE'!$W$33*'TUSD BF'!$W$58</f>
        <v>0</v>
      </c>
      <c r="X33" s="25">
        <f>'TUSD BE'!$X$33*'TUSD BF'!$X$58</f>
        <v>0</v>
      </c>
      <c r="Y33" s="25">
        <f>'TUSD BE'!$Y$33*'TUSD BF'!$Y$58</f>
        <v>0</v>
      </c>
      <c r="Z33" s="25">
        <f>'TUSD BE'!$Z$33*'TUSD BF'!$Z$58</f>
        <v>0</v>
      </c>
      <c r="AA33" s="25">
        <f>'TUSD BE'!$AA$33*'TUSD BF'!$AA$58</f>
        <v>0</v>
      </c>
      <c r="AB33" s="25">
        <f>SUM($U$33:$AA$33)</f>
        <v>0</v>
      </c>
      <c r="AC33" s="25">
        <f>'TUSD BE'!$AC$33*'TUSD BF'!$AC$58</f>
        <v>0</v>
      </c>
      <c r="AD33" s="25">
        <f>SUM($AC$33:$AC$33)</f>
        <v>0</v>
      </c>
      <c r="AE33" s="25">
        <f ca="1">$AO$33*$AO$55</f>
        <v>0</v>
      </c>
      <c r="AF33" s="25">
        <f ca="1">$AP$33*$AP$55</f>
        <v>0</v>
      </c>
      <c r="AG33" s="25">
        <f ca="1">SUM($AE$33:$AF$33)</f>
        <v>0</v>
      </c>
      <c r="AH33" s="25">
        <f>'TUSD BE'!$AH$33*'TUSD BF'!$AH$58</f>
        <v>0</v>
      </c>
      <c r="AI33" s="25">
        <f>'TUSD BE'!$AI$33*'TUSD BF'!$AI$58</f>
        <v>0</v>
      </c>
      <c r="AJ33" s="25">
        <f ca="1">'TUSD BE'!$AJ$33*'TUSD BF'!$AJ$58</f>
        <v>0</v>
      </c>
      <c r="AK33" s="25">
        <f ca="1">'TUSD BE'!$AK$33*'TUSD BF'!$AK$58</f>
        <v>0</v>
      </c>
      <c r="AL33" s="25">
        <f ca="1">SUM($AH$33:$AK$33)</f>
        <v>0</v>
      </c>
      <c r="AM33" s="25">
        <f ca="1">SUMIF($L$4:$AL$4,"SUBTOTAL",$L$33:$AL$33)</f>
        <v>0</v>
      </c>
      <c r="AO33" s="30">
        <f ca="1">+'TUSD BE'!$T$33+'TUSD BE'!$AB$33+'TUSD BE'!$AD$33+'TUSD BE'!$AL$33</f>
        <v>1029.2229273331159</v>
      </c>
      <c r="AP33" s="30">
        <f ca="1">+'TUSD BE'!$T$33+'TUSD BE'!$AB$33+'TUSD BE'!$AD$33+'TUSD BE'!$AL$33</f>
        <v>1029.2229273331159</v>
      </c>
    </row>
    <row r="34" spans="1:42" ht="11.25" customHeight="1" x14ac:dyDescent="0.25">
      <c r="A34" s="134"/>
      <c r="B34" s="134" t="s">
        <v>37</v>
      </c>
      <c r="C34" s="134" t="s">
        <v>44</v>
      </c>
      <c r="D34" s="134" t="s">
        <v>87</v>
      </c>
      <c r="E34" s="134" t="s">
        <v>25</v>
      </c>
      <c r="F34" s="134" t="s">
        <v>25</v>
      </c>
      <c r="G34" s="21" t="s">
        <v>72</v>
      </c>
      <c r="H34" s="21" t="s">
        <v>71</v>
      </c>
      <c r="I34" s="21">
        <f>'MERCADO TUSD'!$U$31</f>
        <v>0</v>
      </c>
      <c r="J34" s="17"/>
      <c r="L34" s="25">
        <f>'TUSD BE'!$L$34*'TUSD BF'!$L$58</f>
        <v>0</v>
      </c>
      <c r="M34" s="25">
        <f>'TUSD BE'!$M$34*'TUSD BF'!$M$58</f>
        <v>0</v>
      </c>
      <c r="N34" s="25">
        <f ca="1">'TUSD BE'!$N$34*'TUSD BF'!$N$58</f>
        <v>0</v>
      </c>
      <c r="O34" s="25">
        <f>'TUSD BE'!$O$34*'TUSD BF'!$O$58</f>
        <v>0</v>
      </c>
      <c r="P34" s="25">
        <f>'TUSD BE'!$P$34*'TUSD BF'!$P$58</f>
        <v>0</v>
      </c>
      <c r="Q34" s="25">
        <f>'TUSD BE'!$Q$34*'TUSD BF'!$Q$58</f>
        <v>0</v>
      </c>
      <c r="R34" s="25">
        <f>'TUSD BE'!$R$34*'TUSD BF'!$R$58</f>
        <v>0</v>
      </c>
      <c r="S34" s="25">
        <f>'TUSD BE'!$R$34*'TUSD BF'!$S$58</f>
        <v>0</v>
      </c>
      <c r="T34" s="25">
        <f ca="1">SUM($L$34:$S$34)</f>
        <v>0</v>
      </c>
      <c r="U34" s="25">
        <f>'TUSD BE'!$U$34*'TUSD BF'!$U$58</f>
        <v>0</v>
      </c>
      <c r="V34" s="25">
        <f>'TUSD BE'!$V$34*'TUSD BF'!$V$58</f>
        <v>0</v>
      </c>
      <c r="W34" s="25">
        <f>'TUSD BE'!$W$34*'TUSD BF'!$W$58</f>
        <v>0</v>
      </c>
      <c r="X34" s="25">
        <f>'TUSD BE'!$X$34*'TUSD BF'!$X$58</f>
        <v>0</v>
      </c>
      <c r="Y34" s="25">
        <f>'TUSD BE'!$Y$34*'TUSD BF'!$Y$58</f>
        <v>0</v>
      </c>
      <c r="Z34" s="25">
        <f>'TUSD BE'!$Z$34*'TUSD BF'!$Z$58</f>
        <v>0</v>
      </c>
      <c r="AA34" s="25">
        <f>'TUSD BE'!$AA$34*'TUSD BF'!$AA$58</f>
        <v>0</v>
      </c>
      <c r="AB34" s="25">
        <f>SUM($U$34:$AA$34)</f>
        <v>0</v>
      </c>
      <c r="AC34" s="25">
        <f>'TUSD BE'!$AC$34*'TUSD BF'!$AC$58</f>
        <v>0</v>
      </c>
      <c r="AD34" s="25">
        <f>SUM($AC$34:$AC$34)</f>
        <v>0</v>
      </c>
      <c r="AE34" s="25">
        <f ca="1">$AO$34*$AO$55</f>
        <v>0</v>
      </c>
      <c r="AF34" s="25">
        <f ca="1">$AP$34*$AP$55</f>
        <v>0</v>
      </c>
      <c r="AG34" s="25">
        <f ca="1">SUM($AE$34:$AF$34)</f>
        <v>0</v>
      </c>
      <c r="AH34" s="25">
        <f>'TUSD BE'!$AH$34*'TUSD BF'!$AH$58</f>
        <v>0</v>
      </c>
      <c r="AI34" s="25">
        <f>'TUSD BE'!$AI$34*'TUSD BF'!$AI$58</f>
        <v>0</v>
      </c>
      <c r="AJ34" s="25">
        <f ca="1">'TUSD BE'!$AJ$34*'TUSD BF'!$AJ$58</f>
        <v>0</v>
      </c>
      <c r="AK34" s="25">
        <f ca="1">'TUSD BE'!$AK$34*'TUSD BF'!$AK$58</f>
        <v>0</v>
      </c>
      <c r="AL34" s="25">
        <f ca="1">SUM($AH$34:$AK$34)</f>
        <v>0</v>
      </c>
      <c r="AM34" s="25">
        <f ca="1">SUMIF($L$4:$AL$4,"SUBTOTAL",$L$34:$AL$34)</f>
        <v>0</v>
      </c>
      <c r="AO34" s="30">
        <f ca="1">+'TUSD BE'!$T$34+'TUSD BE'!$AB$34+'TUSD BE'!$AD$34+'TUSD BE'!$AL$34</f>
        <v>2406.3940408431858</v>
      </c>
      <c r="AP34" s="30">
        <f ca="1">+'TUSD BE'!$T$34+'TUSD BE'!$AB$34+'TUSD BE'!$AD$34+'TUSD BE'!$AL$34</f>
        <v>2406.3940408431858</v>
      </c>
    </row>
    <row r="35" spans="1:42" ht="11.25" customHeight="1" x14ac:dyDescent="0.25">
      <c r="A35" s="134"/>
      <c r="B35" s="134"/>
      <c r="C35" s="134"/>
      <c r="D35" s="134"/>
      <c r="E35" s="134"/>
      <c r="F35" s="134"/>
      <c r="G35" s="21" t="s">
        <v>84</v>
      </c>
      <c r="H35" s="21" t="s">
        <v>71</v>
      </c>
      <c r="I35" s="21">
        <f>'MERCADO TUSD'!$U$32</f>
        <v>0</v>
      </c>
      <c r="J35" s="17"/>
      <c r="L35" s="25">
        <f>'TUSD BE'!$L$35*'TUSD BF'!$L$58</f>
        <v>0</v>
      </c>
      <c r="M35" s="25">
        <f>'TUSD BE'!$M$35*'TUSD BF'!$M$58</f>
        <v>0</v>
      </c>
      <c r="N35" s="25">
        <f ca="1">'TUSD BE'!$N$35*'TUSD BF'!$N$58</f>
        <v>0</v>
      </c>
      <c r="O35" s="25">
        <f>'TUSD BE'!$O$35*'TUSD BF'!$O$58</f>
        <v>0</v>
      </c>
      <c r="P35" s="25">
        <f>'TUSD BE'!$P$35*'TUSD BF'!$P$58</f>
        <v>0</v>
      </c>
      <c r="Q35" s="25">
        <f>'TUSD BE'!$Q$35*'TUSD BF'!$Q$58</f>
        <v>0</v>
      </c>
      <c r="R35" s="25">
        <f>'TUSD BE'!$R$35*'TUSD BF'!$R$58</f>
        <v>0</v>
      </c>
      <c r="S35" s="25">
        <f>'TUSD BE'!$R$35*'TUSD BF'!$S$58</f>
        <v>0</v>
      </c>
      <c r="T35" s="25">
        <f ca="1">SUM($L$35:$S$35)</f>
        <v>0</v>
      </c>
      <c r="U35" s="25">
        <f>'TUSD BE'!$U$35*'TUSD BF'!$U$58</f>
        <v>0</v>
      </c>
      <c r="V35" s="25">
        <f>'TUSD BE'!$V$35*'TUSD BF'!$V$58</f>
        <v>0</v>
      </c>
      <c r="W35" s="25">
        <f>'TUSD BE'!$W$35*'TUSD BF'!$W$58</f>
        <v>0</v>
      </c>
      <c r="X35" s="25">
        <f>'TUSD BE'!$X$35*'TUSD BF'!$X$58</f>
        <v>0</v>
      </c>
      <c r="Y35" s="25">
        <f>'TUSD BE'!$Y$35*'TUSD BF'!$Y$58</f>
        <v>0</v>
      </c>
      <c r="Z35" s="25">
        <f>'TUSD BE'!$Z$35*'TUSD BF'!$Z$58</f>
        <v>0</v>
      </c>
      <c r="AA35" s="25">
        <f>'TUSD BE'!$AA$35*'TUSD BF'!$AA$58</f>
        <v>0</v>
      </c>
      <c r="AB35" s="25">
        <f>SUM($U$35:$AA$35)</f>
        <v>0</v>
      </c>
      <c r="AC35" s="25">
        <f>'TUSD BE'!$AC$35*'TUSD BF'!$AC$58</f>
        <v>0</v>
      </c>
      <c r="AD35" s="25">
        <f>SUM($AC$35:$AC$35)</f>
        <v>0</v>
      </c>
      <c r="AE35" s="25">
        <f ca="1">$AO$35*$AO$55</f>
        <v>0</v>
      </c>
      <c r="AF35" s="25">
        <f ca="1">$AP$35*$AP$55</f>
        <v>0</v>
      </c>
      <c r="AG35" s="25">
        <f ca="1">SUM($AE$35:$AF$35)</f>
        <v>0</v>
      </c>
      <c r="AH35" s="25">
        <f>'TUSD BE'!$AH$35*'TUSD BF'!$AH$58</f>
        <v>0</v>
      </c>
      <c r="AI35" s="25">
        <f>'TUSD BE'!$AI$35*'TUSD BF'!$AI$58</f>
        <v>0</v>
      </c>
      <c r="AJ35" s="25">
        <f ca="1">'TUSD BE'!$AJ$35*'TUSD BF'!$AJ$58</f>
        <v>0</v>
      </c>
      <c r="AK35" s="25">
        <f ca="1">'TUSD BE'!$AK$35*'TUSD BF'!$AK$58</f>
        <v>0</v>
      </c>
      <c r="AL35" s="25">
        <f ca="1">SUM($AH$35:$AK$35)</f>
        <v>0</v>
      </c>
      <c r="AM35" s="25">
        <f ca="1">SUMIF($L$4:$AL$4,"SUBTOTAL",$L$35:$AL$35)</f>
        <v>0</v>
      </c>
      <c r="AO35" s="30">
        <f ca="1">+'TUSD BE'!$T$35+'TUSD BE'!$AB$35+'TUSD BE'!$AD$35+'TUSD BE'!$AL$35</f>
        <v>1511.2327311480035</v>
      </c>
      <c r="AP35" s="30">
        <f ca="1">+'TUSD BE'!$T$35+'TUSD BE'!$AB$35+'TUSD BE'!$AD$35+'TUSD BE'!$AL$35</f>
        <v>1511.2327311480035</v>
      </c>
    </row>
    <row r="36" spans="1:42" ht="11.25" customHeight="1" x14ac:dyDescent="0.25">
      <c r="A36" s="134"/>
      <c r="B36" s="134"/>
      <c r="C36" s="134"/>
      <c r="D36" s="134"/>
      <c r="E36" s="134"/>
      <c r="F36" s="134"/>
      <c r="G36" s="21" t="s">
        <v>73</v>
      </c>
      <c r="H36" s="21" t="s">
        <v>71</v>
      </c>
      <c r="I36" s="21">
        <f>'MERCADO TUSD'!$U$33</f>
        <v>0</v>
      </c>
      <c r="J36" s="17"/>
      <c r="L36" s="25">
        <f>'TUSD BE'!$L$36*'TUSD BF'!$L$58</f>
        <v>0</v>
      </c>
      <c r="M36" s="25">
        <f>'TUSD BE'!$M$36*'TUSD BF'!$M$58</f>
        <v>0</v>
      </c>
      <c r="N36" s="25">
        <f ca="1">'TUSD BE'!$N$36*'TUSD BF'!$N$58</f>
        <v>0</v>
      </c>
      <c r="O36" s="25">
        <f>'TUSD BE'!$O$36*'TUSD BF'!$O$58</f>
        <v>0</v>
      </c>
      <c r="P36" s="25">
        <f>'TUSD BE'!$P$36*'TUSD BF'!$P$58</f>
        <v>0</v>
      </c>
      <c r="Q36" s="25">
        <f>'TUSD BE'!$Q$36*'TUSD BF'!$Q$58</f>
        <v>0</v>
      </c>
      <c r="R36" s="25">
        <f>'TUSD BE'!$R$36*'TUSD BF'!$R$58</f>
        <v>0</v>
      </c>
      <c r="S36" s="25">
        <f>'TUSD BE'!$R$36*'TUSD BF'!$S$58</f>
        <v>0</v>
      </c>
      <c r="T36" s="25">
        <f ca="1">SUM($L$36:$S$36)</f>
        <v>0</v>
      </c>
      <c r="U36" s="25">
        <f>'TUSD BE'!$U$36*'TUSD BF'!$U$58</f>
        <v>0</v>
      </c>
      <c r="V36" s="25">
        <f>'TUSD BE'!$V$36*'TUSD BF'!$V$58</f>
        <v>0</v>
      </c>
      <c r="W36" s="25">
        <f>'TUSD BE'!$W$36*'TUSD BF'!$W$58</f>
        <v>0</v>
      </c>
      <c r="X36" s="25">
        <f>'TUSD BE'!$X$36*'TUSD BF'!$X$58</f>
        <v>0</v>
      </c>
      <c r="Y36" s="25">
        <f>'TUSD BE'!$Y$36*'TUSD BF'!$Y$58</f>
        <v>0</v>
      </c>
      <c r="Z36" s="25">
        <f>'TUSD BE'!$Z$36*'TUSD BF'!$Z$58</f>
        <v>0</v>
      </c>
      <c r="AA36" s="25">
        <f>'TUSD BE'!$AA$36*'TUSD BF'!$AA$58</f>
        <v>0</v>
      </c>
      <c r="AB36" s="25">
        <f>SUM($U$36:$AA$36)</f>
        <v>0</v>
      </c>
      <c r="AC36" s="25">
        <f>'TUSD BE'!$AC$36*'TUSD BF'!$AC$58</f>
        <v>0</v>
      </c>
      <c r="AD36" s="25">
        <f>SUM($AC$36:$AC$36)</f>
        <v>0</v>
      </c>
      <c r="AE36" s="25">
        <f ca="1">$AO$36*$AO$55</f>
        <v>0</v>
      </c>
      <c r="AF36" s="25">
        <f ca="1">$AP$36*$AP$55</f>
        <v>0</v>
      </c>
      <c r="AG36" s="25">
        <f ca="1">SUM($AE$36:$AF$36)</f>
        <v>0</v>
      </c>
      <c r="AH36" s="25">
        <f>'TUSD BE'!$AH$36*'TUSD BF'!$AH$58</f>
        <v>0</v>
      </c>
      <c r="AI36" s="25">
        <f>'TUSD BE'!$AI$36*'TUSD BF'!$AI$58</f>
        <v>0</v>
      </c>
      <c r="AJ36" s="25">
        <f ca="1">'TUSD BE'!$AJ$36*'TUSD BF'!$AJ$58</f>
        <v>0</v>
      </c>
      <c r="AK36" s="25">
        <f ca="1">'TUSD BE'!$AK$36*'TUSD BF'!$AK$58</f>
        <v>0</v>
      </c>
      <c r="AL36" s="25">
        <f ca="1">SUM($AH$36:$AK$36)</f>
        <v>0</v>
      </c>
      <c r="AM36" s="25">
        <f ca="1">SUMIF($L$4:$AL$4,"SUBTOTAL",$L$36:$AL$36)</f>
        <v>0</v>
      </c>
      <c r="AO36" s="30">
        <f ca="1">+'TUSD BE'!$T$36+'TUSD BE'!$AB$36+'TUSD BE'!$AD$36+'TUSD BE'!$AL$36</f>
        <v>616.07115565079266</v>
      </c>
      <c r="AP36" s="30">
        <f ca="1">+'TUSD BE'!$T$36+'TUSD BE'!$AB$36+'TUSD BE'!$AD$36+'TUSD BE'!$AL$36</f>
        <v>616.07115565079266</v>
      </c>
    </row>
    <row r="37" spans="1:42" ht="11.25" customHeight="1" x14ac:dyDescent="0.25">
      <c r="A37" s="134"/>
      <c r="B37" s="28" t="s">
        <v>23</v>
      </c>
      <c r="C37" s="28" t="s">
        <v>44</v>
      </c>
      <c r="D37" s="28" t="s">
        <v>87</v>
      </c>
      <c r="E37" s="28" t="s">
        <v>25</v>
      </c>
      <c r="F37" s="28" t="s">
        <v>25</v>
      </c>
      <c r="G37" s="21" t="s">
        <v>75</v>
      </c>
      <c r="H37" s="21" t="s">
        <v>71</v>
      </c>
      <c r="I37" s="21">
        <f>'MERCADO TUSD'!$U$34</f>
        <v>0</v>
      </c>
      <c r="J37" s="17"/>
      <c r="L37" s="25">
        <f>'TUSD BE'!$L$37*'TUSD BF'!$L$58</f>
        <v>0</v>
      </c>
      <c r="M37" s="25">
        <f>'TUSD BE'!$M$37*'TUSD BF'!$M$58</f>
        <v>0</v>
      </c>
      <c r="N37" s="25">
        <f ca="1">'TUSD BE'!$N$37*'TUSD BF'!$N$58</f>
        <v>0</v>
      </c>
      <c r="O37" s="25">
        <f>'TUSD BE'!$O$37*'TUSD BF'!$O$58</f>
        <v>0</v>
      </c>
      <c r="P37" s="25">
        <f>'TUSD BE'!$P$37*'TUSD BF'!$P$58</f>
        <v>0</v>
      </c>
      <c r="Q37" s="25">
        <f>'TUSD BE'!$Q$37*'TUSD BF'!$Q$58</f>
        <v>0</v>
      </c>
      <c r="R37" s="25">
        <f>'TUSD BE'!$R$37*'TUSD BF'!$R$58</f>
        <v>0</v>
      </c>
      <c r="S37" s="25">
        <f>'TUSD BE'!$R$37*'TUSD BF'!$S$58</f>
        <v>0</v>
      </c>
      <c r="T37" s="25">
        <f ca="1">SUM($L$37:$S$37)</f>
        <v>0</v>
      </c>
      <c r="U37" s="25">
        <f>'TUSD BE'!$U$37*'TUSD BF'!$U$58</f>
        <v>0</v>
      </c>
      <c r="V37" s="25">
        <f>'TUSD BE'!$V$37*'TUSD BF'!$V$58</f>
        <v>0</v>
      </c>
      <c r="W37" s="25">
        <f>'TUSD BE'!$W$37*'TUSD BF'!$W$58</f>
        <v>0</v>
      </c>
      <c r="X37" s="25">
        <f>'TUSD BE'!$X$37*'TUSD BF'!$X$58</f>
        <v>0</v>
      </c>
      <c r="Y37" s="25">
        <f>'TUSD BE'!$Y$37*'TUSD BF'!$Y$58</f>
        <v>0</v>
      </c>
      <c r="Z37" s="25">
        <f>'TUSD BE'!$Z$37*'TUSD BF'!$Z$58</f>
        <v>0</v>
      </c>
      <c r="AA37" s="25">
        <f>'TUSD BE'!$AA$37*'TUSD BF'!$AA$58</f>
        <v>0</v>
      </c>
      <c r="AB37" s="25">
        <f>SUM($U$37:$AA$37)</f>
        <v>0</v>
      </c>
      <c r="AC37" s="25">
        <f>'TUSD BE'!$AC$37*'TUSD BF'!$AC$58</f>
        <v>0</v>
      </c>
      <c r="AD37" s="25">
        <f>SUM($AC$37:$AC$37)</f>
        <v>0</v>
      </c>
      <c r="AE37" s="25">
        <f ca="1">$AO$37*$AO$55</f>
        <v>0</v>
      </c>
      <c r="AF37" s="25">
        <f ca="1">$AP$37*$AP$55</f>
        <v>0</v>
      </c>
      <c r="AG37" s="25">
        <f ca="1">SUM($AE$37:$AF$37)</f>
        <v>0</v>
      </c>
      <c r="AH37" s="25">
        <f>'TUSD BE'!$AH$37*'TUSD BF'!$AH$58</f>
        <v>0</v>
      </c>
      <c r="AI37" s="25">
        <f>'TUSD BE'!$AI$37*'TUSD BF'!$AI$58</f>
        <v>0</v>
      </c>
      <c r="AJ37" s="25">
        <f ca="1">'TUSD BE'!$AJ$37*'TUSD BF'!$AJ$58</f>
        <v>0</v>
      </c>
      <c r="AK37" s="25">
        <f ca="1">'TUSD BE'!$AK$37*'TUSD BF'!$AK$58</f>
        <v>0</v>
      </c>
      <c r="AL37" s="25">
        <f ca="1">SUM($AH$37:$AK$37)</f>
        <v>0</v>
      </c>
      <c r="AM37" s="25">
        <f ca="1">SUMIF($L$4:$AL$4,"SUBTOTAL",$L$37:$AL$37)</f>
        <v>0</v>
      </c>
      <c r="AO37" s="30">
        <f ca="1">+'TUSD BE'!$T$37+'TUSD BE'!$AB$37+'TUSD BE'!$AD$37+'TUSD BE'!$AL$37</f>
        <v>1029.2229273331159</v>
      </c>
      <c r="AP37" s="30">
        <f ca="1">+'TUSD BE'!$T$37+'TUSD BE'!$AB$37+'TUSD BE'!$AD$37+'TUSD BE'!$AL$37</f>
        <v>1029.2229273331159</v>
      </c>
    </row>
    <row r="38" spans="1:42" ht="11.25" customHeight="1" x14ac:dyDescent="0.25">
      <c r="A38" s="134"/>
      <c r="B38" s="134" t="s">
        <v>37</v>
      </c>
      <c r="C38" s="134" t="s">
        <v>44</v>
      </c>
      <c r="D38" s="134" t="s">
        <v>88</v>
      </c>
      <c r="E38" s="134" t="s">
        <v>25</v>
      </c>
      <c r="F38" s="134" t="s">
        <v>25</v>
      </c>
      <c r="G38" s="21" t="s">
        <v>72</v>
      </c>
      <c r="H38" s="21" t="s">
        <v>71</v>
      </c>
      <c r="I38" s="21">
        <f>'MERCADO TUSD'!$U$35</f>
        <v>0</v>
      </c>
      <c r="J38" s="17"/>
      <c r="L38" s="25">
        <f>'TUSD BE'!$L$38*'TUSD BF'!$L$58</f>
        <v>0</v>
      </c>
      <c r="M38" s="25">
        <f>'TUSD BE'!$M$38*'TUSD BF'!$M$58</f>
        <v>0</v>
      </c>
      <c r="N38" s="25">
        <f ca="1">'TUSD BE'!$N$38*'TUSD BF'!$N$58</f>
        <v>0</v>
      </c>
      <c r="O38" s="25">
        <f>'TUSD BE'!$O$38*'TUSD BF'!$O$58</f>
        <v>0</v>
      </c>
      <c r="P38" s="25">
        <f>'TUSD BE'!$P$38*'TUSD BF'!$P$58</f>
        <v>0</v>
      </c>
      <c r="Q38" s="25">
        <f>'TUSD BE'!$Q$38*'TUSD BF'!$Q$58</f>
        <v>0</v>
      </c>
      <c r="R38" s="25">
        <f>'TUSD BE'!$R$38*'TUSD BF'!$R$58</f>
        <v>0</v>
      </c>
      <c r="S38" s="25">
        <f>'TUSD BE'!$R$38*'TUSD BF'!$S$58</f>
        <v>0</v>
      </c>
      <c r="T38" s="25">
        <f ca="1">SUM($L$38:$S$38)</f>
        <v>0</v>
      </c>
      <c r="U38" s="25">
        <f>'TUSD BE'!$U$38*'TUSD BF'!$U$58</f>
        <v>0</v>
      </c>
      <c r="V38" s="25">
        <f>'TUSD BE'!$V$38*'TUSD BF'!$V$58</f>
        <v>0</v>
      </c>
      <c r="W38" s="25">
        <f>'TUSD BE'!$W$38*'TUSD BF'!$W$58</f>
        <v>0</v>
      </c>
      <c r="X38" s="25">
        <f>'TUSD BE'!$X$38*'TUSD BF'!$X$58</f>
        <v>0</v>
      </c>
      <c r="Y38" s="25">
        <f>'TUSD BE'!$Y$38*'TUSD BF'!$Y$58</f>
        <v>0</v>
      </c>
      <c r="Z38" s="25">
        <f>'TUSD BE'!$Z$38*'TUSD BF'!$Z$58</f>
        <v>0</v>
      </c>
      <c r="AA38" s="25">
        <f>'TUSD BE'!$AA$38*'TUSD BF'!$AA$58</f>
        <v>0</v>
      </c>
      <c r="AB38" s="25">
        <f>SUM($U$38:$AA$38)</f>
        <v>0</v>
      </c>
      <c r="AC38" s="25">
        <f>'TUSD BE'!$AC$38*'TUSD BF'!$AC$58</f>
        <v>0</v>
      </c>
      <c r="AD38" s="25">
        <f>SUM($AC$38:$AC$38)</f>
        <v>0</v>
      </c>
      <c r="AE38" s="25">
        <f ca="1">$AO$38*$AO$55</f>
        <v>0</v>
      </c>
      <c r="AF38" s="25">
        <f ca="1">$AP$38*$AP$55</f>
        <v>0</v>
      </c>
      <c r="AG38" s="25">
        <f ca="1">SUM($AE$38:$AF$38)</f>
        <v>0</v>
      </c>
      <c r="AH38" s="25">
        <f>'TUSD BE'!$AH$38*'TUSD BF'!$AH$58</f>
        <v>0</v>
      </c>
      <c r="AI38" s="25">
        <f>'TUSD BE'!$AI$38*'TUSD BF'!$AI$58</f>
        <v>0</v>
      </c>
      <c r="AJ38" s="25">
        <f ca="1">'TUSD BE'!$AJ$38*'TUSD BF'!$AJ$58</f>
        <v>0</v>
      </c>
      <c r="AK38" s="25">
        <f ca="1">'TUSD BE'!$AK$38*'TUSD BF'!$AK$58</f>
        <v>0</v>
      </c>
      <c r="AL38" s="25">
        <f ca="1">SUM($AH$38:$AK$38)</f>
        <v>0</v>
      </c>
      <c r="AM38" s="25">
        <f ca="1">SUMIF($L$4:$AL$4,"SUBTOTAL",$L$38:$AL$38)</f>
        <v>0</v>
      </c>
      <c r="AO38" s="30">
        <f ca="1">+'TUSD BE'!$T$38+'TUSD BE'!$AB$38+'TUSD BE'!$AD$38+'TUSD BE'!$AL$38</f>
        <v>2406.3940408431858</v>
      </c>
      <c r="AP38" s="30">
        <f ca="1">+'TUSD BE'!$T$38+'TUSD BE'!$AB$38+'TUSD BE'!$AD$38+'TUSD BE'!$AL$38</f>
        <v>2406.3940408431858</v>
      </c>
    </row>
    <row r="39" spans="1:42" ht="11.25" customHeight="1" x14ac:dyDescent="0.25">
      <c r="A39" s="134"/>
      <c r="B39" s="134"/>
      <c r="C39" s="134"/>
      <c r="D39" s="134"/>
      <c r="E39" s="134"/>
      <c r="F39" s="134"/>
      <c r="G39" s="21" t="s">
        <v>84</v>
      </c>
      <c r="H39" s="21" t="s">
        <v>71</v>
      </c>
      <c r="I39" s="21">
        <f>'MERCADO TUSD'!$U$36</f>
        <v>0</v>
      </c>
      <c r="J39" s="17"/>
      <c r="L39" s="25">
        <f>'TUSD BE'!$L$39*'TUSD BF'!$L$58</f>
        <v>0</v>
      </c>
      <c r="M39" s="25">
        <f>'TUSD BE'!$M$39*'TUSD BF'!$M$58</f>
        <v>0</v>
      </c>
      <c r="N39" s="25">
        <f ca="1">'TUSD BE'!$N$39*'TUSD BF'!$N$58</f>
        <v>0</v>
      </c>
      <c r="O39" s="25">
        <f>'TUSD BE'!$O$39*'TUSD BF'!$O$58</f>
        <v>0</v>
      </c>
      <c r="P39" s="25">
        <f>'TUSD BE'!$P$39*'TUSD BF'!$P$58</f>
        <v>0</v>
      </c>
      <c r="Q39" s="25">
        <f>'TUSD BE'!$Q$39*'TUSD BF'!$Q$58</f>
        <v>0</v>
      </c>
      <c r="R39" s="25">
        <f>'TUSD BE'!$R$39*'TUSD BF'!$R$58</f>
        <v>0</v>
      </c>
      <c r="S39" s="25">
        <f>'TUSD BE'!$R$39*'TUSD BF'!$S$58</f>
        <v>0</v>
      </c>
      <c r="T39" s="25">
        <f ca="1">SUM($L$39:$S$39)</f>
        <v>0</v>
      </c>
      <c r="U39" s="25">
        <f>'TUSD BE'!$U$39*'TUSD BF'!$U$58</f>
        <v>0</v>
      </c>
      <c r="V39" s="25">
        <f>'TUSD BE'!$V$39*'TUSD BF'!$V$58</f>
        <v>0</v>
      </c>
      <c r="W39" s="25">
        <f>'TUSD BE'!$W$39*'TUSD BF'!$W$58</f>
        <v>0</v>
      </c>
      <c r="X39" s="25">
        <f>'TUSD BE'!$X$39*'TUSD BF'!$X$58</f>
        <v>0</v>
      </c>
      <c r="Y39" s="25">
        <f>'TUSD BE'!$Y$39*'TUSD BF'!$Y$58</f>
        <v>0</v>
      </c>
      <c r="Z39" s="25">
        <f>'TUSD BE'!$Z$39*'TUSD BF'!$Z$58</f>
        <v>0</v>
      </c>
      <c r="AA39" s="25">
        <f>'TUSD BE'!$AA$39*'TUSD BF'!$AA$58</f>
        <v>0</v>
      </c>
      <c r="AB39" s="25">
        <f>SUM($U$39:$AA$39)</f>
        <v>0</v>
      </c>
      <c r="AC39" s="25">
        <f>'TUSD BE'!$AC$39*'TUSD BF'!$AC$58</f>
        <v>0</v>
      </c>
      <c r="AD39" s="25">
        <f>SUM($AC$39:$AC$39)</f>
        <v>0</v>
      </c>
      <c r="AE39" s="25">
        <f ca="1">$AO$39*$AO$55</f>
        <v>0</v>
      </c>
      <c r="AF39" s="25">
        <f ca="1">$AP$39*$AP$55</f>
        <v>0</v>
      </c>
      <c r="AG39" s="25">
        <f ca="1">SUM($AE$39:$AF$39)</f>
        <v>0</v>
      </c>
      <c r="AH39" s="25">
        <f>'TUSD BE'!$AH$39*'TUSD BF'!$AH$58</f>
        <v>0</v>
      </c>
      <c r="AI39" s="25">
        <f>'TUSD BE'!$AI$39*'TUSD BF'!$AI$58</f>
        <v>0</v>
      </c>
      <c r="AJ39" s="25">
        <f ca="1">'TUSD BE'!$AJ$39*'TUSD BF'!$AJ$58</f>
        <v>0</v>
      </c>
      <c r="AK39" s="25">
        <f ca="1">'TUSD BE'!$AK$39*'TUSD BF'!$AK$58</f>
        <v>0</v>
      </c>
      <c r="AL39" s="25">
        <f ca="1">SUM($AH$39:$AK$39)</f>
        <v>0</v>
      </c>
      <c r="AM39" s="25">
        <f ca="1">SUMIF($L$4:$AL$4,"SUBTOTAL",$L$39:$AL$39)</f>
        <v>0</v>
      </c>
      <c r="AO39" s="30">
        <f ca="1">+'TUSD BE'!$T$39+'TUSD BE'!$AB$39+'TUSD BE'!$AD$39+'TUSD BE'!$AL$39</f>
        <v>1511.2327311480035</v>
      </c>
      <c r="AP39" s="30">
        <f ca="1">+'TUSD BE'!$T$39+'TUSD BE'!$AB$39+'TUSD BE'!$AD$39+'TUSD BE'!$AL$39</f>
        <v>1511.2327311480035</v>
      </c>
    </row>
    <row r="40" spans="1:42" ht="11.25" customHeight="1" x14ac:dyDescent="0.25">
      <c r="A40" s="134"/>
      <c r="B40" s="134"/>
      <c r="C40" s="134"/>
      <c r="D40" s="134"/>
      <c r="E40" s="134"/>
      <c r="F40" s="134"/>
      <c r="G40" s="21" t="s">
        <v>73</v>
      </c>
      <c r="H40" s="21" t="s">
        <v>71</v>
      </c>
      <c r="I40" s="21">
        <f>'MERCADO TUSD'!$U$37</f>
        <v>0</v>
      </c>
      <c r="J40" s="17"/>
      <c r="L40" s="25">
        <f>'TUSD BE'!$L$40*'TUSD BF'!$L$58</f>
        <v>0</v>
      </c>
      <c r="M40" s="25">
        <f>'TUSD BE'!$M$40*'TUSD BF'!$M$58</f>
        <v>0</v>
      </c>
      <c r="N40" s="25">
        <f ca="1">'TUSD BE'!$N$40*'TUSD BF'!$N$58</f>
        <v>0</v>
      </c>
      <c r="O40" s="25">
        <f>'TUSD BE'!$O$40*'TUSD BF'!$O$58</f>
        <v>0</v>
      </c>
      <c r="P40" s="25">
        <f>'TUSD BE'!$P$40*'TUSD BF'!$P$58</f>
        <v>0</v>
      </c>
      <c r="Q40" s="25">
        <f>'TUSD BE'!$Q$40*'TUSD BF'!$Q$58</f>
        <v>0</v>
      </c>
      <c r="R40" s="25">
        <f>'TUSD BE'!$R$40*'TUSD BF'!$R$58</f>
        <v>0</v>
      </c>
      <c r="S40" s="25">
        <f>'TUSD BE'!$R$40*'TUSD BF'!$S$58</f>
        <v>0</v>
      </c>
      <c r="T40" s="25">
        <f ca="1">SUM($L$40:$S$40)</f>
        <v>0</v>
      </c>
      <c r="U40" s="25">
        <f>'TUSD BE'!$U$40*'TUSD BF'!$U$58</f>
        <v>0</v>
      </c>
      <c r="V40" s="25">
        <f>'TUSD BE'!$V$40*'TUSD BF'!$V$58</f>
        <v>0</v>
      </c>
      <c r="W40" s="25">
        <f>'TUSD BE'!$W$40*'TUSD BF'!$W$58</f>
        <v>0</v>
      </c>
      <c r="X40" s="25">
        <f>'TUSD BE'!$X$40*'TUSD BF'!$X$58</f>
        <v>0</v>
      </c>
      <c r="Y40" s="25">
        <f>'TUSD BE'!$Y$40*'TUSD BF'!$Y$58</f>
        <v>0</v>
      </c>
      <c r="Z40" s="25">
        <f>'TUSD BE'!$Z$40*'TUSD BF'!$Z$58</f>
        <v>0</v>
      </c>
      <c r="AA40" s="25">
        <f>'TUSD BE'!$AA$40*'TUSD BF'!$AA$58</f>
        <v>0</v>
      </c>
      <c r="AB40" s="25">
        <f>SUM($U$40:$AA$40)</f>
        <v>0</v>
      </c>
      <c r="AC40" s="25">
        <f>'TUSD BE'!$AC$40*'TUSD BF'!$AC$58</f>
        <v>0</v>
      </c>
      <c r="AD40" s="25">
        <f>SUM($AC$40:$AC$40)</f>
        <v>0</v>
      </c>
      <c r="AE40" s="25">
        <f ca="1">$AO$40*$AO$55</f>
        <v>0</v>
      </c>
      <c r="AF40" s="25">
        <f ca="1">$AP$40*$AP$55</f>
        <v>0</v>
      </c>
      <c r="AG40" s="25">
        <f ca="1">SUM($AE$40:$AF$40)</f>
        <v>0</v>
      </c>
      <c r="AH40" s="25">
        <f>'TUSD BE'!$AH$40*'TUSD BF'!$AH$58</f>
        <v>0</v>
      </c>
      <c r="AI40" s="25">
        <f>'TUSD BE'!$AI$40*'TUSD BF'!$AI$58</f>
        <v>0</v>
      </c>
      <c r="AJ40" s="25">
        <f ca="1">'TUSD BE'!$AJ$40*'TUSD BF'!$AJ$58</f>
        <v>0</v>
      </c>
      <c r="AK40" s="25">
        <f ca="1">'TUSD BE'!$AK$40*'TUSD BF'!$AK$58</f>
        <v>0</v>
      </c>
      <c r="AL40" s="25">
        <f ca="1">SUM($AH$40:$AK$40)</f>
        <v>0</v>
      </c>
      <c r="AM40" s="25">
        <f ca="1">SUMIF($L$4:$AL$4,"SUBTOTAL",$L$40:$AL$40)</f>
        <v>0</v>
      </c>
      <c r="AO40" s="30">
        <f ca="1">+'TUSD BE'!$T$40+'TUSD BE'!$AB$40+'TUSD BE'!$AD$40+'TUSD BE'!$AL$40</f>
        <v>616.07115565079266</v>
      </c>
      <c r="AP40" s="30">
        <f ca="1">+'TUSD BE'!$T$40+'TUSD BE'!$AB$40+'TUSD BE'!$AD$40+'TUSD BE'!$AL$40</f>
        <v>616.07115565079266</v>
      </c>
    </row>
    <row r="41" spans="1:42" ht="11.25" customHeight="1" x14ac:dyDescent="0.25">
      <c r="A41" s="134"/>
      <c r="B41" s="28" t="s">
        <v>23</v>
      </c>
      <c r="C41" s="28" t="s">
        <v>44</v>
      </c>
      <c r="D41" s="28" t="s">
        <v>88</v>
      </c>
      <c r="E41" s="28" t="s">
        <v>25</v>
      </c>
      <c r="F41" s="28" t="s">
        <v>25</v>
      </c>
      <c r="G41" s="21" t="s">
        <v>75</v>
      </c>
      <c r="H41" s="21" t="s">
        <v>71</v>
      </c>
      <c r="I41" s="21">
        <f>'MERCADO TUSD'!$U$38</f>
        <v>0</v>
      </c>
      <c r="J41" s="17"/>
      <c r="L41" s="25">
        <f>'TUSD BE'!$L$41*'TUSD BF'!$L$58</f>
        <v>0</v>
      </c>
      <c r="M41" s="25">
        <f>'TUSD BE'!$M$41*'TUSD BF'!$M$58</f>
        <v>0</v>
      </c>
      <c r="N41" s="25">
        <f ca="1">'TUSD BE'!$N$41*'TUSD BF'!$N$58</f>
        <v>0</v>
      </c>
      <c r="O41" s="25">
        <f>'TUSD BE'!$O$41*'TUSD BF'!$O$58</f>
        <v>0</v>
      </c>
      <c r="P41" s="25">
        <f>'TUSD BE'!$P$41*'TUSD BF'!$P$58</f>
        <v>0</v>
      </c>
      <c r="Q41" s="25">
        <f>'TUSD BE'!$Q$41*'TUSD BF'!$Q$58</f>
        <v>0</v>
      </c>
      <c r="R41" s="25">
        <f>'TUSD BE'!$R$41*'TUSD BF'!$R$58</f>
        <v>0</v>
      </c>
      <c r="S41" s="25">
        <f>'TUSD BE'!$R$41*'TUSD BF'!$S$58</f>
        <v>0</v>
      </c>
      <c r="T41" s="25">
        <f ca="1">SUM($L$41:$S$41)</f>
        <v>0</v>
      </c>
      <c r="U41" s="25">
        <f>'TUSD BE'!$U$41*'TUSD BF'!$U$58</f>
        <v>0</v>
      </c>
      <c r="V41" s="25">
        <f>'TUSD BE'!$V$41*'TUSD BF'!$V$58</f>
        <v>0</v>
      </c>
      <c r="W41" s="25">
        <f>'TUSD BE'!$W$41*'TUSD BF'!$W$58</f>
        <v>0</v>
      </c>
      <c r="X41" s="25">
        <f>'TUSD BE'!$X$41*'TUSD BF'!$X$58</f>
        <v>0</v>
      </c>
      <c r="Y41" s="25">
        <f>'TUSD BE'!$Y$41*'TUSD BF'!$Y$58</f>
        <v>0</v>
      </c>
      <c r="Z41" s="25">
        <f>'TUSD BE'!$Z$41*'TUSD BF'!$Z$58</f>
        <v>0</v>
      </c>
      <c r="AA41" s="25">
        <f>'TUSD BE'!$AA$41*'TUSD BF'!$AA$58</f>
        <v>0</v>
      </c>
      <c r="AB41" s="25">
        <f>SUM($U$41:$AA$41)</f>
        <v>0</v>
      </c>
      <c r="AC41" s="25">
        <f>'TUSD BE'!$AC$41*'TUSD BF'!$AC$58</f>
        <v>0</v>
      </c>
      <c r="AD41" s="25">
        <f>SUM($AC$41:$AC$41)</f>
        <v>0</v>
      </c>
      <c r="AE41" s="25">
        <f ca="1">$AO$41*$AO$55</f>
        <v>0</v>
      </c>
      <c r="AF41" s="25">
        <f ca="1">$AP$41*$AP$55</f>
        <v>0</v>
      </c>
      <c r="AG41" s="25">
        <f ca="1">SUM($AE$41:$AF$41)</f>
        <v>0</v>
      </c>
      <c r="AH41" s="25">
        <f>'TUSD BE'!$AH$41*'TUSD BF'!$AH$58</f>
        <v>0</v>
      </c>
      <c r="AI41" s="25">
        <f>'TUSD BE'!$AI$41*'TUSD BF'!$AI$58</f>
        <v>0</v>
      </c>
      <c r="AJ41" s="25">
        <f ca="1">'TUSD BE'!$AJ$41*'TUSD BF'!$AJ$58</f>
        <v>0</v>
      </c>
      <c r="AK41" s="25">
        <f ca="1">'TUSD BE'!$AK$41*'TUSD BF'!$AK$58</f>
        <v>0</v>
      </c>
      <c r="AL41" s="25">
        <f ca="1">SUM($AH$41:$AK$41)</f>
        <v>0</v>
      </c>
      <c r="AM41" s="25">
        <f ca="1">SUMIF($L$4:$AL$4,"SUBTOTAL",$L$41:$AL$41)</f>
        <v>0</v>
      </c>
      <c r="AO41" s="30">
        <f ca="1">+'TUSD BE'!$T$41+'TUSD BE'!$AB$41+'TUSD BE'!$AD$41+'TUSD BE'!$AL$41</f>
        <v>1029.2229273331159</v>
      </c>
      <c r="AP41" s="30">
        <f ca="1">+'TUSD BE'!$T$41+'TUSD BE'!$AB$41+'TUSD BE'!$AD$41+'TUSD BE'!$AL$41</f>
        <v>1029.2229273331159</v>
      </c>
    </row>
    <row r="42" spans="1:42" ht="11.25" customHeight="1" x14ac:dyDescent="0.25">
      <c r="A42" s="134"/>
      <c r="B42" s="134" t="s">
        <v>86</v>
      </c>
      <c r="C42" s="134" t="s">
        <v>44</v>
      </c>
      <c r="D42" s="28" t="s">
        <v>25</v>
      </c>
      <c r="E42" s="28" t="s">
        <v>25</v>
      </c>
      <c r="F42" s="28" t="s">
        <v>25</v>
      </c>
      <c r="G42" s="21" t="s">
        <v>75</v>
      </c>
      <c r="H42" s="21" t="s">
        <v>71</v>
      </c>
      <c r="I42" s="21">
        <f>'MERCADO TUSD'!$U$39</f>
        <v>0</v>
      </c>
      <c r="J42" s="17"/>
      <c r="L42" s="25">
        <f>'TUSD BE'!$L$42*'TUSD BF'!$L$58</f>
        <v>0</v>
      </c>
      <c r="M42" s="25">
        <f>'TUSD BE'!$M$42*'TUSD BF'!$M$58</f>
        <v>0</v>
      </c>
      <c r="N42" s="25">
        <f ca="1">'TUSD BE'!$N$42*'TUSD BF'!$N$58</f>
        <v>0</v>
      </c>
      <c r="O42" s="25">
        <f>'TUSD BE'!$O$42*'TUSD BF'!$O$58</f>
        <v>0</v>
      </c>
      <c r="P42" s="25">
        <f>'TUSD BE'!$P$42*'TUSD BF'!$P$58</f>
        <v>0</v>
      </c>
      <c r="Q42" s="25">
        <f>'TUSD BE'!$Q$42*'TUSD BF'!$Q$58</f>
        <v>0</v>
      </c>
      <c r="R42" s="25">
        <f>'TUSD BE'!$R$42*'TUSD BF'!$R$58</f>
        <v>0</v>
      </c>
      <c r="S42" s="25">
        <f>'TUSD BE'!$R$42*'TUSD BF'!$S$58</f>
        <v>0</v>
      </c>
      <c r="T42" s="25">
        <f ca="1">SUM($L$42:$S$42)</f>
        <v>0</v>
      </c>
      <c r="U42" s="25">
        <f>'TUSD BE'!$U$42*'TUSD BF'!$U$58</f>
        <v>0</v>
      </c>
      <c r="V42" s="25">
        <f>'TUSD BE'!$V$42*'TUSD BF'!$V$58</f>
        <v>0</v>
      </c>
      <c r="W42" s="25">
        <f>'TUSD BE'!$W$42*'TUSD BF'!$W$58</f>
        <v>0</v>
      </c>
      <c r="X42" s="25">
        <f>'TUSD BE'!$X$42*'TUSD BF'!$X$58</f>
        <v>0</v>
      </c>
      <c r="Y42" s="25">
        <f>'TUSD BE'!$Y$42*'TUSD BF'!$Y$58</f>
        <v>0</v>
      </c>
      <c r="Z42" s="25">
        <f>'TUSD BE'!$Z$42*'TUSD BF'!$Z$58</f>
        <v>0</v>
      </c>
      <c r="AA42" s="25">
        <f>'TUSD BE'!$AA$42*'TUSD BF'!$AA$58</f>
        <v>0</v>
      </c>
      <c r="AB42" s="25">
        <f>SUM($U$42:$AA$42)</f>
        <v>0</v>
      </c>
      <c r="AC42" s="25">
        <f>'TUSD BE'!$AC$42*'TUSD BF'!$AC$58</f>
        <v>0</v>
      </c>
      <c r="AD42" s="25">
        <f>SUM($AC$42:$AC$42)</f>
        <v>0</v>
      </c>
      <c r="AE42" s="25">
        <f ca="1">$AO$42*$AO$55</f>
        <v>0</v>
      </c>
      <c r="AF42" s="25">
        <f ca="1">$AP$42*$AP$55</f>
        <v>0</v>
      </c>
      <c r="AG42" s="25">
        <f ca="1">SUM($AE$42:$AF$42)</f>
        <v>0</v>
      </c>
      <c r="AH42" s="25">
        <f>'TUSD BE'!$AH$42*'TUSD BF'!$AH$58</f>
        <v>0</v>
      </c>
      <c r="AI42" s="25">
        <f>'TUSD BE'!$AI$42*'TUSD BF'!$AI$58</f>
        <v>0</v>
      </c>
      <c r="AJ42" s="25">
        <f ca="1">'TUSD BE'!$AJ$42*'TUSD BF'!$AJ$58</f>
        <v>0</v>
      </c>
      <c r="AK42" s="25">
        <f ca="1">'TUSD BE'!$AK$42*'TUSD BF'!$AK$58</f>
        <v>0</v>
      </c>
      <c r="AL42" s="25">
        <f ca="1">SUM($AH$42:$AK$42)</f>
        <v>0</v>
      </c>
      <c r="AM42" s="25">
        <f ca="1">SUMIF($L$4:$AL$4,"SUBTOTAL",$L$42:$AL$42)</f>
        <v>0</v>
      </c>
      <c r="AO42" s="30">
        <f ca="1">+'TUSD BE'!$T$42+'TUSD BE'!$AB$42+'TUSD BE'!$AD$42+'TUSD BE'!$AL$42</f>
        <v>1029.2229273331159</v>
      </c>
      <c r="AP42" s="30">
        <f ca="1">+'TUSD BE'!$T$42+'TUSD BE'!$AB$42+'TUSD BE'!$AD$42+'TUSD BE'!$AL$42</f>
        <v>1029.2229273331159</v>
      </c>
    </row>
    <row r="43" spans="1:42" ht="11.25" customHeight="1" x14ac:dyDescent="0.25">
      <c r="A43" s="134"/>
      <c r="B43" s="134"/>
      <c r="C43" s="134"/>
      <c r="D43" s="28" t="s">
        <v>87</v>
      </c>
      <c r="E43" s="28" t="s">
        <v>25</v>
      </c>
      <c r="F43" s="28" t="s">
        <v>25</v>
      </c>
      <c r="G43" s="21" t="s">
        <v>75</v>
      </c>
      <c r="H43" s="21" t="s">
        <v>71</v>
      </c>
      <c r="I43" s="21">
        <f>'MERCADO TUSD'!$U$40</f>
        <v>0</v>
      </c>
      <c r="J43" s="17"/>
      <c r="L43" s="25">
        <f>'TUSD BE'!$L$43*'TUSD BF'!$L$58</f>
        <v>0</v>
      </c>
      <c r="M43" s="25">
        <f>'TUSD BE'!$M$43*'TUSD BF'!$M$58</f>
        <v>0</v>
      </c>
      <c r="N43" s="25">
        <f ca="1">'TUSD BE'!$N$43*'TUSD BF'!$N$58</f>
        <v>0</v>
      </c>
      <c r="O43" s="25">
        <f>'TUSD BE'!$O$43*'TUSD BF'!$O$58</f>
        <v>0</v>
      </c>
      <c r="P43" s="25">
        <f>'TUSD BE'!$P$43*'TUSD BF'!$P$58</f>
        <v>0</v>
      </c>
      <c r="Q43" s="25">
        <f>'TUSD BE'!$Q$43*'TUSD BF'!$Q$58</f>
        <v>0</v>
      </c>
      <c r="R43" s="25">
        <f>'TUSD BE'!$R$43*'TUSD BF'!$R$58</f>
        <v>0</v>
      </c>
      <c r="S43" s="25">
        <f>'TUSD BE'!$R$43*'TUSD BF'!$S$58</f>
        <v>0</v>
      </c>
      <c r="T43" s="25">
        <f ca="1">SUM($L$43:$S$43)</f>
        <v>0</v>
      </c>
      <c r="U43" s="25">
        <f>'TUSD BE'!$U$43*'TUSD BF'!$U$58</f>
        <v>0</v>
      </c>
      <c r="V43" s="25">
        <f>'TUSD BE'!$V$43*'TUSD BF'!$V$58</f>
        <v>0</v>
      </c>
      <c r="W43" s="25">
        <f>'TUSD BE'!$W$43*'TUSD BF'!$W$58</f>
        <v>0</v>
      </c>
      <c r="X43" s="25">
        <f>'TUSD BE'!$X$43*'TUSD BF'!$X$58</f>
        <v>0</v>
      </c>
      <c r="Y43" s="25">
        <f>'TUSD BE'!$Y$43*'TUSD BF'!$Y$58</f>
        <v>0</v>
      </c>
      <c r="Z43" s="25">
        <f>'TUSD BE'!$Z$43*'TUSD BF'!$Z$58</f>
        <v>0</v>
      </c>
      <c r="AA43" s="25">
        <f>'TUSD BE'!$AA$43*'TUSD BF'!$AA$58</f>
        <v>0</v>
      </c>
      <c r="AB43" s="25">
        <f>SUM($U$43:$AA$43)</f>
        <v>0</v>
      </c>
      <c r="AC43" s="25">
        <f>'TUSD BE'!$AC$43*'TUSD BF'!$AC$58</f>
        <v>0</v>
      </c>
      <c r="AD43" s="25">
        <f>SUM($AC$43:$AC$43)</f>
        <v>0</v>
      </c>
      <c r="AE43" s="25">
        <f ca="1">$AO$43*$AO$55</f>
        <v>0</v>
      </c>
      <c r="AF43" s="25">
        <f ca="1">$AP$43*$AP$55</f>
        <v>0</v>
      </c>
      <c r="AG43" s="25">
        <f ca="1">SUM($AE$43:$AF$43)</f>
        <v>0</v>
      </c>
      <c r="AH43" s="25">
        <f>'TUSD BE'!$AH$43*'TUSD BF'!$AH$58</f>
        <v>0</v>
      </c>
      <c r="AI43" s="25">
        <f>'TUSD BE'!$AI$43*'TUSD BF'!$AI$58</f>
        <v>0</v>
      </c>
      <c r="AJ43" s="25">
        <f ca="1">'TUSD BE'!$AJ$43*'TUSD BF'!$AJ$58</f>
        <v>0</v>
      </c>
      <c r="AK43" s="25">
        <f ca="1">'TUSD BE'!$AK$43*'TUSD BF'!$AK$58</f>
        <v>0</v>
      </c>
      <c r="AL43" s="25">
        <f ca="1">SUM($AH$43:$AK$43)</f>
        <v>0</v>
      </c>
      <c r="AM43" s="25">
        <f ca="1">SUMIF($L$4:$AL$4,"SUBTOTAL",$L$43:$AL$43)</f>
        <v>0</v>
      </c>
      <c r="AO43" s="30">
        <f ca="1">+'TUSD BE'!$T$43+'TUSD BE'!$AB$43+'TUSD BE'!$AD$43+'TUSD BE'!$AL$43</f>
        <v>1029.2229273331159</v>
      </c>
      <c r="AP43" s="30">
        <f ca="1">+'TUSD BE'!$T$43+'TUSD BE'!$AB$43+'TUSD BE'!$AD$43+'TUSD BE'!$AL$43</f>
        <v>1029.2229273331159</v>
      </c>
    </row>
    <row r="44" spans="1:42" ht="11.25" customHeight="1" x14ac:dyDescent="0.25">
      <c r="A44" s="134"/>
      <c r="B44" s="134"/>
      <c r="C44" s="134"/>
      <c r="D44" s="28" t="s">
        <v>88</v>
      </c>
      <c r="E44" s="28" t="s">
        <v>25</v>
      </c>
      <c r="F44" s="28" t="s">
        <v>25</v>
      </c>
      <c r="G44" s="21" t="s">
        <v>75</v>
      </c>
      <c r="H44" s="21" t="s">
        <v>71</v>
      </c>
      <c r="I44" s="21">
        <f>'MERCADO TUSD'!$U$41</f>
        <v>0</v>
      </c>
      <c r="J44" s="17"/>
      <c r="L44" s="25">
        <f>'TUSD BE'!$L$44*'TUSD BF'!$L$58</f>
        <v>0</v>
      </c>
      <c r="M44" s="25">
        <f>'TUSD BE'!$M$44*'TUSD BF'!$M$58</f>
        <v>0</v>
      </c>
      <c r="N44" s="25">
        <f ca="1">'TUSD BE'!$N$44*'TUSD BF'!$N$58</f>
        <v>0</v>
      </c>
      <c r="O44" s="25">
        <f>'TUSD BE'!$O$44*'TUSD BF'!$O$58</f>
        <v>0</v>
      </c>
      <c r="P44" s="25">
        <f>'TUSD BE'!$P$44*'TUSD BF'!$P$58</f>
        <v>0</v>
      </c>
      <c r="Q44" s="25">
        <f>'TUSD BE'!$Q$44*'TUSD BF'!$Q$58</f>
        <v>0</v>
      </c>
      <c r="R44" s="25">
        <f>'TUSD BE'!$R$44*'TUSD BF'!$R$58</f>
        <v>0</v>
      </c>
      <c r="S44" s="25">
        <f>'TUSD BE'!$R$44*'TUSD BF'!$S$58</f>
        <v>0</v>
      </c>
      <c r="T44" s="25">
        <f ca="1">SUM($L$44:$S$44)</f>
        <v>0</v>
      </c>
      <c r="U44" s="25">
        <f>'TUSD BE'!$U$44*'TUSD BF'!$U$58</f>
        <v>0</v>
      </c>
      <c r="V44" s="25">
        <f>'TUSD BE'!$V$44*'TUSD BF'!$V$58</f>
        <v>0</v>
      </c>
      <c r="W44" s="25">
        <f>'TUSD BE'!$W$44*'TUSD BF'!$W$58</f>
        <v>0</v>
      </c>
      <c r="X44" s="25">
        <f>'TUSD BE'!$X$44*'TUSD BF'!$X$58</f>
        <v>0</v>
      </c>
      <c r="Y44" s="25">
        <f>'TUSD BE'!$Y$44*'TUSD BF'!$Y$58</f>
        <v>0</v>
      </c>
      <c r="Z44" s="25">
        <f>'TUSD BE'!$Z$44*'TUSD BF'!$Z$58</f>
        <v>0</v>
      </c>
      <c r="AA44" s="25">
        <f>'TUSD BE'!$AA$44*'TUSD BF'!$AA$58</f>
        <v>0</v>
      </c>
      <c r="AB44" s="25">
        <f>SUM($U$44:$AA$44)</f>
        <v>0</v>
      </c>
      <c r="AC44" s="25">
        <f>'TUSD BE'!$AC$44*'TUSD BF'!$AC$58</f>
        <v>0</v>
      </c>
      <c r="AD44" s="25">
        <f>SUM($AC$44:$AC$44)</f>
        <v>0</v>
      </c>
      <c r="AE44" s="25">
        <f ca="1">$AO$44*$AO$55</f>
        <v>0</v>
      </c>
      <c r="AF44" s="25">
        <f ca="1">$AP$44*$AP$55</f>
        <v>0</v>
      </c>
      <c r="AG44" s="25">
        <f ca="1">SUM($AE$44:$AF$44)</f>
        <v>0</v>
      </c>
      <c r="AH44" s="25">
        <f>'TUSD BE'!$AH$44*'TUSD BF'!$AH$58</f>
        <v>0</v>
      </c>
      <c r="AI44" s="25">
        <f>'TUSD BE'!$AI$44*'TUSD BF'!$AI$58</f>
        <v>0</v>
      </c>
      <c r="AJ44" s="25">
        <f ca="1">'TUSD BE'!$AJ$44*'TUSD BF'!$AJ$58</f>
        <v>0</v>
      </c>
      <c r="AK44" s="25">
        <f ca="1">'TUSD BE'!$AK$44*'TUSD BF'!$AK$58</f>
        <v>0</v>
      </c>
      <c r="AL44" s="25">
        <f ca="1">SUM($AH$44:$AK$44)</f>
        <v>0</v>
      </c>
      <c r="AM44" s="25">
        <f ca="1">SUMIF($L$4:$AL$4,"SUBTOTAL",$L$44:$AL$44)</f>
        <v>0</v>
      </c>
      <c r="AO44" s="30">
        <f ca="1">+'TUSD BE'!$T$44+'TUSD BE'!$AB$44+'TUSD BE'!$AD$44+'TUSD BE'!$AL$44</f>
        <v>1029.2229273331159</v>
      </c>
      <c r="AP44" s="30">
        <f ca="1">+'TUSD BE'!$T$44+'TUSD BE'!$AB$44+'TUSD BE'!$AD$44+'TUSD BE'!$AL$44</f>
        <v>1029.2229273331159</v>
      </c>
    </row>
    <row r="45" spans="1:42" ht="11.25" customHeight="1" x14ac:dyDescent="0.25">
      <c r="A45" s="134" t="s">
        <v>39</v>
      </c>
      <c r="B45" s="134" t="s">
        <v>37</v>
      </c>
      <c r="C45" s="134" t="s">
        <v>25</v>
      </c>
      <c r="D45" s="134" t="s">
        <v>25</v>
      </c>
      <c r="E45" s="134" t="s">
        <v>25</v>
      </c>
      <c r="F45" s="134" t="s">
        <v>25</v>
      </c>
      <c r="G45" s="21" t="s">
        <v>72</v>
      </c>
      <c r="H45" s="21" t="s">
        <v>71</v>
      </c>
      <c r="I45" s="21">
        <f>'MERCADO TUSD'!$U$42</f>
        <v>0</v>
      </c>
      <c r="J45" s="17"/>
      <c r="L45" s="25">
        <f>'TUSD BE'!$L$45*'TUSD BF'!$L$58</f>
        <v>0</v>
      </c>
      <c r="M45" s="25">
        <f>'TUSD BE'!$M$45*'TUSD BF'!$M$58</f>
        <v>0</v>
      </c>
      <c r="N45" s="25">
        <f ca="1">'TUSD BE'!$N$45*'TUSD BF'!$N$58</f>
        <v>0</v>
      </c>
      <c r="O45" s="25">
        <f>'TUSD BE'!$O$45*'TUSD BF'!$O$58</f>
        <v>0</v>
      </c>
      <c r="P45" s="25">
        <f>'TUSD BE'!$P$45*'TUSD BF'!$P$58</f>
        <v>0</v>
      </c>
      <c r="Q45" s="25">
        <f>'TUSD BE'!$Q$45*'TUSD BF'!$Q$58</f>
        <v>0</v>
      </c>
      <c r="R45" s="25">
        <f>'TUSD BE'!$R$45*'TUSD BF'!$R$58</f>
        <v>0</v>
      </c>
      <c r="S45" s="25">
        <f>'TUSD BE'!$R$45*'TUSD BF'!$S$58</f>
        <v>0</v>
      </c>
      <c r="T45" s="25">
        <f ca="1">SUM($L$45:$S$45)</f>
        <v>0</v>
      </c>
      <c r="U45" s="25">
        <f>'TUSD BE'!$U$45*'TUSD BF'!$U$58</f>
        <v>0</v>
      </c>
      <c r="V45" s="25">
        <f>'TUSD BE'!$V$45*'TUSD BF'!$V$58</f>
        <v>0</v>
      </c>
      <c r="W45" s="25">
        <f>'TUSD BE'!$W$45*'TUSD BF'!$W$58</f>
        <v>0</v>
      </c>
      <c r="X45" s="25">
        <f>'TUSD BE'!$X$45*'TUSD BF'!$X$58</f>
        <v>0</v>
      </c>
      <c r="Y45" s="25">
        <f>'TUSD BE'!$Y$45*'TUSD BF'!$Y$58</f>
        <v>0</v>
      </c>
      <c r="Z45" s="25">
        <f>'TUSD BE'!$Z$45*'TUSD BF'!$Z$58</f>
        <v>0</v>
      </c>
      <c r="AA45" s="25">
        <f>'TUSD BE'!$AA$45*'TUSD BF'!$AA$58</f>
        <v>0</v>
      </c>
      <c r="AB45" s="25">
        <f>SUM($U$45:$AA$45)</f>
        <v>0</v>
      </c>
      <c r="AC45" s="25">
        <f>'TUSD BE'!$AC$45*'TUSD BF'!$AC$58</f>
        <v>0</v>
      </c>
      <c r="AD45" s="25">
        <f>SUM($AC$45:$AC$45)</f>
        <v>0</v>
      </c>
      <c r="AE45" s="25">
        <f ca="1">$AO$45*$AO$55</f>
        <v>0</v>
      </c>
      <c r="AF45" s="25">
        <f ca="1">$AP$45*$AP$55</f>
        <v>0</v>
      </c>
      <c r="AG45" s="25">
        <f ca="1">SUM($AE$45:$AF$45)</f>
        <v>0</v>
      </c>
      <c r="AH45" s="25">
        <f>'TUSD BE'!$AH$45*'TUSD BF'!$AH$58</f>
        <v>0</v>
      </c>
      <c r="AI45" s="25">
        <f>'TUSD BE'!$AI$45*'TUSD BF'!$AI$58</f>
        <v>0</v>
      </c>
      <c r="AJ45" s="25">
        <f ca="1">'TUSD BE'!$AJ$45*'TUSD BF'!$AJ$58</f>
        <v>0</v>
      </c>
      <c r="AK45" s="25">
        <f ca="1">'TUSD BE'!$AK$45*'TUSD BF'!$AK$58</f>
        <v>0</v>
      </c>
      <c r="AL45" s="25">
        <f ca="1">SUM($AH$45:$AK$45)</f>
        <v>0</v>
      </c>
      <c r="AM45" s="25">
        <f ca="1">SUMIF($L$4:$AL$4,"SUBTOTAL",$L$45:$AL$45)</f>
        <v>0</v>
      </c>
      <c r="AO45" s="30">
        <f ca="1">+'TUSD BE'!$T$45+'TUSD BE'!$AB$45+'TUSD BE'!$AD$45+'TUSD BE'!$AL$45</f>
        <v>2793.7231634703494</v>
      </c>
      <c r="AP45" s="30">
        <f ca="1">+'TUSD BE'!$T$45+'TUSD BE'!$AB$45+'TUSD BE'!$AD$45+'TUSD BE'!$AL$45</f>
        <v>2793.7231634703494</v>
      </c>
    </row>
    <row r="46" spans="1:42" ht="11.25" customHeight="1" x14ac:dyDescent="0.25">
      <c r="A46" s="134"/>
      <c r="B46" s="134"/>
      <c r="C46" s="134"/>
      <c r="D46" s="134"/>
      <c r="E46" s="134"/>
      <c r="F46" s="134"/>
      <c r="G46" s="21" t="s">
        <v>84</v>
      </c>
      <c r="H46" s="21" t="s">
        <v>71</v>
      </c>
      <c r="I46" s="21">
        <f>'MERCADO TUSD'!$U$43</f>
        <v>0</v>
      </c>
      <c r="J46" s="17"/>
      <c r="L46" s="25">
        <f>'TUSD BE'!$L$46*'TUSD BF'!$L$58</f>
        <v>0</v>
      </c>
      <c r="M46" s="25">
        <f>'TUSD BE'!$M$46*'TUSD BF'!$M$58</f>
        <v>0</v>
      </c>
      <c r="N46" s="25">
        <f ca="1">'TUSD BE'!$N$46*'TUSD BF'!$N$58</f>
        <v>0</v>
      </c>
      <c r="O46" s="25">
        <f>'TUSD BE'!$O$46*'TUSD BF'!$O$58</f>
        <v>0</v>
      </c>
      <c r="P46" s="25">
        <f>'TUSD BE'!$P$46*'TUSD BF'!$P$58</f>
        <v>0</v>
      </c>
      <c r="Q46" s="25">
        <f>'TUSD BE'!$Q$46*'TUSD BF'!$Q$58</f>
        <v>0</v>
      </c>
      <c r="R46" s="25">
        <f>'TUSD BE'!$R$46*'TUSD BF'!$R$58</f>
        <v>0</v>
      </c>
      <c r="S46" s="25">
        <f>'TUSD BE'!$R$46*'TUSD BF'!$S$58</f>
        <v>0</v>
      </c>
      <c r="T46" s="25">
        <f ca="1">SUM($L$46:$S$46)</f>
        <v>0</v>
      </c>
      <c r="U46" s="25">
        <f>'TUSD BE'!$U$46*'TUSD BF'!$U$58</f>
        <v>0</v>
      </c>
      <c r="V46" s="25">
        <f>'TUSD BE'!$V$46*'TUSD BF'!$V$58</f>
        <v>0</v>
      </c>
      <c r="W46" s="25">
        <f>'TUSD BE'!$W$46*'TUSD BF'!$W$58</f>
        <v>0</v>
      </c>
      <c r="X46" s="25">
        <f>'TUSD BE'!$X$46*'TUSD BF'!$X$58</f>
        <v>0</v>
      </c>
      <c r="Y46" s="25">
        <f>'TUSD BE'!$Y$46*'TUSD BF'!$Y$58</f>
        <v>0</v>
      </c>
      <c r="Z46" s="25">
        <f>'TUSD BE'!$Z$46*'TUSD BF'!$Z$58</f>
        <v>0</v>
      </c>
      <c r="AA46" s="25">
        <f>'TUSD BE'!$AA$46*'TUSD BF'!$AA$58</f>
        <v>0</v>
      </c>
      <c r="AB46" s="25">
        <f>SUM($U$46:$AA$46)</f>
        <v>0</v>
      </c>
      <c r="AC46" s="25">
        <f>'TUSD BE'!$AC$46*'TUSD BF'!$AC$58</f>
        <v>0</v>
      </c>
      <c r="AD46" s="25">
        <f>SUM($AC$46:$AC$46)</f>
        <v>0</v>
      </c>
      <c r="AE46" s="25">
        <f ca="1">$AO$46*$AO$55</f>
        <v>0</v>
      </c>
      <c r="AF46" s="25">
        <f ca="1">$AP$46*$AP$55</f>
        <v>0</v>
      </c>
      <c r="AG46" s="25">
        <f ca="1">SUM($AE$46:$AF$46)</f>
        <v>0</v>
      </c>
      <c r="AH46" s="25">
        <f>'TUSD BE'!$AH$46*'TUSD BF'!$AH$58</f>
        <v>0</v>
      </c>
      <c r="AI46" s="25">
        <f>'TUSD BE'!$AI$46*'TUSD BF'!$AI$58</f>
        <v>0</v>
      </c>
      <c r="AJ46" s="25">
        <f ca="1">'TUSD BE'!$AJ$46*'TUSD BF'!$AJ$58</f>
        <v>0</v>
      </c>
      <c r="AK46" s="25">
        <f ca="1">'TUSD BE'!$AK$46*'TUSD BF'!$AK$58</f>
        <v>0</v>
      </c>
      <c r="AL46" s="25">
        <f ca="1">SUM($AH$46:$AK$46)</f>
        <v>0</v>
      </c>
      <c r="AM46" s="25">
        <f ca="1">SUMIF($L$4:$AL$4,"SUBTOTAL",$L$46:$AL$46)</f>
        <v>0</v>
      </c>
      <c r="AO46" s="30">
        <f ca="1">+'TUSD BE'!$T$46+'TUSD BE'!$AB$46+'TUSD BE'!$AD$46+'TUSD BE'!$AL$46</f>
        <v>1743.630601539254</v>
      </c>
      <c r="AP46" s="30">
        <f ca="1">+'TUSD BE'!$T$46+'TUSD BE'!$AB$46+'TUSD BE'!$AD$46+'TUSD BE'!$AL$46</f>
        <v>1743.630601539254</v>
      </c>
    </row>
    <row r="47" spans="1:42" ht="11.25" customHeight="1" x14ac:dyDescent="0.25">
      <c r="A47" s="134"/>
      <c r="B47" s="134"/>
      <c r="C47" s="134"/>
      <c r="D47" s="134"/>
      <c r="E47" s="134"/>
      <c r="F47" s="134"/>
      <c r="G47" s="21" t="s">
        <v>73</v>
      </c>
      <c r="H47" s="21" t="s">
        <v>71</v>
      </c>
      <c r="I47" s="21">
        <f>'MERCADO TUSD'!$U$44</f>
        <v>0</v>
      </c>
      <c r="J47" s="17"/>
      <c r="L47" s="25">
        <f>'TUSD BE'!$L$47*'TUSD BF'!$L$58</f>
        <v>0</v>
      </c>
      <c r="M47" s="25">
        <f>'TUSD BE'!$M$47*'TUSD BF'!$M$58</f>
        <v>0</v>
      </c>
      <c r="N47" s="25">
        <f ca="1">'TUSD BE'!$N$47*'TUSD BF'!$N$58</f>
        <v>0</v>
      </c>
      <c r="O47" s="25">
        <f>'TUSD BE'!$O$47*'TUSD BF'!$O$58</f>
        <v>0</v>
      </c>
      <c r="P47" s="25">
        <f>'TUSD BE'!$P$47*'TUSD BF'!$P$58</f>
        <v>0</v>
      </c>
      <c r="Q47" s="25">
        <f>'TUSD BE'!$Q$47*'TUSD BF'!$Q$58</f>
        <v>0</v>
      </c>
      <c r="R47" s="25">
        <f>'TUSD BE'!$R$47*'TUSD BF'!$R$58</f>
        <v>0</v>
      </c>
      <c r="S47" s="25">
        <f>'TUSD BE'!$R$47*'TUSD BF'!$S$58</f>
        <v>0</v>
      </c>
      <c r="T47" s="25">
        <f ca="1">SUM($L$47:$S$47)</f>
        <v>0</v>
      </c>
      <c r="U47" s="25">
        <f>'TUSD BE'!$U$47*'TUSD BF'!$U$58</f>
        <v>0</v>
      </c>
      <c r="V47" s="25">
        <f>'TUSD BE'!$V$47*'TUSD BF'!$V$58</f>
        <v>0</v>
      </c>
      <c r="W47" s="25">
        <f>'TUSD BE'!$W$47*'TUSD BF'!$W$58</f>
        <v>0</v>
      </c>
      <c r="X47" s="25">
        <f>'TUSD BE'!$X$47*'TUSD BF'!$X$58</f>
        <v>0</v>
      </c>
      <c r="Y47" s="25">
        <f>'TUSD BE'!$Y$47*'TUSD BF'!$Y$58</f>
        <v>0</v>
      </c>
      <c r="Z47" s="25">
        <f>'TUSD BE'!$Z$47*'TUSD BF'!$Z$58</f>
        <v>0</v>
      </c>
      <c r="AA47" s="25">
        <f>'TUSD BE'!$AA$47*'TUSD BF'!$AA$58</f>
        <v>0</v>
      </c>
      <c r="AB47" s="25">
        <f>SUM($U$47:$AA$47)</f>
        <v>0</v>
      </c>
      <c r="AC47" s="25">
        <f>'TUSD BE'!$AC$47*'TUSD BF'!$AC$58</f>
        <v>0</v>
      </c>
      <c r="AD47" s="25">
        <f>SUM($AC$47:$AC$47)</f>
        <v>0</v>
      </c>
      <c r="AE47" s="25">
        <f ca="1">$AO$47*$AO$55</f>
        <v>0</v>
      </c>
      <c r="AF47" s="25">
        <f ca="1">$AP$47*$AP$55</f>
        <v>0</v>
      </c>
      <c r="AG47" s="25">
        <f ca="1">SUM($AE$47:$AF$47)</f>
        <v>0</v>
      </c>
      <c r="AH47" s="25">
        <f>'TUSD BE'!$AH$47*'TUSD BF'!$AH$58</f>
        <v>0</v>
      </c>
      <c r="AI47" s="25">
        <f>'TUSD BE'!$AI$47*'TUSD BF'!$AI$58</f>
        <v>0</v>
      </c>
      <c r="AJ47" s="25">
        <f ca="1">'TUSD BE'!$AJ$47*'TUSD BF'!$AJ$58</f>
        <v>0</v>
      </c>
      <c r="AK47" s="25">
        <f ca="1">'TUSD BE'!$AK$47*'TUSD BF'!$AK$58</f>
        <v>0</v>
      </c>
      <c r="AL47" s="25">
        <f ca="1">SUM($AH$47:$AK$47)</f>
        <v>0</v>
      </c>
      <c r="AM47" s="25">
        <f ca="1">SUMIF($L$4:$AL$4,"SUBTOTAL",$L$47:$AL$47)</f>
        <v>0</v>
      </c>
      <c r="AO47" s="30">
        <f ca="1">+'TUSD BE'!$T$47+'TUSD BE'!$AB$47+'TUSD BE'!$AD$47+'TUSD BE'!$AL$47</f>
        <v>693.53777380613064</v>
      </c>
      <c r="AP47" s="30">
        <f ca="1">+'TUSD BE'!$T$47+'TUSD BE'!$AB$47+'TUSD BE'!$AD$47+'TUSD BE'!$AL$47</f>
        <v>693.53777380613064</v>
      </c>
    </row>
    <row r="48" spans="1:42" ht="11.25" customHeight="1" x14ac:dyDescent="0.25">
      <c r="A48" s="134"/>
      <c r="B48" s="28" t="s">
        <v>23</v>
      </c>
      <c r="C48" s="28" t="s">
        <v>25</v>
      </c>
      <c r="D48" s="28" t="s">
        <v>25</v>
      </c>
      <c r="E48" s="28" t="s">
        <v>25</v>
      </c>
      <c r="F48" s="28" t="s">
        <v>25</v>
      </c>
      <c r="G48" s="21" t="s">
        <v>75</v>
      </c>
      <c r="H48" s="21" t="s">
        <v>71</v>
      </c>
      <c r="I48" s="21">
        <f>'MERCADO TUSD'!$U$45</f>
        <v>4622.2640000000001</v>
      </c>
      <c r="J48" s="17"/>
      <c r="L48" s="25">
        <f>'TUSD BE'!$L$48*'TUSD BF'!$L$58</f>
        <v>0</v>
      </c>
      <c r="M48" s="25">
        <f>'TUSD BE'!$M$48*'TUSD BF'!$M$58</f>
        <v>0</v>
      </c>
      <c r="N48" s="25">
        <f ca="1">'TUSD BE'!$N$48*'TUSD BF'!$N$58</f>
        <v>0</v>
      </c>
      <c r="O48" s="25">
        <f>'TUSD BE'!$O$48*'TUSD BF'!$O$58</f>
        <v>0</v>
      </c>
      <c r="P48" s="25">
        <f>'TUSD BE'!$P$48*'TUSD BF'!$P$58</f>
        <v>0</v>
      </c>
      <c r="Q48" s="25">
        <f>'TUSD BE'!$Q$48*'TUSD BF'!$Q$58</f>
        <v>0</v>
      </c>
      <c r="R48" s="25">
        <f>'TUSD BE'!$R$48*'TUSD BF'!$R$58</f>
        <v>0</v>
      </c>
      <c r="S48" s="25">
        <f>'TUSD BE'!$R$48*'TUSD BF'!$S$58</f>
        <v>0</v>
      </c>
      <c r="T48" s="25">
        <f ca="1">SUM($L$48:$S$48)</f>
        <v>0</v>
      </c>
      <c r="U48" s="25">
        <f>'TUSD BE'!$U$48*'TUSD BF'!$U$58</f>
        <v>0</v>
      </c>
      <c r="V48" s="25">
        <f>'TUSD BE'!$V$48*'TUSD BF'!$V$58</f>
        <v>0</v>
      </c>
      <c r="W48" s="25">
        <f>'TUSD BE'!$W$48*'TUSD BF'!$W$58</f>
        <v>0</v>
      </c>
      <c r="X48" s="25">
        <f>'TUSD BE'!$X$48*'TUSD BF'!$X$58</f>
        <v>0</v>
      </c>
      <c r="Y48" s="25">
        <f>'TUSD BE'!$Y$48*'TUSD BF'!$Y$58</f>
        <v>0</v>
      </c>
      <c r="Z48" s="25">
        <f>'TUSD BE'!$Z$48*'TUSD BF'!$Z$58</f>
        <v>0</v>
      </c>
      <c r="AA48" s="25">
        <f>'TUSD BE'!$AA$48*'TUSD BF'!$AA$58</f>
        <v>0</v>
      </c>
      <c r="AB48" s="25">
        <f>SUM($U$48:$AA$48)</f>
        <v>0</v>
      </c>
      <c r="AC48" s="25">
        <f>'TUSD BE'!$AC$48*'TUSD BF'!$AC$58</f>
        <v>0</v>
      </c>
      <c r="AD48" s="25">
        <f>SUM($AC$48:$AC$48)</f>
        <v>0</v>
      </c>
      <c r="AE48" s="25">
        <f ca="1">$AO$48*$AO$55</f>
        <v>0</v>
      </c>
      <c r="AF48" s="25">
        <f ca="1">$AP$48*$AP$55</f>
        <v>0</v>
      </c>
      <c r="AG48" s="25">
        <f ca="1">SUM($AE$48:$AF$48)</f>
        <v>0</v>
      </c>
      <c r="AH48" s="25">
        <f>'TUSD BE'!$AH$48*'TUSD BF'!$AH$58</f>
        <v>0</v>
      </c>
      <c r="AI48" s="25">
        <f>'TUSD BE'!$AI$48*'TUSD BF'!$AI$58</f>
        <v>0</v>
      </c>
      <c r="AJ48" s="25">
        <f ca="1">'TUSD BE'!$AJ$48*'TUSD BF'!$AJ$58</f>
        <v>0</v>
      </c>
      <c r="AK48" s="25">
        <f ca="1">'TUSD BE'!$AK$48*'TUSD BF'!$AK$58</f>
        <v>0</v>
      </c>
      <c r="AL48" s="25">
        <f ca="1">SUM($AH$48:$AK$48)</f>
        <v>0</v>
      </c>
      <c r="AM48" s="25">
        <f ca="1">SUMIF($L$4:$AL$4,"SUBTOTAL",$L$48:$AL$48)</f>
        <v>0</v>
      </c>
      <c r="AO48" s="30">
        <f ca="1">+'TUSD BE'!$T$48+'TUSD BE'!$AB$48+'TUSD BE'!$AD$48+'TUSD BE'!$AL$48</f>
        <v>1029.2229273331159</v>
      </c>
      <c r="AP48" s="30">
        <f ca="1">+'TUSD BE'!$T$48+'TUSD BE'!$AB$48+'TUSD BE'!$AD$48+'TUSD BE'!$AL$48</f>
        <v>1029.2229273331159</v>
      </c>
    </row>
    <row r="49" spans="1:42" ht="11.25" customHeight="1" x14ac:dyDescent="0.25">
      <c r="A49" s="134"/>
      <c r="B49" s="28" t="s">
        <v>86</v>
      </c>
      <c r="C49" s="28" t="s">
        <v>25</v>
      </c>
      <c r="D49" s="28" t="s">
        <v>25</v>
      </c>
      <c r="E49" s="28" t="s">
        <v>25</v>
      </c>
      <c r="F49" s="28" t="s">
        <v>25</v>
      </c>
      <c r="G49" s="21" t="s">
        <v>75</v>
      </c>
      <c r="H49" s="21" t="s">
        <v>71</v>
      </c>
      <c r="I49" s="21">
        <f>'MERCADO TUSD'!$U$46</f>
        <v>0</v>
      </c>
      <c r="J49" s="17"/>
      <c r="L49" s="25">
        <f>'TUSD BE'!$L$49*'TUSD BF'!$L$58</f>
        <v>0</v>
      </c>
      <c r="M49" s="25">
        <f>'TUSD BE'!$M$49*'TUSD BF'!$M$58</f>
        <v>0</v>
      </c>
      <c r="N49" s="25">
        <f ca="1">'TUSD BE'!$N$49*'TUSD BF'!$N$58</f>
        <v>0</v>
      </c>
      <c r="O49" s="25">
        <f>'TUSD BE'!$O$49*'TUSD BF'!$O$58</f>
        <v>0</v>
      </c>
      <c r="P49" s="25">
        <f>'TUSD BE'!$P$49*'TUSD BF'!$P$58</f>
        <v>0</v>
      </c>
      <c r="Q49" s="25">
        <f>'TUSD BE'!$Q$49*'TUSD BF'!$Q$58</f>
        <v>0</v>
      </c>
      <c r="R49" s="25">
        <f>'TUSD BE'!$R$49*'TUSD BF'!$R$58</f>
        <v>0</v>
      </c>
      <c r="S49" s="25">
        <f>'TUSD BE'!$R$49*'TUSD BF'!$S$58</f>
        <v>0</v>
      </c>
      <c r="T49" s="25">
        <f ca="1">SUM($L$49:$S$49)</f>
        <v>0</v>
      </c>
      <c r="U49" s="25">
        <f>'TUSD BE'!$U$49*'TUSD BF'!$U$58</f>
        <v>0</v>
      </c>
      <c r="V49" s="25">
        <f>'TUSD BE'!$V$49*'TUSD BF'!$V$58</f>
        <v>0</v>
      </c>
      <c r="W49" s="25">
        <f>'TUSD BE'!$W$49*'TUSD BF'!$W$58</f>
        <v>0</v>
      </c>
      <c r="X49" s="25">
        <f>'TUSD BE'!$X$49*'TUSD BF'!$X$58</f>
        <v>0</v>
      </c>
      <c r="Y49" s="25">
        <f>'TUSD BE'!$Y$49*'TUSD BF'!$Y$58</f>
        <v>0</v>
      </c>
      <c r="Z49" s="25">
        <f>'TUSD BE'!$Z$49*'TUSD BF'!$Z$58</f>
        <v>0</v>
      </c>
      <c r="AA49" s="25">
        <f>'TUSD BE'!$AA$49*'TUSD BF'!$AA$58</f>
        <v>0</v>
      </c>
      <c r="AB49" s="25">
        <f>SUM($U$49:$AA$49)</f>
        <v>0</v>
      </c>
      <c r="AC49" s="25">
        <f>'TUSD BE'!$AC$49*'TUSD BF'!$AC$58</f>
        <v>0</v>
      </c>
      <c r="AD49" s="25">
        <f>SUM($AC$49:$AC$49)</f>
        <v>0</v>
      </c>
      <c r="AE49" s="25">
        <f ca="1">$AO$49*$AO$55</f>
        <v>0</v>
      </c>
      <c r="AF49" s="25">
        <f ca="1">$AP$49*$AP$55</f>
        <v>0</v>
      </c>
      <c r="AG49" s="25">
        <f ca="1">SUM($AE$49:$AF$49)</f>
        <v>0</v>
      </c>
      <c r="AH49" s="25">
        <f>'TUSD BE'!$AH$49*'TUSD BF'!$AH$58</f>
        <v>0</v>
      </c>
      <c r="AI49" s="25">
        <f>'TUSD BE'!$AI$49*'TUSD BF'!$AI$58</f>
        <v>0</v>
      </c>
      <c r="AJ49" s="25">
        <f ca="1">'TUSD BE'!$AJ$49*'TUSD BF'!$AJ$58</f>
        <v>0</v>
      </c>
      <c r="AK49" s="25">
        <f ca="1">'TUSD BE'!$AK$49*'TUSD BF'!$AK$58</f>
        <v>0</v>
      </c>
      <c r="AL49" s="25">
        <f ca="1">SUM($AH$49:$AK$49)</f>
        <v>0</v>
      </c>
      <c r="AM49" s="25">
        <f ca="1">SUMIF($L$4:$AL$4,"SUBTOTAL",$L$49:$AL$49)</f>
        <v>0</v>
      </c>
      <c r="AO49" s="30">
        <f ca="1">+'TUSD BE'!$T$49+'TUSD BE'!$AB$49+'TUSD BE'!$AD$49+'TUSD BE'!$AL$49</f>
        <v>1029.2229273331159</v>
      </c>
      <c r="AP49" s="30">
        <f ca="1">+'TUSD BE'!$T$49+'TUSD BE'!$AB$49+'TUSD BE'!$AD$49+'TUSD BE'!$AL$49</f>
        <v>1029.2229273331159</v>
      </c>
    </row>
    <row r="50" spans="1:42" ht="11.25" customHeight="1" x14ac:dyDescent="0.25">
      <c r="A50" s="134" t="s">
        <v>46</v>
      </c>
      <c r="B50" s="134" t="s">
        <v>23</v>
      </c>
      <c r="C50" s="134" t="s">
        <v>47</v>
      </c>
      <c r="D50" s="28" t="s">
        <v>48</v>
      </c>
      <c r="E50" s="28" t="s">
        <v>25</v>
      </c>
      <c r="F50" s="28" t="s">
        <v>25</v>
      </c>
      <c r="G50" s="21" t="s">
        <v>75</v>
      </c>
      <c r="H50" s="21" t="s">
        <v>71</v>
      </c>
      <c r="I50" s="21">
        <f>'MERCADO TUSD'!$U$47</f>
        <v>3347.1679999999992</v>
      </c>
      <c r="J50" s="17"/>
      <c r="L50" s="25">
        <f>'TUSD BE'!$L$50*'TUSD BF'!$L$58</f>
        <v>0</v>
      </c>
      <c r="M50" s="25">
        <f>'TUSD BE'!$M$50*'TUSD BF'!$M$58</f>
        <v>0</v>
      </c>
      <c r="N50" s="25">
        <f ca="1">'TUSD BE'!$N$50*'TUSD BF'!$N$58</f>
        <v>0</v>
      </c>
      <c r="O50" s="25">
        <f>'TUSD BE'!$O$50*'TUSD BF'!$O$58</f>
        <v>0</v>
      </c>
      <c r="P50" s="25">
        <f>'TUSD BE'!$P$50*'TUSD BF'!$P$58</f>
        <v>0</v>
      </c>
      <c r="Q50" s="25">
        <f>'TUSD BE'!$Q$50*'TUSD BF'!$Q$58</f>
        <v>0</v>
      </c>
      <c r="R50" s="25">
        <f>'TUSD BE'!$R$50*'TUSD BF'!$R$58</f>
        <v>0</v>
      </c>
      <c r="S50" s="25">
        <f>'TUSD BE'!$R$50*'TUSD BF'!$S$58</f>
        <v>0</v>
      </c>
      <c r="T50" s="25">
        <f ca="1">SUM($L$50:$S$50)</f>
        <v>0</v>
      </c>
      <c r="U50" s="25">
        <f>'TUSD BE'!$U$50*'TUSD BF'!$U$58</f>
        <v>0</v>
      </c>
      <c r="V50" s="25">
        <f>'TUSD BE'!$V$50*'TUSD BF'!$V$58</f>
        <v>0</v>
      </c>
      <c r="W50" s="25">
        <f>'TUSD BE'!$W$50*'TUSD BF'!$W$58</f>
        <v>0</v>
      </c>
      <c r="X50" s="25">
        <f>'TUSD BE'!$X$50*'TUSD BF'!$X$58</f>
        <v>0</v>
      </c>
      <c r="Y50" s="25">
        <f>'TUSD BE'!$Y$50*'TUSD BF'!$Y$58</f>
        <v>0</v>
      </c>
      <c r="Z50" s="25">
        <f>'TUSD BE'!$Z$50*'TUSD BF'!$Z$58</f>
        <v>0</v>
      </c>
      <c r="AA50" s="25">
        <f>'TUSD BE'!$AA$50*'TUSD BF'!$AA$58</f>
        <v>0</v>
      </c>
      <c r="AB50" s="25">
        <f>SUM($U$50:$AA$50)</f>
        <v>0</v>
      </c>
      <c r="AC50" s="25">
        <f>'TUSD BE'!$AC$50*'TUSD BF'!$AC$58</f>
        <v>0</v>
      </c>
      <c r="AD50" s="25">
        <f>SUM($AC$50:$AC$50)</f>
        <v>0</v>
      </c>
      <c r="AE50" s="25">
        <f ca="1">$AO$50*$AO$55</f>
        <v>0</v>
      </c>
      <c r="AF50" s="25">
        <f ca="1">$AP$50*$AP$55</f>
        <v>0</v>
      </c>
      <c r="AG50" s="25">
        <f ca="1">SUM($AE$50:$AF$50)</f>
        <v>0</v>
      </c>
      <c r="AH50" s="25">
        <f>'TUSD BE'!$AH$50*'TUSD BF'!$AH$58</f>
        <v>0</v>
      </c>
      <c r="AI50" s="25">
        <f>'TUSD BE'!$AI$50*'TUSD BF'!$AI$58</f>
        <v>0</v>
      </c>
      <c r="AJ50" s="25">
        <f ca="1">'TUSD BE'!$AJ$50*'TUSD BF'!$AJ$58</f>
        <v>0</v>
      </c>
      <c r="AK50" s="25">
        <f ca="1">'TUSD BE'!$AK$50*'TUSD BF'!$AK$58</f>
        <v>0</v>
      </c>
      <c r="AL50" s="25">
        <f ca="1">SUM($AH$50:$AK$50)</f>
        <v>0</v>
      </c>
      <c r="AM50" s="25">
        <f ca="1">SUMIF($L$4:$AL$4,"SUBTOTAL",$L$50:$AL$50)</f>
        <v>0</v>
      </c>
      <c r="AO50" s="30">
        <f ca="1">+'TUSD BE'!$T$50+'TUSD BE'!$AB$50+'TUSD BE'!$AD$50+'TUSD BE'!$AL$50</f>
        <v>566.07261003321378</v>
      </c>
      <c r="AP50" s="30">
        <f ca="1">+'TUSD BE'!$T$50+'TUSD BE'!$AB$50+'TUSD BE'!$AD$50+'TUSD BE'!$AL$50</f>
        <v>566.07261003321378</v>
      </c>
    </row>
    <row r="51" spans="1:42" ht="11.25" customHeight="1" x14ac:dyDescent="0.25">
      <c r="A51" s="134"/>
      <c r="B51" s="134"/>
      <c r="C51" s="134"/>
      <c r="D51" s="21" t="s">
        <v>89</v>
      </c>
      <c r="E51" s="21" t="s">
        <v>25</v>
      </c>
      <c r="F51" s="21" t="s">
        <v>25</v>
      </c>
      <c r="G51" s="21" t="s">
        <v>75</v>
      </c>
      <c r="H51" s="21" t="s">
        <v>71</v>
      </c>
      <c r="I51" s="21">
        <f>'MERCADO TUSD'!$U$48</f>
        <v>0</v>
      </c>
      <c r="J51" s="17"/>
      <c r="L51" s="25">
        <f>'TUSD BE'!$L$51*'TUSD BF'!$L$58</f>
        <v>0</v>
      </c>
      <c r="M51" s="25">
        <f>'TUSD BE'!$M$51*'TUSD BF'!$M$58</f>
        <v>0</v>
      </c>
      <c r="N51" s="25">
        <f ca="1">'TUSD BE'!$N$51*'TUSD BF'!$N$58</f>
        <v>0</v>
      </c>
      <c r="O51" s="25">
        <f>'TUSD BE'!$O$51*'TUSD BF'!$O$58</f>
        <v>0</v>
      </c>
      <c r="P51" s="25">
        <f>'TUSD BE'!$P$51*'TUSD BF'!$P$58</f>
        <v>0</v>
      </c>
      <c r="Q51" s="25">
        <f>'TUSD BE'!$Q$51*'TUSD BF'!$Q$58</f>
        <v>0</v>
      </c>
      <c r="R51" s="25">
        <f>'TUSD BE'!$R$51*'TUSD BF'!$R$58</f>
        <v>0</v>
      </c>
      <c r="S51" s="25">
        <f>'TUSD BE'!$R$51*'TUSD BF'!$S$58</f>
        <v>0</v>
      </c>
      <c r="T51" s="25">
        <f ca="1">SUM($L$51:$S$51)</f>
        <v>0</v>
      </c>
      <c r="U51" s="25">
        <f>'TUSD BE'!$U$51*'TUSD BF'!$U$58</f>
        <v>0</v>
      </c>
      <c r="V51" s="25">
        <f>'TUSD BE'!$V$51*'TUSD BF'!$V$58</f>
        <v>0</v>
      </c>
      <c r="W51" s="25">
        <f>'TUSD BE'!$W$51*'TUSD BF'!$W$58</f>
        <v>0</v>
      </c>
      <c r="X51" s="25">
        <f>'TUSD BE'!$X$51*'TUSD BF'!$X$58</f>
        <v>0</v>
      </c>
      <c r="Y51" s="25">
        <f>'TUSD BE'!$Y$51*'TUSD BF'!$Y$58</f>
        <v>0</v>
      </c>
      <c r="Z51" s="25">
        <f>'TUSD BE'!$Z$51*'TUSD BF'!$Z$58</f>
        <v>0</v>
      </c>
      <c r="AA51" s="25">
        <f>'TUSD BE'!$AA$51*'TUSD BF'!$AA$58</f>
        <v>0</v>
      </c>
      <c r="AB51" s="25">
        <f>SUM($U$51:$AA$51)</f>
        <v>0</v>
      </c>
      <c r="AC51" s="25">
        <f>'TUSD BE'!$AC$51*'TUSD BF'!$AC$58</f>
        <v>0</v>
      </c>
      <c r="AD51" s="25">
        <f>SUM($AC$51:$AC$51)</f>
        <v>0</v>
      </c>
      <c r="AE51" s="25">
        <f ca="1">$AO$51*$AO$55</f>
        <v>0</v>
      </c>
      <c r="AF51" s="25">
        <f ca="1">$AP$51*$AP$55</f>
        <v>0</v>
      </c>
      <c r="AG51" s="25">
        <f ca="1">SUM($AE$51:$AF$51)</f>
        <v>0</v>
      </c>
      <c r="AH51" s="25">
        <f>'TUSD BE'!$AH$51*'TUSD BF'!$AH$58</f>
        <v>0</v>
      </c>
      <c r="AI51" s="25">
        <f>'TUSD BE'!$AI$51*'TUSD BF'!$AI$58</f>
        <v>0</v>
      </c>
      <c r="AJ51" s="25">
        <f ca="1">'TUSD BE'!$AJ$51*'TUSD BF'!$AJ$58</f>
        <v>0</v>
      </c>
      <c r="AK51" s="25">
        <f ca="1">'TUSD BE'!$AK$51*'TUSD BF'!$AK$58</f>
        <v>0</v>
      </c>
      <c r="AL51" s="25">
        <f ca="1">SUM($AH$51:$AK$51)</f>
        <v>0</v>
      </c>
      <c r="AM51" s="25">
        <f ca="1">SUMIF($L$4:$AL$4,"SUBTOTAL",$L$51:$AL$51)</f>
        <v>0</v>
      </c>
      <c r="AO51" s="30">
        <f ca="1">+'TUSD BE'!$T$51+'TUSD BE'!$AB$51+'TUSD BE'!$AD$51+'TUSD BE'!$AL$51</f>
        <v>617.53375639986939</v>
      </c>
      <c r="AP51" s="30">
        <f ca="1">+'TUSD BE'!$T$51+'TUSD BE'!$AB$51+'TUSD BE'!$AD$51+'TUSD BE'!$AL$51</f>
        <v>617.53375639986939</v>
      </c>
    </row>
    <row r="53" spans="1:42" ht="11.25" customHeight="1" x14ac:dyDescent="0.25">
      <c r="K53" s="27" t="s">
        <v>554</v>
      </c>
      <c r="L53" s="25">
        <f>SUMPRODUCT($I$5:$I51,$L$5:$L51)</f>
        <v>0</v>
      </c>
      <c r="M53" s="25">
        <f>SUMPRODUCT($I$5:$I51,$M$5:$M51)</f>
        <v>0</v>
      </c>
      <c r="N53" s="25">
        <f ca="1">SUMPRODUCT($I$5:$I51,$N$5:$N51)</f>
        <v>0</v>
      </c>
      <c r="O53" s="25">
        <f>SUMPRODUCT($I$5:$I51,$O$5:$O51)</f>
        <v>0</v>
      </c>
      <c r="P53" s="25">
        <f>SUMPRODUCT($I$5:$I51,$P$5:$P51)</f>
        <v>0</v>
      </c>
      <c r="Q53" s="25">
        <f>SUMPRODUCT($I$5:$I51,$Q$5:$Q51)</f>
        <v>0</v>
      </c>
      <c r="R53" s="25">
        <f>SUMPRODUCT($I$5:$I51,$R$5:$R51)</f>
        <v>0</v>
      </c>
      <c r="S53" s="25">
        <f>SUMPRODUCT($I$5:$I51,$S$5:$S51)</f>
        <v>0</v>
      </c>
      <c r="T53" s="25">
        <f ca="1">SUMPRODUCT($I$5:$I51,$T$5:$T51)</f>
        <v>0</v>
      </c>
      <c r="U53" s="25">
        <f>SUMPRODUCT($I$5:$I51,$U$5:$U51)</f>
        <v>0</v>
      </c>
      <c r="V53" s="25">
        <f>SUMPRODUCT($I$5:$I51,$V$5:$V51)</f>
        <v>0</v>
      </c>
      <c r="W53" s="25">
        <f>SUMPRODUCT($I$5:$I51,$W$5:$W51)</f>
        <v>0</v>
      </c>
      <c r="X53" s="25">
        <f>SUMPRODUCT($I$5:$I51,$X$5:$X51)</f>
        <v>0</v>
      </c>
      <c r="Y53" s="25">
        <f>SUMPRODUCT($I$5:$I51,$Y$5:$Y51)</f>
        <v>0</v>
      </c>
      <c r="Z53" s="25">
        <f>SUMPRODUCT($I$5:$I51,$Z$5:$Z51)</f>
        <v>0</v>
      </c>
      <c r="AA53" s="25">
        <f>SUMPRODUCT($I$5:$I51,$AA$5:$AA51)</f>
        <v>0</v>
      </c>
      <c r="AB53" s="25">
        <f>SUMPRODUCT($I$5:$I51,$AB$5:$AB51)</f>
        <v>0</v>
      </c>
      <c r="AC53" s="25">
        <f>SUMPRODUCT($I$5:$I51,$AC$5:$AC51)</f>
        <v>0</v>
      </c>
      <c r="AD53" s="25">
        <f>SUMPRODUCT($I$5:$I51,$AD$5:$AD51)</f>
        <v>0</v>
      </c>
      <c r="AE53" s="25">
        <f ca="1">SUMPRODUCT($I$5:$I51,$AE$5:$AE51)</f>
        <v>0</v>
      </c>
      <c r="AF53" s="25">
        <f ca="1">SUMPRODUCT($I$5:$I51,$AF$5:$AF51)</f>
        <v>0</v>
      </c>
      <c r="AG53" s="25">
        <f ca="1">SUMPRODUCT($I$5:$I51,$AG$5:$AG51)</f>
        <v>0</v>
      </c>
      <c r="AH53" s="25">
        <f>SUMPRODUCT($I$5:$I51,$AH$5:$AH51)</f>
        <v>0</v>
      </c>
      <c r="AI53" s="25">
        <f>SUMPRODUCT($I$5:$I51,$AI$5:$AI51)</f>
        <v>0</v>
      </c>
      <c r="AJ53" s="25">
        <f ca="1">SUMPRODUCT($I$5:$I51,$AJ$5:$AJ51)</f>
        <v>0</v>
      </c>
      <c r="AK53" s="25">
        <f ca="1">SUMPRODUCT($I$5:$I51,$AK$5:$AK51)</f>
        <v>0</v>
      </c>
      <c r="AL53" s="25">
        <f ca="1">SUMPRODUCT($I$5:$I51,$AL$5:$AL51)</f>
        <v>0</v>
      </c>
      <c r="AM53" s="25">
        <f ca="1">SUMPRODUCT($I$5:$I51,$AM$5:$AM51)</f>
        <v>0</v>
      </c>
      <c r="AO53" s="21">
        <f ca="1">SUMPRODUCT($I$5:$I51,$AO$5:$AO51)</f>
        <v>40954323.25704775</v>
      </c>
      <c r="AP53" s="21">
        <f ca="1">SUMPRODUCT($I$5:$I51,$AP$5:$AP51)</f>
        <v>40954323.25704775</v>
      </c>
    </row>
    <row r="54" spans="1:42" ht="11.25" customHeight="1" x14ac:dyDescent="0.25">
      <c r="K54" s="27" t="s">
        <v>486</v>
      </c>
      <c r="L54" s="25">
        <f>'TR TUSD'!$L$56</f>
        <v>939575.29936830897</v>
      </c>
      <c r="M54" s="25">
        <f>'TR TUSD'!$M$56</f>
        <v>122510.74929264619</v>
      </c>
      <c r="N54" s="25">
        <f>'TR TUSD'!$N$56</f>
        <v>0</v>
      </c>
      <c r="O54" s="25">
        <f>'TR TUSD'!$O$56</f>
        <v>0</v>
      </c>
      <c r="P54" s="25">
        <f>'TR TUSD'!$P$56</f>
        <v>0</v>
      </c>
      <c r="Q54" s="25">
        <f>'TR TUSD'!$Q$56</f>
        <v>3506533.3199799983</v>
      </c>
      <c r="R54" s="25">
        <f>'TR TUSD'!$R$56</f>
        <v>591110.68967999984</v>
      </c>
      <c r="S54" s="25">
        <f>'TR TUSD'!$S$56</f>
        <v>0</v>
      </c>
      <c r="T54" s="25">
        <f>'TR TUSD'!$T$56</f>
        <v>5159730.0583209535</v>
      </c>
      <c r="U54" s="25">
        <f>'TR TUSD'!$U$56</f>
        <v>0</v>
      </c>
      <c r="V54" s="25">
        <f>'TR TUSD'!$V$56</f>
        <v>0</v>
      </c>
      <c r="W54" s="25">
        <f>'TR TUSD'!$W$56</f>
        <v>0</v>
      </c>
      <c r="X54" s="25">
        <f>'TR TUSD'!$X$56</f>
        <v>0</v>
      </c>
      <c r="Y54" s="25">
        <f>'TR TUSD'!$Y$56</f>
        <v>8087693.3765699323</v>
      </c>
      <c r="Z54" s="25">
        <f>'TR TUSD'!$Z$56</f>
        <v>0</v>
      </c>
      <c r="AA54" s="25">
        <f>'TR TUSD'!$AA$56</f>
        <v>0</v>
      </c>
      <c r="AB54" s="25">
        <f>'TR TUSD'!$AB$56</f>
        <v>8087693.3765699323</v>
      </c>
      <c r="AC54" s="25">
        <f>'TR TUSD'!$AC$56</f>
        <v>26189026.16</v>
      </c>
      <c r="AD54" s="25">
        <f>'TR TUSD'!$AD$56</f>
        <v>26189026.16</v>
      </c>
      <c r="AE54" s="25">
        <f>'TR TUSD'!$AE$56</f>
        <v>0</v>
      </c>
      <c r="AF54" s="25">
        <f>'TR TUSD'!$AF$56</f>
        <v>0</v>
      </c>
      <c r="AG54" s="25">
        <f>'TR TUSD'!$AG$56</f>
        <v>0</v>
      </c>
      <c r="AH54" s="25">
        <f>'TR TUSD'!$AH$56</f>
        <v>1385980.7356645614</v>
      </c>
      <c r="AI54" s="25">
        <f>'TR TUSD'!$AI$56</f>
        <v>0</v>
      </c>
      <c r="AJ54" s="25">
        <f>'TR TUSD'!$AJ$56</f>
        <v>131892.92649229267</v>
      </c>
      <c r="AK54" s="25">
        <f>'TR TUSD'!$AK$56</f>
        <v>0</v>
      </c>
      <c r="AL54" s="25">
        <f>'TR TUSD'!$AL$56</f>
        <v>1517873.6621568541</v>
      </c>
      <c r="AM54" s="25">
        <f>CUSTOS!$D$29</f>
        <v>40954323.257047743</v>
      </c>
      <c r="AO54" s="21">
        <f>$AE$56</f>
        <v>0</v>
      </c>
      <c r="AP54" s="21">
        <f>$AF$56</f>
        <v>0</v>
      </c>
    </row>
    <row r="55" spans="1:42" ht="11.25" customHeight="1" x14ac:dyDescent="0.25">
      <c r="K55" s="27" t="s">
        <v>487</v>
      </c>
      <c r="L55" s="25">
        <f>CUSTOS!$E$2</f>
        <v>0</v>
      </c>
      <c r="M55" s="25">
        <f>CUSTOS!$E$3</f>
        <v>5151.4439600447486</v>
      </c>
      <c r="N55" s="25">
        <f>CUSTOS!$E$4</f>
        <v>0</v>
      </c>
      <c r="O55" s="25">
        <f>CUSTOS!$E$5</f>
        <v>0</v>
      </c>
      <c r="P55" s="25">
        <f>CUSTOS!$E$6</f>
        <v>0</v>
      </c>
      <c r="Q55" s="25">
        <f>CUSTOS!$E$7</f>
        <v>180147.7937953643</v>
      </c>
      <c r="R55" s="25">
        <f>CUSTOS!$E$8</f>
        <v>19778.411797242152</v>
      </c>
      <c r="S55" s="25">
        <f>CUSTOS!$E$9</f>
        <v>0</v>
      </c>
      <c r="T55" s="25">
        <f>CUSTOS!$E$10</f>
        <v>205077.64955265119</v>
      </c>
      <c r="U55" s="25">
        <f>CUSTOS!$E$11</f>
        <v>0</v>
      </c>
      <c r="V55" s="25">
        <f>CUSTOS!$E$12</f>
        <v>0</v>
      </c>
      <c r="W55" s="25">
        <f>CUSTOS!$E$13</f>
        <v>0</v>
      </c>
      <c r="X55" s="25">
        <f>CUSTOS!$E$14</f>
        <v>0</v>
      </c>
      <c r="Y55" s="25">
        <f>CUSTOS!$E$15</f>
        <v>2057012.1713465147</v>
      </c>
      <c r="Z55" s="25">
        <f>CUSTOS!$E$16</f>
        <v>0</v>
      </c>
      <c r="AA55" s="25">
        <f>CUSTOS!$E$17</f>
        <v>0</v>
      </c>
      <c r="AB55" s="25">
        <f>CUSTOS!$E$18</f>
        <v>2057012.1713465147</v>
      </c>
      <c r="AC55" s="25">
        <f>CUSTOS!$E$19</f>
        <v>-4988536.0950042587</v>
      </c>
      <c r="AD55" s="25">
        <f>CUSTOS!$E$20</f>
        <v>-4988536.0950042587</v>
      </c>
      <c r="AE55" s="25">
        <f>CUSTOS!$E$21</f>
        <v>0</v>
      </c>
      <c r="AF55" s="25">
        <f>CUSTOS!$E$22</f>
        <v>0</v>
      </c>
      <c r="AG55" s="25">
        <f>CUSTOS!$E$23</f>
        <v>0</v>
      </c>
      <c r="AH55" s="25">
        <f>CUSTOS!$E$24</f>
        <v>393198.64148726751</v>
      </c>
      <c r="AI55" s="25">
        <f>CUSTOS!$E$25</f>
        <v>0</v>
      </c>
      <c r="AJ55" s="25">
        <f>CUSTOS!$E$26</f>
        <v>37417.63372611611</v>
      </c>
      <c r="AK55" s="25">
        <f>CUSTOS!$E$27</f>
        <v>0</v>
      </c>
      <c r="AL55" s="25">
        <f>CUSTOS!$E$28</f>
        <v>430616.2752133836</v>
      </c>
      <c r="AM55" s="25">
        <f>CUSTOS!$E$29</f>
        <v>-2295829.9988917094</v>
      </c>
      <c r="AO55" s="21">
        <f ca="1">IF(AO53&lt;&gt;0,AO54/AO53,0)</f>
        <v>0</v>
      </c>
      <c r="AP55" s="21">
        <f ca="1">IF(AP53&lt;&gt;0,AP54/AP53,0)</f>
        <v>0</v>
      </c>
    </row>
    <row r="56" spans="1:42" ht="11.25" customHeight="1" x14ac:dyDescent="0.25">
      <c r="K56" s="27" t="s">
        <v>488</v>
      </c>
      <c r="L56" s="25">
        <f>CUSTOS!$F$2</f>
        <v>0</v>
      </c>
      <c r="M56" s="25">
        <f>CUSTOS!$F$3</f>
        <v>0</v>
      </c>
      <c r="N56" s="25">
        <f>CUSTOS!$F$4</f>
        <v>0</v>
      </c>
      <c r="O56" s="25">
        <f>CUSTOS!$F$5</f>
        <v>0</v>
      </c>
      <c r="P56" s="25">
        <f>CUSTOS!$F$6</f>
        <v>0</v>
      </c>
      <c r="Q56" s="25">
        <f>CUSTOS!$F$7</f>
        <v>0</v>
      </c>
      <c r="R56" s="25">
        <f>CUSTOS!$F$8</f>
        <v>0</v>
      </c>
      <c r="S56" s="25">
        <f>CUSTOS!$F$9</f>
        <v>0</v>
      </c>
      <c r="T56" s="25">
        <f>CUSTOS!$F$10</f>
        <v>0</v>
      </c>
      <c r="U56" s="25">
        <f>CUSTOS!$F$11</f>
        <v>0</v>
      </c>
      <c r="V56" s="25">
        <f>CUSTOS!$F$12</f>
        <v>0</v>
      </c>
      <c r="W56" s="25">
        <f>CUSTOS!$F$13</f>
        <v>0</v>
      </c>
      <c r="X56" s="25">
        <f>CUSTOS!$F$14</f>
        <v>0</v>
      </c>
      <c r="Y56" s="25">
        <f>CUSTOS!$F$15</f>
        <v>0</v>
      </c>
      <c r="Z56" s="25">
        <f>CUSTOS!$F$16</f>
        <v>0</v>
      </c>
      <c r="AA56" s="25">
        <f>CUSTOS!$F$17</f>
        <v>0</v>
      </c>
      <c r="AB56" s="25">
        <f>CUSTOS!$F$18</f>
        <v>0</v>
      </c>
      <c r="AC56" s="25">
        <f>CUSTOS!$F$19</f>
        <v>0</v>
      </c>
      <c r="AD56" s="25">
        <f>CUSTOS!$F$20</f>
        <v>0</v>
      </c>
      <c r="AE56" s="25">
        <f>CUSTOS!$F$21</f>
        <v>0</v>
      </c>
      <c r="AF56" s="25">
        <f>CUSTOS!$F$22</f>
        <v>0</v>
      </c>
      <c r="AG56" s="25">
        <f>CUSTOS!$F$23</f>
        <v>0</v>
      </c>
      <c r="AH56" s="25">
        <f>CUSTOS!$F$24</f>
        <v>0</v>
      </c>
      <c r="AI56" s="25">
        <f>CUSTOS!$F$25</f>
        <v>0</v>
      </c>
      <c r="AJ56" s="25">
        <f>CUSTOS!$F$26</f>
        <v>0</v>
      </c>
      <c r="AK56" s="25">
        <f>CUSTOS!$F$27</f>
        <v>0</v>
      </c>
      <c r="AL56" s="25">
        <f>CUSTOS!$F$28</f>
        <v>0</v>
      </c>
      <c r="AM56" s="25">
        <f>CUSTOS!$F$29</f>
        <v>0</v>
      </c>
    </row>
    <row r="57" spans="1:42" ht="11.25" customHeight="1" x14ac:dyDescent="0.25">
      <c r="K57" s="27" t="s">
        <v>551</v>
      </c>
      <c r="L57" s="25">
        <v>0</v>
      </c>
      <c r="M57" s="25">
        <v>0</v>
      </c>
      <c r="N57" s="25">
        <v>0</v>
      </c>
      <c r="O57" s="25">
        <v>0</v>
      </c>
      <c r="P57" s="25">
        <v>0</v>
      </c>
      <c r="Q57" s="25">
        <v>0</v>
      </c>
      <c r="R57" s="25">
        <v>0</v>
      </c>
      <c r="S57" s="25">
        <v>0</v>
      </c>
      <c r="T57" s="25"/>
      <c r="U57" s="25">
        <v>0</v>
      </c>
      <c r="V57" s="25">
        <v>0</v>
      </c>
      <c r="W57" s="25">
        <v>0</v>
      </c>
      <c r="X57" s="25">
        <v>0</v>
      </c>
      <c r="Y57" s="25">
        <v>0</v>
      </c>
      <c r="Z57" s="25">
        <v>0</v>
      </c>
      <c r="AA57" s="25">
        <v>0</v>
      </c>
      <c r="AB57" s="25"/>
      <c r="AC57" s="25">
        <v>0</v>
      </c>
      <c r="AD57" s="25"/>
      <c r="AE57" s="25">
        <v>0</v>
      </c>
      <c r="AF57" s="25">
        <v>0</v>
      </c>
      <c r="AG57" s="25"/>
      <c r="AH57" s="25">
        <v>0</v>
      </c>
      <c r="AI57" s="25">
        <v>0</v>
      </c>
      <c r="AJ57" s="25">
        <v>0</v>
      </c>
      <c r="AK57" s="25">
        <v>0</v>
      </c>
      <c r="AL57" s="25"/>
      <c r="AM57" s="25"/>
    </row>
  </sheetData>
  <mergeCells count="73">
    <mergeCell ref="D1:D4"/>
    <mergeCell ref="E1:E4"/>
    <mergeCell ref="F1:F4"/>
    <mergeCell ref="J1:J4"/>
    <mergeCell ref="L1:AM1"/>
    <mergeCell ref="G1:G4"/>
    <mergeCell ref="H1:H4"/>
    <mergeCell ref="I1:I4"/>
    <mergeCell ref="AP1:AP4"/>
    <mergeCell ref="L2:AM2"/>
    <mergeCell ref="L3:T3"/>
    <mergeCell ref="U3:AB3"/>
    <mergeCell ref="AC3:AD3"/>
    <mergeCell ref="AE3:AG3"/>
    <mergeCell ref="AH3:AL3"/>
    <mergeCell ref="AM3:AM4"/>
    <mergeCell ref="A1:A4"/>
    <mergeCell ref="C10:C14"/>
    <mergeCell ref="D10:D14"/>
    <mergeCell ref="E10:E12"/>
    <mergeCell ref="F10:F12"/>
    <mergeCell ref="E13:E14"/>
    <mergeCell ref="F13:F14"/>
    <mergeCell ref="F5:F7"/>
    <mergeCell ref="B10:B14"/>
    <mergeCell ref="A5:A14"/>
    <mergeCell ref="B5:B8"/>
    <mergeCell ref="C5:C8"/>
    <mergeCell ref="D5:D8"/>
    <mergeCell ref="E5:E7"/>
    <mergeCell ref="B1:B4"/>
    <mergeCell ref="C1:C4"/>
    <mergeCell ref="A15:A16"/>
    <mergeCell ref="B15:B16"/>
    <mergeCell ref="C15:C16"/>
    <mergeCell ref="D15:D16"/>
    <mergeCell ref="A17:A29"/>
    <mergeCell ref="B17:B19"/>
    <mergeCell ref="C17:C19"/>
    <mergeCell ref="D17:D19"/>
    <mergeCell ref="E17:E19"/>
    <mergeCell ref="F17:F19"/>
    <mergeCell ref="B20:B24"/>
    <mergeCell ref="C20:C24"/>
    <mergeCell ref="B25:B29"/>
    <mergeCell ref="C25:C29"/>
    <mergeCell ref="D38:D40"/>
    <mergeCell ref="E38:E40"/>
    <mergeCell ref="F38:F40"/>
    <mergeCell ref="D30:D32"/>
    <mergeCell ref="E30:E32"/>
    <mergeCell ref="F30:F32"/>
    <mergeCell ref="D34:D36"/>
    <mergeCell ref="E34:E36"/>
    <mergeCell ref="F34:F36"/>
    <mergeCell ref="B42:B44"/>
    <mergeCell ref="C42:C44"/>
    <mergeCell ref="A45:A49"/>
    <mergeCell ref="B45:B47"/>
    <mergeCell ref="C45:C47"/>
    <mergeCell ref="A30:A44"/>
    <mergeCell ref="B30:B32"/>
    <mergeCell ref="C30:C32"/>
    <mergeCell ref="B38:B40"/>
    <mergeCell ref="C38:C40"/>
    <mergeCell ref="B34:B36"/>
    <mergeCell ref="C34:C36"/>
    <mergeCell ref="E45:E47"/>
    <mergeCell ref="F45:F47"/>
    <mergeCell ref="A50:A51"/>
    <mergeCell ref="B50:B51"/>
    <mergeCell ref="C50:C51"/>
    <mergeCell ref="D45:D47"/>
  </mergeCells>
  <conditionalFormatting sqref="L53">
    <cfRule type="cellIs" dxfId="733" priority="55" operator="notEqual">
      <formula>$L$56</formula>
    </cfRule>
    <cfRule type="cellIs" dxfId="732" priority="56" operator="equal">
      <formula>$L$56</formula>
    </cfRule>
  </conditionalFormatting>
  <conditionalFormatting sqref="M53">
    <cfRule type="cellIs" dxfId="731" priority="53" operator="notEqual">
      <formula>$M$56</formula>
    </cfRule>
    <cfRule type="cellIs" dxfId="730" priority="54" operator="equal">
      <formula>$M$56</formula>
    </cfRule>
  </conditionalFormatting>
  <conditionalFormatting sqref="N53">
    <cfRule type="cellIs" dxfId="729" priority="51" operator="notEqual">
      <formula>$N$56</formula>
    </cfRule>
    <cfRule type="cellIs" dxfId="728" priority="52" operator="equal">
      <formula>$N$56</formula>
    </cfRule>
  </conditionalFormatting>
  <conditionalFormatting sqref="O53">
    <cfRule type="cellIs" dxfId="727" priority="49" operator="notEqual">
      <formula>$O$56</formula>
    </cfRule>
    <cfRule type="cellIs" dxfId="726" priority="50" operator="equal">
      <formula>$O$56</formula>
    </cfRule>
  </conditionalFormatting>
  <conditionalFormatting sqref="P53">
    <cfRule type="cellIs" dxfId="725" priority="47" operator="notEqual">
      <formula>$P$56</formula>
    </cfRule>
    <cfRule type="cellIs" dxfId="724" priority="48" operator="equal">
      <formula>$P$56</formula>
    </cfRule>
  </conditionalFormatting>
  <conditionalFormatting sqref="Q53">
    <cfRule type="cellIs" dxfId="723" priority="45" operator="notEqual">
      <formula>$Q$56</formula>
    </cfRule>
    <cfRule type="cellIs" dxfId="722" priority="46" operator="equal">
      <formula>$Q$56</formula>
    </cfRule>
  </conditionalFormatting>
  <conditionalFormatting sqref="R53">
    <cfRule type="cellIs" dxfId="721" priority="43" operator="notEqual">
      <formula>$R$56</formula>
    </cfRule>
    <cfRule type="cellIs" dxfId="720" priority="44" operator="equal">
      <formula>$R$56</formula>
    </cfRule>
  </conditionalFormatting>
  <conditionalFormatting sqref="S53">
    <cfRule type="cellIs" dxfId="719" priority="41" operator="notEqual">
      <formula>$S$56</formula>
    </cfRule>
    <cfRule type="cellIs" dxfId="718" priority="42" operator="equal">
      <formula>$S$56</formula>
    </cfRule>
  </conditionalFormatting>
  <conditionalFormatting sqref="T53">
    <cfRule type="cellIs" dxfId="717" priority="39" operator="notEqual">
      <formula>$T$56</formula>
    </cfRule>
    <cfRule type="cellIs" dxfId="716" priority="40" operator="equal">
      <formula>$T$56</formula>
    </cfRule>
  </conditionalFormatting>
  <conditionalFormatting sqref="U53">
    <cfRule type="cellIs" dxfId="715" priority="37" operator="notEqual">
      <formula>$U$56</formula>
    </cfRule>
    <cfRule type="cellIs" dxfId="714" priority="38" operator="equal">
      <formula>$U$56</formula>
    </cfRule>
  </conditionalFormatting>
  <conditionalFormatting sqref="V53">
    <cfRule type="cellIs" dxfId="713" priority="35" operator="notEqual">
      <formula>$V$56</formula>
    </cfRule>
    <cfRule type="cellIs" dxfId="712" priority="36" operator="equal">
      <formula>$V$56</formula>
    </cfRule>
  </conditionalFormatting>
  <conditionalFormatting sqref="W53">
    <cfRule type="cellIs" dxfId="711" priority="33" operator="notEqual">
      <formula>$W$56</formula>
    </cfRule>
    <cfRule type="cellIs" dxfId="710" priority="34" operator="equal">
      <formula>$W$56</formula>
    </cfRule>
  </conditionalFormatting>
  <conditionalFormatting sqref="X53">
    <cfRule type="cellIs" dxfId="709" priority="31" operator="notEqual">
      <formula>$X$56</formula>
    </cfRule>
    <cfRule type="cellIs" dxfId="708" priority="32" operator="equal">
      <formula>$X$56</formula>
    </cfRule>
  </conditionalFormatting>
  <conditionalFormatting sqref="Y53">
    <cfRule type="cellIs" dxfId="707" priority="29" operator="notEqual">
      <formula>$Y$56</formula>
    </cfRule>
    <cfRule type="cellIs" dxfId="706" priority="30" operator="equal">
      <formula>$Y$56</formula>
    </cfRule>
  </conditionalFormatting>
  <conditionalFormatting sqref="Z53">
    <cfRule type="cellIs" dxfId="705" priority="27" operator="notEqual">
      <formula>$Z$56</formula>
    </cfRule>
    <cfRule type="cellIs" dxfId="704" priority="28" operator="equal">
      <formula>$Z$56</formula>
    </cfRule>
  </conditionalFormatting>
  <conditionalFormatting sqref="AA53">
    <cfRule type="cellIs" dxfId="703" priority="25" operator="notEqual">
      <formula>$AA$56</formula>
    </cfRule>
    <cfRule type="cellIs" dxfId="702" priority="26" operator="equal">
      <formula>$AA$56</formula>
    </cfRule>
  </conditionalFormatting>
  <conditionalFormatting sqref="AB53">
    <cfRule type="cellIs" dxfId="701" priority="23" operator="notEqual">
      <formula>$AB$56</formula>
    </cfRule>
    <cfRule type="cellIs" dxfId="700" priority="24" operator="equal">
      <formula>$AB$56</formula>
    </cfRule>
  </conditionalFormatting>
  <conditionalFormatting sqref="AC53">
    <cfRule type="cellIs" dxfId="699" priority="21" operator="notEqual">
      <formula>$AC$56</formula>
    </cfRule>
    <cfRule type="cellIs" dxfId="698" priority="22" operator="equal">
      <formula>$AC$56</formula>
    </cfRule>
  </conditionalFormatting>
  <conditionalFormatting sqref="AD53">
    <cfRule type="cellIs" dxfId="697" priority="19" operator="notEqual">
      <formula>$AD$56</formula>
    </cfRule>
    <cfRule type="cellIs" dxfId="696" priority="20" operator="equal">
      <formula>$AD$56</formula>
    </cfRule>
  </conditionalFormatting>
  <conditionalFormatting sqref="AE53">
    <cfRule type="cellIs" dxfId="695" priority="17" operator="notEqual">
      <formula>$AE$56</formula>
    </cfRule>
    <cfRule type="cellIs" dxfId="694" priority="18" operator="equal">
      <formula>$AE$56</formula>
    </cfRule>
  </conditionalFormatting>
  <conditionalFormatting sqref="AF53">
    <cfRule type="cellIs" dxfId="693" priority="16" operator="equal">
      <formula>$AF$56</formula>
    </cfRule>
  </conditionalFormatting>
  <conditionalFormatting sqref="AF53">
    <cfRule type="cellIs" dxfId="692" priority="15" operator="notEqual">
      <formula>$AF$56</formula>
    </cfRule>
  </conditionalFormatting>
  <conditionalFormatting sqref="AG53">
    <cfRule type="cellIs" dxfId="691" priority="14" operator="equal">
      <formula>$AG$56</formula>
    </cfRule>
  </conditionalFormatting>
  <conditionalFormatting sqref="AG53">
    <cfRule type="cellIs" dxfId="690" priority="13" operator="notEqual">
      <formula>$AG$56</formula>
    </cfRule>
  </conditionalFormatting>
  <conditionalFormatting sqref="AH53">
    <cfRule type="cellIs" dxfId="689" priority="12" operator="equal">
      <formula>$AH$56</formula>
    </cfRule>
  </conditionalFormatting>
  <conditionalFormatting sqref="AH53">
    <cfRule type="cellIs" dxfId="688" priority="11" operator="notEqual">
      <formula>$AH$56</formula>
    </cfRule>
  </conditionalFormatting>
  <conditionalFormatting sqref="AI53">
    <cfRule type="cellIs" dxfId="687" priority="10" operator="equal">
      <formula>$AI$56</formula>
    </cfRule>
  </conditionalFormatting>
  <conditionalFormatting sqref="AI53">
    <cfRule type="cellIs" dxfId="686" priority="9" operator="notEqual">
      <formula>$AI$56</formula>
    </cfRule>
  </conditionalFormatting>
  <conditionalFormatting sqref="AJ53">
    <cfRule type="cellIs" dxfId="685" priority="8" operator="equal">
      <formula>$AJ$56</formula>
    </cfRule>
  </conditionalFormatting>
  <conditionalFormatting sqref="AJ53">
    <cfRule type="cellIs" dxfId="684" priority="7" operator="notEqual">
      <formula>$AJ$56</formula>
    </cfRule>
  </conditionalFormatting>
  <conditionalFormatting sqref="AK53">
    <cfRule type="cellIs" dxfId="683" priority="6" operator="equal">
      <formula>$AK$56</formula>
    </cfRule>
  </conditionalFormatting>
  <conditionalFormatting sqref="AK53">
    <cfRule type="cellIs" dxfId="682" priority="5" operator="notEqual">
      <formula>$AK$56</formula>
    </cfRule>
  </conditionalFormatting>
  <conditionalFormatting sqref="AL53">
    <cfRule type="cellIs" dxfId="681" priority="4" operator="equal">
      <formula>$AL$56</formula>
    </cfRule>
  </conditionalFormatting>
  <conditionalFormatting sqref="AL53">
    <cfRule type="cellIs" dxfId="680" priority="3" operator="notEqual">
      <formula>$AL$56</formula>
    </cfRule>
  </conditionalFormatting>
  <conditionalFormatting sqref="AM53">
    <cfRule type="cellIs" dxfId="679" priority="2" operator="equal">
      <formula>$AM$56</formula>
    </cfRule>
  </conditionalFormatting>
  <conditionalFormatting sqref="AM53">
    <cfRule type="cellIs" dxfId="678" priority="1" operator="notEqual">
      <formula>$AM$56</formula>
    </cfRule>
  </conditionalFormatting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D4A61-8FCD-4342-9E75-2682806C467C}">
  <dimension ref="A1:AA50"/>
  <sheetViews>
    <sheetView showGridLines="0" workbookViewId="0">
      <selection activeCell="K44" sqref="K44:AA50"/>
    </sheetView>
  </sheetViews>
  <sheetFormatPr defaultRowHeight="11.25" customHeight="1" x14ac:dyDescent="0.25"/>
  <cols>
    <col min="1" max="1" width="9.28515625" style="9" bestFit="1" customWidth="1"/>
    <col min="2" max="2" width="27.140625" style="9" bestFit="1" customWidth="1"/>
    <col min="3" max="3" width="13.5703125" style="9" bestFit="1" customWidth="1"/>
    <col min="4" max="4" width="25.140625" style="9" bestFit="1" customWidth="1"/>
    <col min="5" max="6" width="10.28515625" style="9" bestFit="1" customWidth="1"/>
    <col min="7" max="7" width="6.28515625" style="9" bestFit="1" customWidth="1"/>
    <col min="8" max="8" width="7.42578125" style="9" bestFit="1" customWidth="1"/>
    <col min="9" max="9" width="7.85546875" style="9" bestFit="1" customWidth="1"/>
    <col min="10" max="10" width="9.140625" style="9"/>
    <col min="11" max="11" width="20" style="9" bestFit="1" customWidth="1"/>
    <col min="12" max="14" width="7.85546875" style="9" bestFit="1" customWidth="1"/>
    <col min="15" max="15" width="11.140625" style="9" bestFit="1" customWidth="1"/>
    <col min="16" max="16" width="9.28515625" style="9" bestFit="1" customWidth="1"/>
    <col min="17" max="17" width="15" style="9" bestFit="1" customWidth="1"/>
    <col min="18" max="18" width="10" style="9" bestFit="1" customWidth="1"/>
    <col min="19" max="19" width="7.85546875" style="9" bestFit="1" customWidth="1"/>
    <col min="20" max="20" width="10.42578125" style="9" bestFit="1" customWidth="1"/>
    <col min="21" max="21" width="7.85546875" style="9" bestFit="1" customWidth="1"/>
    <col min="22" max="22" width="9.28515625" style="9" bestFit="1" customWidth="1"/>
    <col min="23" max="23" width="8" style="9" bestFit="1" customWidth="1"/>
    <col min="24" max="24" width="9.28515625" style="9" bestFit="1" customWidth="1"/>
    <col min="25" max="25" width="11" style="9" bestFit="1" customWidth="1"/>
    <col min="26" max="26" width="9.28515625" style="9" bestFit="1" customWidth="1"/>
    <col min="27" max="27" width="10" style="9" bestFit="1" customWidth="1"/>
    <col min="28" max="16384" width="9.140625" style="9"/>
  </cols>
  <sheetData>
    <row r="1" spans="1:27" ht="11.25" customHeight="1" x14ac:dyDescent="0.25">
      <c r="A1" s="139" t="s">
        <v>61</v>
      </c>
      <c r="B1" s="139" t="s">
        <v>62</v>
      </c>
      <c r="C1" s="139" t="s">
        <v>63</v>
      </c>
      <c r="D1" s="139" t="s">
        <v>64</v>
      </c>
      <c r="E1" s="139" t="s">
        <v>65</v>
      </c>
      <c r="F1" s="139" t="s">
        <v>15</v>
      </c>
      <c r="G1" s="139" t="s">
        <v>67</v>
      </c>
      <c r="H1" s="139" t="s">
        <v>68</v>
      </c>
      <c r="I1" s="139" t="s">
        <v>545</v>
      </c>
      <c r="J1" s="124"/>
      <c r="L1" s="140" t="s">
        <v>566</v>
      </c>
      <c r="M1" s="140"/>
      <c r="N1" s="140"/>
      <c r="O1" s="140"/>
      <c r="P1" s="140"/>
      <c r="Q1" s="140"/>
      <c r="R1" s="140"/>
      <c r="S1" s="140"/>
      <c r="T1" s="140"/>
      <c r="U1" s="140"/>
      <c r="V1" s="140"/>
      <c r="W1" s="140"/>
      <c r="X1" s="140"/>
      <c r="Y1" s="140"/>
      <c r="Z1" s="140"/>
      <c r="AA1" s="140"/>
    </row>
    <row r="2" spans="1:27" ht="11.25" customHeight="1" x14ac:dyDescent="0.25">
      <c r="A2" s="139"/>
      <c r="B2" s="139"/>
      <c r="C2" s="139"/>
      <c r="D2" s="139"/>
      <c r="E2" s="139"/>
      <c r="F2" s="139"/>
      <c r="G2" s="139"/>
      <c r="H2" s="139"/>
      <c r="I2" s="139"/>
      <c r="J2" s="124"/>
      <c r="L2" s="140" t="s">
        <v>473</v>
      </c>
      <c r="M2" s="140"/>
      <c r="N2" s="140"/>
      <c r="O2" s="140"/>
      <c r="P2" s="140"/>
      <c r="Q2" s="140"/>
      <c r="R2" s="140"/>
      <c r="S2" s="140"/>
      <c r="T2" s="140"/>
      <c r="U2" s="140"/>
      <c r="V2" s="140"/>
      <c r="W2" s="140"/>
      <c r="X2" s="140"/>
      <c r="Y2" s="140"/>
      <c r="Z2" s="140"/>
      <c r="AA2" s="140"/>
    </row>
    <row r="3" spans="1:27" ht="11.25" customHeight="1" x14ac:dyDescent="0.25">
      <c r="A3" s="139"/>
      <c r="B3" s="139"/>
      <c r="C3" s="139"/>
      <c r="D3" s="139"/>
      <c r="E3" s="139"/>
      <c r="F3" s="139"/>
      <c r="G3" s="139"/>
      <c r="H3" s="139"/>
      <c r="I3" s="139"/>
      <c r="J3" s="124"/>
      <c r="L3" s="140" t="s">
        <v>446</v>
      </c>
      <c r="M3" s="140"/>
      <c r="N3" s="140"/>
      <c r="O3" s="140"/>
      <c r="P3" s="140"/>
      <c r="Q3" s="140" t="s">
        <v>476</v>
      </c>
      <c r="R3" s="140"/>
      <c r="S3" s="140" t="s">
        <v>455</v>
      </c>
      <c r="T3" s="140"/>
      <c r="U3" s="140"/>
      <c r="V3" s="140"/>
      <c r="W3" s="140" t="s">
        <v>465</v>
      </c>
      <c r="X3" s="140"/>
      <c r="Y3" s="140" t="s">
        <v>468</v>
      </c>
      <c r="Z3" s="140"/>
      <c r="AA3" s="140" t="s">
        <v>454</v>
      </c>
    </row>
    <row r="4" spans="1:27" ht="11.25" customHeight="1" x14ac:dyDescent="0.25">
      <c r="A4" s="139"/>
      <c r="B4" s="139"/>
      <c r="C4" s="139"/>
      <c r="D4" s="139"/>
      <c r="E4" s="139"/>
      <c r="F4" s="139"/>
      <c r="G4" s="139"/>
      <c r="H4" s="139"/>
      <c r="I4" s="139"/>
      <c r="J4" s="124"/>
      <c r="L4" s="34" t="s">
        <v>448</v>
      </c>
      <c r="M4" s="34" t="s">
        <v>474</v>
      </c>
      <c r="N4" s="34" t="s">
        <v>475</v>
      </c>
      <c r="O4" s="34" t="s">
        <v>533</v>
      </c>
      <c r="P4" s="34" t="s">
        <v>454</v>
      </c>
      <c r="Q4" s="34" t="s">
        <v>477</v>
      </c>
      <c r="R4" s="34" t="s">
        <v>454</v>
      </c>
      <c r="S4" s="34" t="s">
        <v>478</v>
      </c>
      <c r="T4" s="34" t="s">
        <v>479</v>
      </c>
      <c r="U4" s="34" t="s">
        <v>480</v>
      </c>
      <c r="V4" s="34" t="s">
        <v>454</v>
      </c>
      <c r="W4" s="34" t="s">
        <v>466</v>
      </c>
      <c r="X4" s="34" t="s">
        <v>454</v>
      </c>
      <c r="Y4" s="34" t="s">
        <v>481</v>
      </c>
      <c r="Z4" s="34" t="s">
        <v>454</v>
      </c>
      <c r="AA4" s="141"/>
    </row>
    <row r="5" spans="1:27" ht="11.25" customHeight="1" x14ac:dyDescent="0.25">
      <c r="A5" s="138" t="s">
        <v>33</v>
      </c>
      <c r="B5" s="138" t="s">
        <v>70</v>
      </c>
      <c r="C5" s="138" t="s">
        <v>25</v>
      </c>
      <c r="D5" s="138" t="s">
        <v>25</v>
      </c>
      <c r="E5" s="138" t="s">
        <v>25</v>
      </c>
      <c r="F5" s="138" t="s">
        <v>25</v>
      </c>
      <c r="G5" s="32" t="s">
        <v>72</v>
      </c>
      <c r="H5" s="32" t="s">
        <v>71</v>
      </c>
      <c r="I5" s="32">
        <f>'MERCADO TE'!$U$2</f>
        <v>119.02</v>
      </c>
      <c r="J5" s="17"/>
      <c r="L5" s="30">
        <v>1</v>
      </c>
      <c r="M5" s="30">
        <v>1</v>
      </c>
      <c r="N5" s="30">
        <v>1</v>
      </c>
      <c r="O5" s="30">
        <v>1</v>
      </c>
      <c r="P5" s="30"/>
      <c r="Q5" s="30">
        <v>1</v>
      </c>
      <c r="R5" s="30"/>
      <c r="S5" s="30">
        <v>1</v>
      </c>
      <c r="T5" s="30">
        <v>1</v>
      </c>
      <c r="U5" s="30">
        <v>1</v>
      </c>
      <c r="V5" s="30"/>
      <c r="W5" s="30"/>
      <c r="X5" s="30"/>
      <c r="Y5" s="30">
        <v>1</v>
      </c>
      <c r="Z5" s="30"/>
      <c r="AA5" s="30"/>
    </row>
    <row r="6" spans="1:27" ht="11.25" customHeight="1" x14ac:dyDescent="0.25">
      <c r="A6" s="138"/>
      <c r="B6" s="138"/>
      <c r="C6" s="138"/>
      <c r="D6" s="138"/>
      <c r="E6" s="138"/>
      <c r="F6" s="138"/>
      <c r="G6" s="32" t="s">
        <v>73</v>
      </c>
      <c r="H6" s="32" t="s">
        <v>71</v>
      </c>
      <c r="I6" s="32">
        <f>'MERCADO TE'!$U$3</f>
        <v>3902.4649999999997</v>
      </c>
      <c r="J6" s="17"/>
      <c r="L6" s="30">
        <v>1</v>
      </c>
      <c r="M6" s="30">
        <v>1</v>
      </c>
      <c r="N6" s="30">
        <v>1</v>
      </c>
      <c r="O6" s="30">
        <v>1</v>
      </c>
      <c r="P6" s="30"/>
      <c r="Q6" s="30">
        <v>1</v>
      </c>
      <c r="R6" s="30"/>
      <c r="S6" s="30">
        <v>1</v>
      </c>
      <c r="T6" s="30">
        <v>1</v>
      </c>
      <c r="U6" s="30">
        <v>1</v>
      </c>
      <c r="V6" s="30"/>
      <c r="W6" s="30"/>
      <c r="X6" s="30"/>
      <c r="Y6" s="30">
        <v>1</v>
      </c>
      <c r="Z6" s="30"/>
      <c r="AA6" s="30"/>
    </row>
    <row r="7" spans="1:27" ht="11.25" customHeight="1" x14ac:dyDescent="0.25">
      <c r="A7" s="138"/>
      <c r="B7" s="33" t="s">
        <v>74</v>
      </c>
      <c r="C7" s="33" t="s">
        <v>25</v>
      </c>
      <c r="D7" s="33" t="s">
        <v>25</v>
      </c>
      <c r="E7" s="33" t="s">
        <v>25</v>
      </c>
      <c r="F7" s="33" t="s">
        <v>25</v>
      </c>
      <c r="G7" s="32" t="s">
        <v>75</v>
      </c>
      <c r="H7" s="32" t="s">
        <v>71</v>
      </c>
      <c r="I7" s="32">
        <f>'MERCADO TE'!$U$4</f>
        <v>0</v>
      </c>
      <c r="J7" s="17"/>
      <c r="L7" s="30">
        <v>1</v>
      </c>
      <c r="M7" s="30">
        <v>1</v>
      </c>
      <c r="N7" s="30">
        <v>1</v>
      </c>
      <c r="O7" s="30">
        <v>1</v>
      </c>
      <c r="P7" s="30"/>
      <c r="Q7" s="30">
        <v>1</v>
      </c>
      <c r="R7" s="30"/>
      <c r="S7" s="30">
        <v>1</v>
      </c>
      <c r="T7" s="30">
        <v>1</v>
      </c>
      <c r="U7" s="30">
        <v>1</v>
      </c>
      <c r="V7" s="30"/>
      <c r="W7" s="30"/>
      <c r="X7" s="30"/>
      <c r="Y7" s="30">
        <v>1</v>
      </c>
      <c r="Z7" s="30"/>
      <c r="AA7" s="30"/>
    </row>
    <row r="8" spans="1:27" ht="11.25" customHeight="1" x14ac:dyDescent="0.25">
      <c r="A8" s="138" t="s">
        <v>22</v>
      </c>
      <c r="B8" s="138" t="s">
        <v>70</v>
      </c>
      <c r="C8" s="138" t="s">
        <v>24</v>
      </c>
      <c r="D8" s="138" t="s">
        <v>24</v>
      </c>
      <c r="E8" s="138" t="s">
        <v>25</v>
      </c>
      <c r="F8" s="138" t="s">
        <v>25</v>
      </c>
      <c r="G8" s="32" t="s">
        <v>72</v>
      </c>
      <c r="H8" s="32" t="s">
        <v>71</v>
      </c>
      <c r="I8" s="32">
        <f>'MERCADO TE'!$U$5</f>
        <v>2.3139999999999996</v>
      </c>
      <c r="J8" s="17"/>
      <c r="L8" s="30">
        <v>1</v>
      </c>
      <c r="M8" s="30">
        <v>1</v>
      </c>
      <c r="N8" s="30">
        <v>1</v>
      </c>
      <c r="O8" s="30">
        <v>1</v>
      </c>
      <c r="P8" s="30"/>
      <c r="Q8" s="30">
        <v>1</v>
      </c>
      <c r="R8" s="30"/>
      <c r="S8" s="30">
        <v>1</v>
      </c>
      <c r="T8" s="30">
        <v>1</v>
      </c>
      <c r="U8" s="30">
        <v>1</v>
      </c>
      <c r="V8" s="30"/>
      <c r="W8" s="30"/>
      <c r="X8" s="30"/>
      <c r="Y8" s="30">
        <v>1</v>
      </c>
      <c r="Z8" s="30"/>
      <c r="AA8" s="30"/>
    </row>
    <row r="9" spans="1:27" ht="11.25" customHeight="1" x14ac:dyDescent="0.25">
      <c r="A9" s="138"/>
      <c r="B9" s="138"/>
      <c r="C9" s="138"/>
      <c r="D9" s="138"/>
      <c r="E9" s="138"/>
      <c r="F9" s="138"/>
      <c r="G9" s="32" t="s">
        <v>84</v>
      </c>
      <c r="H9" s="32" t="s">
        <v>71</v>
      </c>
      <c r="I9" s="32">
        <f>'MERCADO TE'!$U$6</f>
        <v>1.2229999999999999</v>
      </c>
      <c r="J9" s="17"/>
      <c r="L9" s="30">
        <v>1</v>
      </c>
      <c r="M9" s="30">
        <v>1</v>
      </c>
      <c r="N9" s="30">
        <v>1</v>
      </c>
      <c r="O9" s="30">
        <v>1</v>
      </c>
      <c r="P9" s="30"/>
      <c r="Q9" s="30">
        <v>1</v>
      </c>
      <c r="R9" s="30"/>
      <c r="S9" s="30">
        <v>1</v>
      </c>
      <c r="T9" s="30">
        <v>1</v>
      </c>
      <c r="U9" s="30">
        <v>1</v>
      </c>
      <c r="V9" s="30"/>
      <c r="W9" s="30"/>
      <c r="X9" s="30"/>
      <c r="Y9" s="30">
        <v>1</v>
      </c>
      <c r="Z9" s="30"/>
      <c r="AA9" s="30"/>
    </row>
    <row r="10" spans="1:27" ht="11.25" customHeight="1" x14ac:dyDescent="0.25">
      <c r="A10" s="138"/>
      <c r="B10" s="138"/>
      <c r="C10" s="138"/>
      <c r="D10" s="138"/>
      <c r="E10" s="138"/>
      <c r="F10" s="138"/>
      <c r="G10" s="32" t="s">
        <v>73</v>
      </c>
      <c r="H10" s="32" t="s">
        <v>71</v>
      </c>
      <c r="I10" s="32">
        <f>'MERCADO TE'!$U$7</f>
        <v>15.786</v>
      </c>
      <c r="J10" s="17"/>
      <c r="L10" s="30">
        <v>1</v>
      </c>
      <c r="M10" s="30">
        <v>1</v>
      </c>
      <c r="N10" s="30">
        <v>1</v>
      </c>
      <c r="O10" s="30">
        <v>1</v>
      </c>
      <c r="P10" s="30"/>
      <c r="Q10" s="30">
        <v>1</v>
      </c>
      <c r="R10" s="30"/>
      <c r="S10" s="30">
        <v>1</v>
      </c>
      <c r="T10" s="30">
        <v>1</v>
      </c>
      <c r="U10" s="30">
        <v>1</v>
      </c>
      <c r="V10" s="30"/>
      <c r="W10" s="30"/>
      <c r="X10" s="30"/>
      <c r="Y10" s="30">
        <v>1</v>
      </c>
      <c r="Z10" s="30"/>
      <c r="AA10" s="30"/>
    </row>
    <row r="11" spans="1:27" ht="11.25" customHeight="1" x14ac:dyDescent="0.25">
      <c r="A11" s="138"/>
      <c r="B11" s="138" t="s">
        <v>74</v>
      </c>
      <c r="C11" s="138" t="s">
        <v>24</v>
      </c>
      <c r="D11" s="33" t="s">
        <v>24</v>
      </c>
      <c r="E11" s="33" t="s">
        <v>25</v>
      </c>
      <c r="F11" s="33" t="s">
        <v>25</v>
      </c>
      <c r="G11" s="32" t="s">
        <v>75</v>
      </c>
      <c r="H11" s="32" t="s">
        <v>71</v>
      </c>
      <c r="I11" s="32">
        <f>'MERCADO TE'!$U$8</f>
        <v>26510.091</v>
      </c>
      <c r="J11" s="17"/>
      <c r="L11" s="30">
        <v>1</v>
      </c>
      <c r="M11" s="30">
        <v>1</v>
      </c>
      <c r="N11" s="30">
        <v>1</v>
      </c>
      <c r="O11" s="30">
        <v>1</v>
      </c>
      <c r="P11" s="30"/>
      <c r="Q11" s="30">
        <v>1</v>
      </c>
      <c r="R11" s="30"/>
      <c r="S11" s="30">
        <v>1</v>
      </c>
      <c r="T11" s="30">
        <v>1</v>
      </c>
      <c r="U11" s="30">
        <v>1</v>
      </c>
      <c r="V11" s="30"/>
      <c r="W11" s="30"/>
      <c r="X11" s="30"/>
      <c r="Y11" s="30">
        <v>1</v>
      </c>
      <c r="Z11" s="30"/>
      <c r="AA11" s="30"/>
    </row>
    <row r="12" spans="1:27" ht="11.25" customHeight="1" x14ac:dyDescent="0.25">
      <c r="A12" s="138"/>
      <c r="B12" s="138"/>
      <c r="C12" s="138"/>
      <c r="D12" s="33" t="s">
        <v>29</v>
      </c>
      <c r="E12" s="33" t="s">
        <v>25</v>
      </c>
      <c r="F12" s="33" t="s">
        <v>25</v>
      </c>
      <c r="G12" s="32" t="s">
        <v>75</v>
      </c>
      <c r="H12" s="32" t="s">
        <v>71</v>
      </c>
      <c r="I12" s="32">
        <f>'MERCADO TE'!$U$9</f>
        <v>224.727</v>
      </c>
      <c r="J12" s="17"/>
      <c r="L12" s="30">
        <f>1 - CUSTOS!$M$24</f>
        <v>1</v>
      </c>
      <c r="M12" s="30">
        <f>1 - CUSTOS!$M$24</f>
        <v>1</v>
      </c>
      <c r="N12" s="30">
        <f>1 - CUSTOS!$M$24</f>
        <v>1</v>
      </c>
      <c r="O12" s="30">
        <f>1 - CUSTOS!$M$24</f>
        <v>1</v>
      </c>
      <c r="P12" s="30"/>
      <c r="Q12" s="30">
        <f>(1 - CUSTOS!$M$24)*1</f>
        <v>1</v>
      </c>
      <c r="R12" s="30"/>
      <c r="S12" s="30">
        <f>1 - CUSTOS!$M$24</f>
        <v>1</v>
      </c>
      <c r="T12" s="30">
        <f>1 - CUSTOS!$M$24</f>
        <v>1</v>
      </c>
      <c r="U12" s="30">
        <f>1 - CUSTOS!$M$24</f>
        <v>1</v>
      </c>
      <c r="V12" s="30"/>
      <c r="W12" s="30"/>
      <c r="X12" s="30"/>
      <c r="Y12" s="30">
        <f>1 - CUSTOS!$M$24</f>
        <v>1</v>
      </c>
      <c r="Z12" s="30"/>
      <c r="AA12" s="30"/>
    </row>
    <row r="13" spans="1:27" ht="11.25" customHeight="1" x14ac:dyDescent="0.25">
      <c r="A13" s="138"/>
      <c r="B13" s="138"/>
      <c r="C13" s="138"/>
      <c r="D13" s="33" t="s">
        <v>30</v>
      </c>
      <c r="E13" s="33" t="s">
        <v>25</v>
      </c>
      <c r="F13" s="33" t="s">
        <v>25</v>
      </c>
      <c r="G13" s="32" t="s">
        <v>75</v>
      </c>
      <c r="H13" s="32" t="s">
        <v>71</v>
      </c>
      <c r="I13" s="32">
        <f>'MERCADO TE'!$U$10</f>
        <v>457.44400000000002</v>
      </c>
      <c r="J13" s="17"/>
      <c r="L13" s="30">
        <f>1 - CUSTOS!$M$25</f>
        <v>1</v>
      </c>
      <c r="M13" s="30">
        <f>1 - CUSTOS!$M$25</f>
        <v>1</v>
      </c>
      <c r="N13" s="30">
        <f>1 - CUSTOS!$M$25</f>
        <v>1</v>
      </c>
      <c r="O13" s="30">
        <f>1 - CUSTOS!$M$25</f>
        <v>1</v>
      </c>
      <c r="P13" s="30"/>
      <c r="Q13" s="30">
        <f>(1 - CUSTOS!$M$25)*1</f>
        <v>1</v>
      </c>
      <c r="R13" s="30"/>
      <c r="S13" s="30">
        <f>1 - CUSTOS!$M$25</f>
        <v>1</v>
      </c>
      <c r="T13" s="30">
        <f>1 - CUSTOS!$M$25</f>
        <v>1</v>
      </c>
      <c r="U13" s="30">
        <f>1 - CUSTOS!$M$25</f>
        <v>1</v>
      </c>
      <c r="V13" s="30"/>
      <c r="W13" s="30"/>
      <c r="X13" s="30"/>
      <c r="Y13" s="30">
        <f>1 - CUSTOS!$M$25</f>
        <v>1</v>
      </c>
      <c r="Z13" s="30"/>
      <c r="AA13" s="30"/>
    </row>
    <row r="14" spans="1:27" ht="11.25" customHeight="1" x14ac:dyDescent="0.25">
      <c r="A14" s="138"/>
      <c r="B14" s="138"/>
      <c r="C14" s="138"/>
      <c r="D14" s="33" t="s">
        <v>31</v>
      </c>
      <c r="E14" s="33" t="s">
        <v>25</v>
      </c>
      <c r="F14" s="33" t="s">
        <v>25</v>
      </c>
      <c r="G14" s="32" t="s">
        <v>75</v>
      </c>
      <c r="H14" s="32" t="s">
        <v>71</v>
      </c>
      <c r="I14" s="32">
        <f>'MERCADO TE'!$U$11</f>
        <v>365.92600000000004</v>
      </c>
      <c r="J14" s="17"/>
      <c r="L14" s="30">
        <f>1 - CUSTOS!$M$26</f>
        <v>1</v>
      </c>
      <c r="M14" s="30">
        <f>1 - CUSTOS!$M$26</f>
        <v>1</v>
      </c>
      <c r="N14" s="30">
        <f>1 - CUSTOS!$M$26</f>
        <v>1</v>
      </c>
      <c r="O14" s="30">
        <f>1 - CUSTOS!$M$26</f>
        <v>1</v>
      </c>
      <c r="P14" s="30"/>
      <c r="Q14" s="30">
        <f>(1 - CUSTOS!$M$26)*1</f>
        <v>1</v>
      </c>
      <c r="R14" s="30"/>
      <c r="S14" s="30">
        <f>1 - CUSTOS!$M$26</f>
        <v>1</v>
      </c>
      <c r="T14" s="30">
        <f>1 - CUSTOS!$M$26</f>
        <v>1</v>
      </c>
      <c r="U14" s="30">
        <f>1 - CUSTOS!$M$26</f>
        <v>1</v>
      </c>
      <c r="V14" s="30"/>
      <c r="W14" s="30"/>
      <c r="X14" s="30"/>
      <c r="Y14" s="30">
        <f>1 - CUSTOS!$M$26</f>
        <v>1</v>
      </c>
      <c r="Z14" s="30"/>
      <c r="AA14" s="30"/>
    </row>
    <row r="15" spans="1:27" ht="11.25" customHeight="1" x14ac:dyDescent="0.25">
      <c r="A15" s="138"/>
      <c r="B15" s="138"/>
      <c r="C15" s="138"/>
      <c r="D15" s="33" t="s">
        <v>32</v>
      </c>
      <c r="E15" s="33" t="s">
        <v>25</v>
      </c>
      <c r="F15" s="33" t="s">
        <v>25</v>
      </c>
      <c r="G15" s="32" t="s">
        <v>75</v>
      </c>
      <c r="H15" s="32" t="s">
        <v>71</v>
      </c>
      <c r="I15" s="32">
        <f>'MERCADO TE'!$U$12</f>
        <v>81.745999999999995</v>
      </c>
      <c r="J15" s="17"/>
      <c r="L15" s="30">
        <f>1 - CUSTOS!$M$27</f>
        <v>1</v>
      </c>
      <c r="M15" s="30">
        <f>1 - CUSTOS!$M$27</f>
        <v>1</v>
      </c>
      <c r="N15" s="30">
        <f>1 - CUSTOS!$M$27</f>
        <v>1</v>
      </c>
      <c r="O15" s="30">
        <f>1 - CUSTOS!$M$27</f>
        <v>1</v>
      </c>
      <c r="P15" s="30"/>
      <c r="Q15" s="30">
        <f>(1 - CUSTOS!$M$27)*1</f>
        <v>1</v>
      </c>
      <c r="R15" s="30"/>
      <c r="S15" s="30">
        <f>1 - CUSTOS!$M$27</f>
        <v>1</v>
      </c>
      <c r="T15" s="30">
        <f>1 - CUSTOS!$M$27</f>
        <v>1</v>
      </c>
      <c r="U15" s="30">
        <f>1 - CUSTOS!$M$27</f>
        <v>1</v>
      </c>
      <c r="V15" s="30"/>
      <c r="W15" s="30"/>
      <c r="X15" s="30"/>
      <c r="Y15" s="30">
        <f>1 - CUSTOS!$M$27</f>
        <v>1</v>
      </c>
      <c r="Z15" s="30"/>
      <c r="AA15" s="30"/>
    </row>
    <row r="16" spans="1:27" ht="11.25" customHeight="1" x14ac:dyDescent="0.25">
      <c r="A16" s="138"/>
      <c r="B16" s="138" t="s">
        <v>85</v>
      </c>
      <c r="C16" s="138" t="s">
        <v>24</v>
      </c>
      <c r="D16" s="33" t="s">
        <v>24</v>
      </c>
      <c r="E16" s="33" t="s">
        <v>25</v>
      </c>
      <c r="F16" s="33" t="s">
        <v>25</v>
      </c>
      <c r="G16" s="32" t="s">
        <v>75</v>
      </c>
      <c r="H16" s="32" t="s">
        <v>71</v>
      </c>
      <c r="I16" s="32">
        <f>'MERCADO TE'!$U$13</f>
        <v>0</v>
      </c>
      <c r="J16" s="17"/>
      <c r="L16" s="30">
        <v>1</v>
      </c>
      <c r="M16" s="30">
        <v>1</v>
      </c>
      <c r="N16" s="30">
        <v>1</v>
      </c>
      <c r="O16" s="30">
        <v>1</v>
      </c>
      <c r="P16" s="30"/>
      <c r="Q16" s="30">
        <v>1</v>
      </c>
      <c r="R16" s="30"/>
      <c r="S16" s="30">
        <v>1</v>
      </c>
      <c r="T16" s="30">
        <v>1</v>
      </c>
      <c r="U16" s="30">
        <v>1</v>
      </c>
      <c r="V16" s="30"/>
      <c r="W16" s="30"/>
      <c r="X16" s="30"/>
      <c r="Y16" s="30">
        <v>1</v>
      </c>
      <c r="Z16" s="30"/>
      <c r="AA16" s="30"/>
    </row>
    <row r="17" spans="1:27" ht="11.25" customHeight="1" x14ac:dyDescent="0.25">
      <c r="A17" s="138"/>
      <c r="B17" s="138"/>
      <c r="C17" s="138"/>
      <c r="D17" s="33" t="s">
        <v>29</v>
      </c>
      <c r="E17" s="33" t="s">
        <v>25</v>
      </c>
      <c r="F17" s="33" t="s">
        <v>25</v>
      </c>
      <c r="G17" s="32" t="s">
        <v>75</v>
      </c>
      <c r="H17" s="32" t="s">
        <v>71</v>
      </c>
      <c r="I17" s="32">
        <f>'MERCADO TE'!$U$14</f>
        <v>0</v>
      </c>
      <c r="J17" s="17"/>
      <c r="L17" s="30">
        <f>1 - CUSTOS!$M$24</f>
        <v>1</v>
      </c>
      <c r="M17" s="30">
        <f>1 - CUSTOS!$M$24</f>
        <v>1</v>
      </c>
      <c r="N17" s="30">
        <f>1 - CUSTOS!$M$24</f>
        <v>1</v>
      </c>
      <c r="O17" s="30">
        <f>1 - CUSTOS!$M$24</f>
        <v>1</v>
      </c>
      <c r="P17" s="30"/>
      <c r="Q17" s="30">
        <f>(1 - CUSTOS!$M$24)*1</f>
        <v>1</v>
      </c>
      <c r="R17" s="30"/>
      <c r="S17" s="30">
        <f>1 - CUSTOS!$M$24</f>
        <v>1</v>
      </c>
      <c r="T17" s="30">
        <f>1 - CUSTOS!$M$24</f>
        <v>1</v>
      </c>
      <c r="U17" s="30">
        <f>1 - CUSTOS!$M$24</f>
        <v>1</v>
      </c>
      <c r="V17" s="30"/>
      <c r="W17" s="30"/>
      <c r="X17" s="30"/>
      <c r="Y17" s="30">
        <f>1 - CUSTOS!$M$24</f>
        <v>1</v>
      </c>
      <c r="Z17" s="30"/>
      <c r="AA17" s="30"/>
    </row>
    <row r="18" spans="1:27" ht="11.25" customHeight="1" x14ac:dyDescent="0.25">
      <c r="A18" s="138"/>
      <c r="B18" s="138"/>
      <c r="C18" s="138"/>
      <c r="D18" s="33" t="s">
        <v>30</v>
      </c>
      <c r="E18" s="33" t="s">
        <v>25</v>
      </c>
      <c r="F18" s="33" t="s">
        <v>25</v>
      </c>
      <c r="G18" s="32" t="s">
        <v>75</v>
      </c>
      <c r="H18" s="32" t="s">
        <v>71</v>
      </c>
      <c r="I18" s="32">
        <f>'MERCADO TE'!$U$15</f>
        <v>0</v>
      </c>
      <c r="J18" s="17"/>
      <c r="L18" s="30">
        <f>1 - CUSTOS!$M$25</f>
        <v>1</v>
      </c>
      <c r="M18" s="30">
        <f>1 - CUSTOS!$M$25</f>
        <v>1</v>
      </c>
      <c r="N18" s="30">
        <f>1 - CUSTOS!$M$25</f>
        <v>1</v>
      </c>
      <c r="O18" s="30">
        <f>1 - CUSTOS!$M$25</f>
        <v>1</v>
      </c>
      <c r="P18" s="30"/>
      <c r="Q18" s="30">
        <f>(1 - CUSTOS!$M$25)*1</f>
        <v>1</v>
      </c>
      <c r="R18" s="30"/>
      <c r="S18" s="30">
        <f>1 - CUSTOS!$M$25</f>
        <v>1</v>
      </c>
      <c r="T18" s="30">
        <f>1 - CUSTOS!$M$25</f>
        <v>1</v>
      </c>
      <c r="U18" s="30">
        <f>1 - CUSTOS!$M$25</f>
        <v>1</v>
      </c>
      <c r="V18" s="30"/>
      <c r="W18" s="30"/>
      <c r="X18" s="30"/>
      <c r="Y18" s="30">
        <f>1 - CUSTOS!$M$25</f>
        <v>1</v>
      </c>
      <c r="Z18" s="30"/>
      <c r="AA18" s="30"/>
    </row>
    <row r="19" spans="1:27" ht="11.25" customHeight="1" x14ac:dyDescent="0.25">
      <c r="A19" s="138"/>
      <c r="B19" s="138"/>
      <c r="C19" s="138"/>
      <c r="D19" s="33" t="s">
        <v>31</v>
      </c>
      <c r="E19" s="33" t="s">
        <v>25</v>
      </c>
      <c r="F19" s="33" t="s">
        <v>25</v>
      </c>
      <c r="G19" s="32" t="s">
        <v>75</v>
      </c>
      <c r="H19" s="32" t="s">
        <v>71</v>
      </c>
      <c r="I19" s="32">
        <f>'MERCADO TE'!$U$16</f>
        <v>0</v>
      </c>
      <c r="J19" s="17"/>
      <c r="L19" s="30">
        <f>1 - CUSTOS!$M$26</f>
        <v>1</v>
      </c>
      <c r="M19" s="30">
        <f>1 - CUSTOS!$M$26</f>
        <v>1</v>
      </c>
      <c r="N19" s="30">
        <f>1 - CUSTOS!$M$26</f>
        <v>1</v>
      </c>
      <c r="O19" s="30">
        <f>1 - CUSTOS!$M$26</f>
        <v>1</v>
      </c>
      <c r="P19" s="30"/>
      <c r="Q19" s="30">
        <f>(1 - CUSTOS!$M$26)*1</f>
        <v>1</v>
      </c>
      <c r="R19" s="30"/>
      <c r="S19" s="30">
        <f>1 - CUSTOS!$M$26</f>
        <v>1</v>
      </c>
      <c r="T19" s="30">
        <f>1 - CUSTOS!$M$26</f>
        <v>1</v>
      </c>
      <c r="U19" s="30">
        <f>1 - CUSTOS!$M$26</f>
        <v>1</v>
      </c>
      <c r="V19" s="30"/>
      <c r="W19" s="30"/>
      <c r="X19" s="30"/>
      <c r="Y19" s="30">
        <f>1 - CUSTOS!$M$26</f>
        <v>1</v>
      </c>
      <c r="Z19" s="30"/>
      <c r="AA19" s="30"/>
    </row>
    <row r="20" spans="1:27" ht="11.25" customHeight="1" x14ac:dyDescent="0.25">
      <c r="A20" s="138"/>
      <c r="B20" s="138"/>
      <c r="C20" s="138"/>
      <c r="D20" s="33" t="s">
        <v>32</v>
      </c>
      <c r="E20" s="33" t="s">
        <v>25</v>
      </c>
      <c r="F20" s="33" t="s">
        <v>25</v>
      </c>
      <c r="G20" s="32" t="s">
        <v>75</v>
      </c>
      <c r="H20" s="32" t="s">
        <v>71</v>
      </c>
      <c r="I20" s="32">
        <f>'MERCADO TE'!$U$17</f>
        <v>0</v>
      </c>
      <c r="J20" s="17"/>
      <c r="L20" s="30">
        <f>1 - CUSTOS!$M$27</f>
        <v>1</v>
      </c>
      <c r="M20" s="30">
        <f>1 - CUSTOS!$M$27</f>
        <v>1</v>
      </c>
      <c r="N20" s="30">
        <f>1 - CUSTOS!$M$27</f>
        <v>1</v>
      </c>
      <c r="O20" s="30">
        <f>1 - CUSTOS!$M$27</f>
        <v>1</v>
      </c>
      <c r="P20" s="30"/>
      <c r="Q20" s="30">
        <f>(1 - CUSTOS!$M$27)*1</f>
        <v>1</v>
      </c>
      <c r="R20" s="30"/>
      <c r="S20" s="30">
        <f>1 - CUSTOS!$M$27</f>
        <v>1</v>
      </c>
      <c r="T20" s="30">
        <f>1 - CUSTOS!$M$27</f>
        <v>1</v>
      </c>
      <c r="U20" s="30">
        <f>1 - CUSTOS!$M$27</f>
        <v>1</v>
      </c>
      <c r="V20" s="30"/>
      <c r="W20" s="30"/>
      <c r="X20" s="30"/>
      <c r="Y20" s="30">
        <f>1 - CUSTOS!$M$27</f>
        <v>1</v>
      </c>
      <c r="Z20" s="30"/>
      <c r="AA20" s="30"/>
    </row>
    <row r="21" spans="1:27" ht="11.25" customHeight="1" x14ac:dyDescent="0.25">
      <c r="A21" s="138" t="s">
        <v>43</v>
      </c>
      <c r="B21" s="138" t="s">
        <v>70</v>
      </c>
      <c r="C21" s="138" t="s">
        <v>44</v>
      </c>
      <c r="D21" s="138" t="s">
        <v>25</v>
      </c>
      <c r="E21" s="138" t="s">
        <v>25</v>
      </c>
      <c r="F21" s="138" t="s">
        <v>25</v>
      </c>
      <c r="G21" s="32" t="s">
        <v>72</v>
      </c>
      <c r="H21" s="32" t="s">
        <v>71</v>
      </c>
      <c r="I21" s="32">
        <f>'MERCADO TE'!$U$18</f>
        <v>0</v>
      </c>
      <c r="J21" s="17"/>
      <c r="L21" s="30">
        <f>1 - CUSTOS!$M$28</f>
        <v>1</v>
      </c>
      <c r="M21" s="30">
        <f>1 - CUSTOS!$M$28</f>
        <v>1</v>
      </c>
      <c r="N21" s="30">
        <f>1 - CUSTOS!$M$28</f>
        <v>1</v>
      </c>
      <c r="O21" s="30">
        <f>1 - CUSTOS!$M$28</f>
        <v>1</v>
      </c>
      <c r="P21" s="30"/>
      <c r="Q21" s="30">
        <f>(1 - CUSTOS!$M$28)*1</f>
        <v>1</v>
      </c>
      <c r="R21" s="30"/>
      <c r="S21" s="30">
        <f>1 - CUSTOS!$M$28</f>
        <v>1</v>
      </c>
      <c r="T21" s="30">
        <f>1 - CUSTOS!$M$28</f>
        <v>1</v>
      </c>
      <c r="U21" s="30">
        <f>1 - CUSTOS!$M$28</f>
        <v>1</v>
      </c>
      <c r="V21" s="30"/>
      <c r="W21" s="30"/>
      <c r="X21" s="30"/>
      <c r="Y21" s="30">
        <f>1 - CUSTOS!$M$28</f>
        <v>1</v>
      </c>
      <c r="Z21" s="30"/>
      <c r="AA21" s="30"/>
    </row>
    <row r="22" spans="1:27" ht="11.25" customHeight="1" x14ac:dyDescent="0.25">
      <c r="A22" s="138"/>
      <c r="B22" s="138"/>
      <c r="C22" s="138"/>
      <c r="D22" s="138"/>
      <c r="E22" s="138"/>
      <c r="F22" s="138"/>
      <c r="G22" s="32" t="s">
        <v>84</v>
      </c>
      <c r="H22" s="32" t="s">
        <v>71</v>
      </c>
      <c r="I22" s="32">
        <f>'MERCADO TE'!$U$19</f>
        <v>0</v>
      </c>
      <c r="J22" s="17"/>
      <c r="L22" s="30">
        <f>1 - CUSTOS!$M$28</f>
        <v>1</v>
      </c>
      <c r="M22" s="30">
        <f>1 - CUSTOS!$M$28</f>
        <v>1</v>
      </c>
      <c r="N22" s="30">
        <f>1 - CUSTOS!$M$28</f>
        <v>1</v>
      </c>
      <c r="O22" s="30">
        <f>1 - CUSTOS!$M$28</f>
        <v>1</v>
      </c>
      <c r="P22" s="30"/>
      <c r="Q22" s="30">
        <f>(1 - CUSTOS!$M$28)*1</f>
        <v>1</v>
      </c>
      <c r="R22" s="30"/>
      <c r="S22" s="30">
        <f>1 - CUSTOS!$M$28</f>
        <v>1</v>
      </c>
      <c r="T22" s="30">
        <f>1 - CUSTOS!$M$28</f>
        <v>1</v>
      </c>
      <c r="U22" s="30">
        <f>1 - CUSTOS!$M$28</f>
        <v>1</v>
      </c>
      <c r="V22" s="30"/>
      <c r="W22" s="30"/>
      <c r="X22" s="30"/>
      <c r="Y22" s="30">
        <f>1 - CUSTOS!$M$28</f>
        <v>1</v>
      </c>
      <c r="Z22" s="30"/>
      <c r="AA22" s="30"/>
    </row>
    <row r="23" spans="1:27" ht="11.25" customHeight="1" x14ac:dyDescent="0.25">
      <c r="A23" s="138"/>
      <c r="B23" s="138"/>
      <c r="C23" s="138"/>
      <c r="D23" s="138"/>
      <c r="E23" s="138"/>
      <c r="F23" s="138"/>
      <c r="G23" s="32" t="s">
        <v>73</v>
      </c>
      <c r="H23" s="32" t="s">
        <v>71</v>
      </c>
      <c r="I23" s="32">
        <f>'MERCADO TE'!$U$20</f>
        <v>0</v>
      </c>
      <c r="J23" s="17"/>
      <c r="L23" s="30">
        <f>1 - CUSTOS!$M$28</f>
        <v>1</v>
      </c>
      <c r="M23" s="30">
        <f>1 - CUSTOS!$M$28</f>
        <v>1</v>
      </c>
      <c r="N23" s="30">
        <f>1 - CUSTOS!$M$28</f>
        <v>1</v>
      </c>
      <c r="O23" s="30">
        <f>1 - CUSTOS!$M$28</f>
        <v>1</v>
      </c>
      <c r="P23" s="30"/>
      <c r="Q23" s="30">
        <f>(1 - CUSTOS!$M$28)*1</f>
        <v>1</v>
      </c>
      <c r="R23" s="30"/>
      <c r="S23" s="30">
        <f>1 - CUSTOS!$M$28</f>
        <v>1</v>
      </c>
      <c r="T23" s="30">
        <f>1 - CUSTOS!$M$28</f>
        <v>1</v>
      </c>
      <c r="U23" s="30">
        <f>1 - CUSTOS!$M$28</f>
        <v>1</v>
      </c>
      <c r="V23" s="30"/>
      <c r="W23" s="30"/>
      <c r="X23" s="30"/>
      <c r="Y23" s="30">
        <f>1 - CUSTOS!$M$28</f>
        <v>1</v>
      </c>
      <c r="Z23" s="30"/>
      <c r="AA23" s="30"/>
    </row>
    <row r="24" spans="1:27" ht="11.25" customHeight="1" x14ac:dyDescent="0.25">
      <c r="A24" s="138"/>
      <c r="B24" s="33" t="s">
        <v>74</v>
      </c>
      <c r="C24" s="33" t="s">
        <v>44</v>
      </c>
      <c r="D24" s="33" t="s">
        <v>25</v>
      </c>
      <c r="E24" s="33" t="s">
        <v>25</v>
      </c>
      <c r="F24" s="33" t="s">
        <v>25</v>
      </c>
      <c r="G24" s="32" t="s">
        <v>75</v>
      </c>
      <c r="H24" s="32" t="s">
        <v>71</v>
      </c>
      <c r="I24" s="32">
        <f>'MERCADO TE'!$U$21</f>
        <v>3313.4050000000002</v>
      </c>
      <c r="J24" s="17"/>
      <c r="L24" s="30">
        <f>1 - CUSTOS!$M$28</f>
        <v>1</v>
      </c>
      <c r="M24" s="30">
        <f>1 - CUSTOS!$M$28</f>
        <v>1</v>
      </c>
      <c r="N24" s="30">
        <f>1 - CUSTOS!$M$28</f>
        <v>1</v>
      </c>
      <c r="O24" s="30">
        <f>1 - CUSTOS!$M$28</f>
        <v>1</v>
      </c>
      <c r="P24" s="30"/>
      <c r="Q24" s="30">
        <f>(1 - CUSTOS!$M$28)*1</f>
        <v>1</v>
      </c>
      <c r="R24" s="30"/>
      <c r="S24" s="30">
        <f>1 - CUSTOS!$M$28</f>
        <v>1</v>
      </c>
      <c r="T24" s="30">
        <f>1 - CUSTOS!$M$28</f>
        <v>1</v>
      </c>
      <c r="U24" s="30">
        <f>1 - CUSTOS!$M$28</f>
        <v>1</v>
      </c>
      <c r="V24" s="30"/>
      <c r="W24" s="30"/>
      <c r="X24" s="30"/>
      <c r="Y24" s="30">
        <f>1 - CUSTOS!$M$28</f>
        <v>1</v>
      </c>
      <c r="Z24" s="30"/>
      <c r="AA24" s="30"/>
    </row>
    <row r="25" spans="1:27" ht="11.25" customHeight="1" x14ac:dyDescent="0.25">
      <c r="A25" s="138"/>
      <c r="B25" s="138" t="s">
        <v>70</v>
      </c>
      <c r="C25" s="138" t="s">
        <v>44</v>
      </c>
      <c r="D25" s="138" t="s">
        <v>87</v>
      </c>
      <c r="E25" s="138" t="s">
        <v>25</v>
      </c>
      <c r="F25" s="138" t="s">
        <v>25</v>
      </c>
      <c r="G25" s="32" t="s">
        <v>72</v>
      </c>
      <c r="H25" s="32" t="s">
        <v>71</v>
      </c>
      <c r="I25" s="32">
        <f>'MERCADO TE'!$U$22</f>
        <v>0</v>
      </c>
      <c r="J25" s="17"/>
      <c r="L25" s="30">
        <f>1 - CUSTOS!$M$29</f>
        <v>1</v>
      </c>
      <c r="M25" s="30">
        <f>1 - CUSTOS!$M$29</f>
        <v>1</v>
      </c>
      <c r="N25" s="30">
        <f>1 - CUSTOS!$M$29</f>
        <v>1</v>
      </c>
      <c r="O25" s="30">
        <f>1 - CUSTOS!$M$29</f>
        <v>1</v>
      </c>
      <c r="P25" s="30"/>
      <c r="Q25" s="30">
        <f>(1 - CUSTOS!$M$29)*1</f>
        <v>1</v>
      </c>
      <c r="R25" s="30"/>
      <c r="S25" s="30">
        <f>1 - CUSTOS!$M$29</f>
        <v>1</v>
      </c>
      <c r="T25" s="30">
        <f>1 - CUSTOS!$M$29</f>
        <v>1</v>
      </c>
      <c r="U25" s="30">
        <f>1 - CUSTOS!$M$29</f>
        <v>1</v>
      </c>
      <c r="V25" s="30"/>
      <c r="W25" s="30"/>
      <c r="X25" s="30"/>
      <c r="Y25" s="30">
        <f>1 - CUSTOS!$M$29</f>
        <v>1</v>
      </c>
      <c r="Z25" s="30"/>
      <c r="AA25" s="30"/>
    </row>
    <row r="26" spans="1:27" ht="11.25" customHeight="1" x14ac:dyDescent="0.25">
      <c r="A26" s="138"/>
      <c r="B26" s="138"/>
      <c r="C26" s="138"/>
      <c r="D26" s="138"/>
      <c r="E26" s="138"/>
      <c r="F26" s="138"/>
      <c r="G26" s="32" t="s">
        <v>84</v>
      </c>
      <c r="H26" s="32" t="s">
        <v>71</v>
      </c>
      <c r="I26" s="32">
        <f>'MERCADO TE'!$U$23</f>
        <v>0</v>
      </c>
      <c r="J26" s="17"/>
      <c r="L26" s="30">
        <f>1 - CUSTOS!$M$29</f>
        <v>1</v>
      </c>
      <c r="M26" s="30">
        <f>1 - CUSTOS!$M$29</f>
        <v>1</v>
      </c>
      <c r="N26" s="30">
        <f>1 - CUSTOS!$M$29</f>
        <v>1</v>
      </c>
      <c r="O26" s="30">
        <f>1 - CUSTOS!$M$29</f>
        <v>1</v>
      </c>
      <c r="P26" s="30"/>
      <c r="Q26" s="30">
        <f>(1 - CUSTOS!$M$29)*1</f>
        <v>1</v>
      </c>
      <c r="R26" s="30"/>
      <c r="S26" s="30">
        <f>1 - CUSTOS!$M$29</f>
        <v>1</v>
      </c>
      <c r="T26" s="30">
        <f>1 - CUSTOS!$M$29</f>
        <v>1</v>
      </c>
      <c r="U26" s="30">
        <f>1 - CUSTOS!$M$29</f>
        <v>1</v>
      </c>
      <c r="V26" s="30"/>
      <c r="W26" s="30"/>
      <c r="X26" s="30"/>
      <c r="Y26" s="30">
        <f>1 - CUSTOS!$M$29</f>
        <v>1</v>
      </c>
      <c r="Z26" s="30"/>
      <c r="AA26" s="30"/>
    </row>
    <row r="27" spans="1:27" ht="11.25" customHeight="1" x14ac:dyDescent="0.25">
      <c r="A27" s="138"/>
      <c r="B27" s="138"/>
      <c r="C27" s="138"/>
      <c r="D27" s="138"/>
      <c r="E27" s="138"/>
      <c r="F27" s="138"/>
      <c r="G27" s="32" t="s">
        <v>73</v>
      </c>
      <c r="H27" s="32" t="s">
        <v>71</v>
      </c>
      <c r="I27" s="32">
        <f>'MERCADO TE'!$U$24</f>
        <v>0</v>
      </c>
      <c r="J27" s="17"/>
      <c r="L27" s="30">
        <f>1 - CUSTOS!$M$29</f>
        <v>1</v>
      </c>
      <c r="M27" s="30">
        <f>1 - CUSTOS!$M$29</f>
        <v>1</v>
      </c>
      <c r="N27" s="30">
        <f>1 - CUSTOS!$M$29</f>
        <v>1</v>
      </c>
      <c r="O27" s="30">
        <f>1 - CUSTOS!$M$29</f>
        <v>1</v>
      </c>
      <c r="P27" s="30"/>
      <c r="Q27" s="30">
        <f>(1 - CUSTOS!$M$29)*1</f>
        <v>1</v>
      </c>
      <c r="R27" s="30"/>
      <c r="S27" s="30">
        <f>1 - CUSTOS!$M$29</f>
        <v>1</v>
      </c>
      <c r="T27" s="30">
        <f>1 - CUSTOS!$M$29</f>
        <v>1</v>
      </c>
      <c r="U27" s="30">
        <f>1 - CUSTOS!$M$29</f>
        <v>1</v>
      </c>
      <c r="V27" s="30"/>
      <c r="W27" s="30"/>
      <c r="X27" s="30"/>
      <c r="Y27" s="30">
        <f>1 - CUSTOS!$M$29</f>
        <v>1</v>
      </c>
      <c r="Z27" s="30"/>
      <c r="AA27" s="30"/>
    </row>
    <row r="28" spans="1:27" ht="11.25" customHeight="1" x14ac:dyDescent="0.25">
      <c r="A28" s="138"/>
      <c r="B28" s="33" t="s">
        <v>74</v>
      </c>
      <c r="C28" s="33" t="s">
        <v>44</v>
      </c>
      <c r="D28" s="33" t="s">
        <v>87</v>
      </c>
      <c r="E28" s="33" t="s">
        <v>25</v>
      </c>
      <c r="F28" s="33" t="s">
        <v>25</v>
      </c>
      <c r="G28" s="32" t="s">
        <v>75</v>
      </c>
      <c r="H28" s="32" t="s">
        <v>71</v>
      </c>
      <c r="I28" s="32">
        <f>'MERCADO TE'!$U$25</f>
        <v>0</v>
      </c>
      <c r="J28" s="17"/>
      <c r="L28" s="30">
        <f>1 - CUSTOS!$M$29</f>
        <v>1</v>
      </c>
      <c r="M28" s="30">
        <f>1 - CUSTOS!$M$29</f>
        <v>1</v>
      </c>
      <c r="N28" s="30">
        <f>1 - CUSTOS!$M$29</f>
        <v>1</v>
      </c>
      <c r="O28" s="30">
        <f>1 - CUSTOS!$M$29</f>
        <v>1</v>
      </c>
      <c r="P28" s="30"/>
      <c r="Q28" s="30">
        <f>(1 - CUSTOS!$M$29)*1</f>
        <v>1</v>
      </c>
      <c r="R28" s="30"/>
      <c r="S28" s="30">
        <f>1 - CUSTOS!$M$29</f>
        <v>1</v>
      </c>
      <c r="T28" s="30">
        <f>1 - CUSTOS!$M$29</f>
        <v>1</v>
      </c>
      <c r="U28" s="30">
        <f>1 - CUSTOS!$M$29</f>
        <v>1</v>
      </c>
      <c r="V28" s="30"/>
      <c r="W28" s="30"/>
      <c r="X28" s="30"/>
      <c r="Y28" s="30">
        <f>1 - CUSTOS!$M$29</f>
        <v>1</v>
      </c>
      <c r="Z28" s="30"/>
      <c r="AA28" s="30"/>
    </row>
    <row r="29" spans="1:27" ht="11.25" customHeight="1" x14ac:dyDescent="0.25">
      <c r="A29" s="138"/>
      <c r="B29" s="138" t="s">
        <v>70</v>
      </c>
      <c r="C29" s="138" t="s">
        <v>44</v>
      </c>
      <c r="D29" s="138" t="s">
        <v>88</v>
      </c>
      <c r="E29" s="138" t="s">
        <v>25</v>
      </c>
      <c r="F29" s="138" t="s">
        <v>25</v>
      </c>
      <c r="G29" s="32" t="s">
        <v>72</v>
      </c>
      <c r="H29" s="32" t="s">
        <v>71</v>
      </c>
      <c r="I29" s="32">
        <f>'MERCADO TE'!$U$26</f>
        <v>0</v>
      </c>
      <c r="J29" s="17"/>
      <c r="L29" s="30">
        <f>1 - CUSTOS!$M$30</f>
        <v>1</v>
      </c>
      <c r="M29" s="30">
        <f>1 - CUSTOS!$M$30</f>
        <v>1</v>
      </c>
      <c r="N29" s="30">
        <f>1 - CUSTOS!$M$30</f>
        <v>1</v>
      </c>
      <c r="O29" s="30">
        <f>1 - CUSTOS!$M$30</f>
        <v>1</v>
      </c>
      <c r="P29" s="30"/>
      <c r="Q29" s="30">
        <f>(1 - CUSTOS!$M$30)*1</f>
        <v>1</v>
      </c>
      <c r="R29" s="30"/>
      <c r="S29" s="30">
        <f>1 - CUSTOS!$M$30</f>
        <v>1</v>
      </c>
      <c r="T29" s="30">
        <f>1 - CUSTOS!$M$30</f>
        <v>1</v>
      </c>
      <c r="U29" s="30">
        <f>1 - CUSTOS!$M$30</f>
        <v>1</v>
      </c>
      <c r="V29" s="30"/>
      <c r="W29" s="30"/>
      <c r="X29" s="30"/>
      <c r="Y29" s="30">
        <f>1 - CUSTOS!$M$30</f>
        <v>1</v>
      </c>
      <c r="Z29" s="30"/>
      <c r="AA29" s="30"/>
    </row>
    <row r="30" spans="1:27" ht="11.25" customHeight="1" x14ac:dyDescent="0.25">
      <c r="A30" s="138"/>
      <c r="B30" s="138"/>
      <c r="C30" s="138"/>
      <c r="D30" s="138"/>
      <c r="E30" s="138"/>
      <c r="F30" s="138"/>
      <c r="G30" s="32" t="s">
        <v>84</v>
      </c>
      <c r="H30" s="32" t="s">
        <v>71</v>
      </c>
      <c r="I30" s="32">
        <f>'MERCADO TE'!$U$27</f>
        <v>0</v>
      </c>
      <c r="J30" s="17"/>
      <c r="L30" s="30">
        <f>1 - CUSTOS!$M$30</f>
        <v>1</v>
      </c>
      <c r="M30" s="30">
        <f>1 - CUSTOS!$M$30</f>
        <v>1</v>
      </c>
      <c r="N30" s="30">
        <f>1 - CUSTOS!$M$30</f>
        <v>1</v>
      </c>
      <c r="O30" s="30">
        <f>1 - CUSTOS!$M$30</f>
        <v>1</v>
      </c>
      <c r="P30" s="30"/>
      <c r="Q30" s="30">
        <f>(1 - CUSTOS!$M$30)*1</f>
        <v>1</v>
      </c>
      <c r="R30" s="30"/>
      <c r="S30" s="30">
        <f>1 - CUSTOS!$M$30</f>
        <v>1</v>
      </c>
      <c r="T30" s="30">
        <f>1 - CUSTOS!$M$30</f>
        <v>1</v>
      </c>
      <c r="U30" s="30">
        <f>1 - CUSTOS!$M$30</f>
        <v>1</v>
      </c>
      <c r="V30" s="30"/>
      <c r="W30" s="30"/>
      <c r="X30" s="30"/>
      <c r="Y30" s="30">
        <f>1 - CUSTOS!$M$30</f>
        <v>1</v>
      </c>
      <c r="Z30" s="30"/>
      <c r="AA30" s="30"/>
    </row>
    <row r="31" spans="1:27" ht="11.25" customHeight="1" x14ac:dyDescent="0.25">
      <c r="A31" s="138"/>
      <c r="B31" s="138"/>
      <c r="C31" s="138"/>
      <c r="D31" s="138"/>
      <c r="E31" s="138"/>
      <c r="F31" s="138"/>
      <c r="G31" s="32" t="s">
        <v>73</v>
      </c>
      <c r="H31" s="32" t="s">
        <v>71</v>
      </c>
      <c r="I31" s="32">
        <f>'MERCADO TE'!$U$28</f>
        <v>0</v>
      </c>
      <c r="J31" s="17"/>
      <c r="L31" s="30">
        <f>1 - CUSTOS!$M$30</f>
        <v>1</v>
      </c>
      <c r="M31" s="30">
        <f>1 - CUSTOS!$M$30</f>
        <v>1</v>
      </c>
      <c r="N31" s="30">
        <f>1 - CUSTOS!$M$30</f>
        <v>1</v>
      </c>
      <c r="O31" s="30">
        <f>1 - CUSTOS!$M$30</f>
        <v>1</v>
      </c>
      <c r="P31" s="30"/>
      <c r="Q31" s="30">
        <f>(1 - CUSTOS!$M$30)*1</f>
        <v>1</v>
      </c>
      <c r="R31" s="30"/>
      <c r="S31" s="30">
        <f>1 - CUSTOS!$M$30</f>
        <v>1</v>
      </c>
      <c r="T31" s="30">
        <f>1 - CUSTOS!$M$30</f>
        <v>1</v>
      </c>
      <c r="U31" s="30">
        <f>1 - CUSTOS!$M$30</f>
        <v>1</v>
      </c>
      <c r="V31" s="30"/>
      <c r="W31" s="30"/>
      <c r="X31" s="30"/>
      <c r="Y31" s="30">
        <f>1 - CUSTOS!$M$30</f>
        <v>1</v>
      </c>
      <c r="Z31" s="30"/>
      <c r="AA31" s="30"/>
    </row>
    <row r="32" spans="1:27" ht="11.25" customHeight="1" x14ac:dyDescent="0.25">
      <c r="A32" s="138"/>
      <c r="B32" s="33" t="s">
        <v>74</v>
      </c>
      <c r="C32" s="33" t="s">
        <v>44</v>
      </c>
      <c r="D32" s="33" t="s">
        <v>88</v>
      </c>
      <c r="E32" s="33" t="s">
        <v>25</v>
      </c>
      <c r="F32" s="33" t="s">
        <v>25</v>
      </c>
      <c r="G32" s="32" t="s">
        <v>75</v>
      </c>
      <c r="H32" s="32" t="s">
        <v>71</v>
      </c>
      <c r="I32" s="32">
        <f>'MERCADO TE'!$U$29</f>
        <v>0</v>
      </c>
      <c r="J32" s="17"/>
      <c r="L32" s="30">
        <f>1 - CUSTOS!$M$30</f>
        <v>1</v>
      </c>
      <c r="M32" s="30">
        <f>1 - CUSTOS!$M$30</f>
        <v>1</v>
      </c>
      <c r="N32" s="30">
        <f>1 - CUSTOS!$M$30</f>
        <v>1</v>
      </c>
      <c r="O32" s="30">
        <f>1 - CUSTOS!$M$30</f>
        <v>1</v>
      </c>
      <c r="P32" s="30"/>
      <c r="Q32" s="30">
        <f>(1 - CUSTOS!$M$30)*1</f>
        <v>1</v>
      </c>
      <c r="R32" s="30"/>
      <c r="S32" s="30">
        <f>1 - CUSTOS!$M$30</f>
        <v>1</v>
      </c>
      <c r="T32" s="30">
        <f>1 - CUSTOS!$M$30</f>
        <v>1</v>
      </c>
      <c r="U32" s="30">
        <f>1 - CUSTOS!$M$30</f>
        <v>1</v>
      </c>
      <c r="V32" s="30"/>
      <c r="W32" s="30"/>
      <c r="X32" s="30"/>
      <c r="Y32" s="30">
        <f>1 - CUSTOS!$M$30</f>
        <v>1</v>
      </c>
      <c r="Z32" s="30"/>
      <c r="AA32" s="30"/>
    </row>
    <row r="33" spans="1:27" ht="11.25" customHeight="1" x14ac:dyDescent="0.25">
      <c r="A33" s="138"/>
      <c r="B33" s="138" t="s">
        <v>85</v>
      </c>
      <c r="C33" s="138" t="s">
        <v>44</v>
      </c>
      <c r="D33" s="33" t="s">
        <v>25</v>
      </c>
      <c r="E33" s="33" t="s">
        <v>25</v>
      </c>
      <c r="F33" s="33" t="s">
        <v>25</v>
      </c>
      <c r="G33" s="32" t="s">
        <v>75</v>
      </c>
      <c r="H33" s="32" t="s">
        <v>71</v>
      </c>
      <c r="I33" s="32">
        <f>'MERCADO TE'!$U$30</f>
        <v>0</v>
      </c>
      <c r="J33" s="17"/>
      <c r="L33" s="30">
        <f>1 - CUSTOS!$M$28</f>
        <v>1</v>
      </c>
      <c r="M33" s="30">
        <f>1 - CUSTOS!$M$28</f>
        <v>1</v>
      </c>
      <c r="N33" s="30">
        <f>1 - CUSTOS!$M$28</f>
        <v>1</v>
      </c>
      <c r="O33" s="30">
        <f>1 - CUSTOS!$M$28</f>
        <v>1</v>
      </c>
      <c r="P33" s="30"/>
      <c r="Q33" s="30">
        <f>(1 - CUSTOS!$M$28)*1</f>
        <v>1</v>
      </c>
      <c r="R33" s="30"/>
      <c r="S33" s="30">
        <f>1 - CUSTOS!$M$28</f>
        <v>1</v>
      </c>
      <c r="T33" s="30">
        <f>1 - CUSTOS!$M$28</f>
        <v>1</v>
      </c>
      <c r="U33" s="30">
        <f>1 - CUSTOS!$M$28</f>
        <v>1</v>
      </c>
      <c r="V33" s="30"/>
      <c r="W33" s="30"/>
      <c r="X33" s="30"/>
      <c r="Y33" s="30">
        <f>1 - CUSTOS!$M$28</f>
        <v>1</v>
      </c>
      <c r="Z33" s="30"/>
      <c r="AA33" s="30"/>
    </row>
    <row r="34" spans="1:27" ht="11.25" customHeight="1" x14ac:dyDescent="0.25">
      <c r="A34" s="138"/>
      <c r="B34" s="138"/>
      <c r="C34" s="138"/>
      <c r="D34" s="33" t="s">
        <v>87</v>
      </c>
      <c r="E34" s="33" t="s">
        <v>25</v>
      </c>
      <c r="F34" s="33" t="s">
        <v>25</v>
      </c>
      <c r="G34" s="32" t="s">
        <v>75</v>
      </c>
      <c r="H34" s="32" t="s">
        <v>71</v>
      </c>
      <c r="I34" s="32">
        <f>'MERCADO TE'!$U$31</f>
        <v>0</v>
      </c>
      <c r="J34" s="17"/>
      <c r="L34" s="30">
        <f>1 - CUSTOS!$M$29</f>
        <v>1</v>
      </c>
      <c r="M34" s="30">
        <f>1 - CUSTOS!$M$29</f>
        <v>1</v>
      </c>
      <c r="N34" s="30">
        <f>1 - CUSTOS!$M$29</f>
        <v>1</v>
      </c>
      <c r="O34" s="30">
        <f>1 - CUSTOS!$M$29</f>
        <v>1</v>
      </c>
      <c r="P34" s="30"/>
      <c r="Q34" s="30">
        <f>(1 - CUSTOS!$M$29)*1</f>
        <v>1</v>
      </c>
      <c r="R34" s="30"/>
      <c r="S34" s="30">
        <f>1 - CUSTOS!$M$29</f>
        <v>1</v>
      </c>
      <c r="T34" s="30">
        <f>1 - CUSTOS!$M$29</f>
        <v>1</v>
      </c>
      <c r="U34" s="30">
        <f>1 - CUSTOS!$M$29</f>
        <v>1</v>
      </c>
      <c r="V34" s="30"/>
      <c r="W34" s="30"/>
      <c r="X34" s="30"/>
      <c r="Y34" s="30">
        <f>1 - CUSTOS!$M$29</f>
        <v>1</v>
      </c>
      <c r="Z34" s="30"/>
      <c r="AA34" s="30"/>
    </row>
    <row r="35" spans="1:27" ht="11.25" customHeight="1" x14ac:dyDescent="0.25">
      <c r="A35" s="138"/>
      <c r="B35" s="138"/>
      <c r="C35" s="138"/>
      <c r="D35" s="33" t="s">
        <v>88</v>
      </c>
      <c r="E35" s="33" t="s">
        <v>25</v>
      </c>
      <c r="F35" s="33" t="s">
        <v>25</v>
      </c>
      <c r="G35" s="32" t="s">
        <v>75</v>
      </c>
      <c r="H35" s="32" t="s">
        <v>71</v>
      </c>
      <c r="I35" s="32">
        <f>'MERCADO TE'!$U$32</f>
        <v>0</v>
      </c>
      <c r="J35" s="17"/>
      <c r="L35" s="30">
        <f>1 - CUSTOS!$M$30</f>
        <v>1</v>
      </c>
      <c r="M35" s="30">
        <f>1 - CUSTOS!$M$30</f>
        <v>1</v>
      </c>
      <c r="N35" s="30">
        <f>1 - CUSTOS!$M$30</f>
        <v>1</v>
      </c>
      <c r="O35" s="30">
        <f>1 - CUSTOS!$M$30</f>
        <v>1</v>
      </c>
      <c r="P35" s="30"/>
      <c r="Q35" s="30">
        <f>(1 - CUSTOS!$M$30)*1</f>
        <v>1</v>
      </c>
      <c r="R35" s="30"/>
      <c r="S35" s="30">
        <f>1 - CUSTOS!$M$30</f>
        <v>1</v>
      </c>
      <c r="T35" s="30">
        <f>1 - CUSTOS!$M$30</f>
        <v>1</v>
      </c>
      <c r="U35" s="30">
        <f>1 - CUSTOS!$M$30</f>
        <v>1</v>
      </c>
      <c r="V35" s="30"/>
      <c r="W35" s="30"/>
      <c r="X35" s="30"/>
      <c r="Y35" s="30">
        <f>1 - CUSTOS!$M$30</f>
        <v>1</v>
      </c>
      <c r="Z35" s="30"/>
      <c r="AA35" s="30"/>
    </row>
    <row r="36" spans="1:27" ht="11.25" customHeight="1" x14ac:dyDescent="0.25">
      <c r="A36" s="138" t="s">
        <v>39</v>
      </c>
      <c r="B36" s="138" t="s">
        <v>70</v>
      </c>
      <c r="C36" s="138" t="s">
        <v>25</v>
      </c>
      <c r="D36" s="138" t="s">
        <v>25</v>
      </c>
      <c r="E36" s="138" t="s">
        <v>25</v>
      </c>
      <c r="F36" s="138" t="s">
        <v>25</v>
      </c>
      <c r="G36" s="32" t="s">
        <v>72</v>
      </c>
      <c r="H36" s="32" t="s">
        <v>71</v>
      </c>
      <c r="I36" s="32">
        <f>'MERCADO TE'!$U$33</f>
        <v>0</v>
      </c>
      <c r="J36" s="17"/>
      <c r="L36" s="30">
        <f>1 - CUSTOS!$M$31</f>
        <v>1</v>
      </c>
      <c r="M36" s="30">
        <f>1 - CUSTOS!$M$31</f>
        <v>1</v>
      </c>
      <c r="N36" s="30">
        <f>1 - CUSTOS!$M$31</f>
        <v>1</v>
      </c>
      <c r="O36" s="30">
        <f>1 - CUSTOS!$M$31</f>
        <v>1</v>
      </c>
      <c r="P36" s="30"/>
      <c r="Q36" s="30">
        <f>(1 - CUSTOS!$M$31)*1</f>
        <v>1</v>
      </c>
      <c r="R36" s="30"/>
      <c r="S36" s="30">
        <f>1 - CUSTOS!$M$31</f>
        <v>1</v>
      </c>
      <c r="T36" s="30">
        <f>1 - CUSTOS!$M$31</f>
        <v>1</v>
      </c>
      <c r="U36" s="30">
        <f>1 - CUSTOS!$M$31</f>
        <v>1</v>
      </c>
      <c r="V36" s="30"/>
      <c r="W36" s="30"/>
      <c r="X36" s="30"/>
      <c r="Y36" s="30">
        <f>1 - CUSTOS!$M$31</f>
        <v>1</v>
      </c>
      <c r="Z36" s="30"/>
      <c r="AA36" s="30"/>
    </row>
    <row r="37" spans="1:27" ht="11.25" customHeight="1" x14ac:dyDescent="0.25">
      <c r="A37" s="138"/>
      <c r="B37" s="138"/>
      <c r="C37" s="138"/>
      <c r="D37" s="138"/>
      <c r="E37" s="138"/>
      <c r="F37" s="138"/>
      <c r="G37" s="32" t="s">
        <v>84</v>
      </c>
      <c r="H37" s="32" t="s">
        <v>71</v>
      </c>
      <c r="I37" s="32">
        <f>'MERCADO TE'!$U$34</f>
        <v>0</v>
      </c>
      <c r="J37" s="17"/>
      <c r="L37" s="30">
        <f>1 - CUSTOS!$M$31</f>
        <v>1</v>
      </c>
      <c r="M37" s="30">
        <f>1 - CUSTOS!$M$31</f>
        <v>1</v>
      </c>
      <c r="N37" s="30">
        <f>1 - CUSTOS!$M$31</f>
        <v>1</v>
      </c>
      <c r="O37" s="30">
        <f>1 - CUSTOS!$M$31</f>
        <v>1</v>
      </c>
      <c r="P37" s="30"/>
      <c r="Q37" s="30">
        <f>(1 - CUSTOS!$M$31)*1</f>
        <v>1</v>
      </c>
      <c r="R37" s="30"/>
      <c r="S37" s="30">
        <f>1 - CUSTOS!$M$31</f>
        <v>1</v>
      </c>
      <c r="T37" s="30">
        <f>1 - CUSTOS!$M$31</f>
        <v>1</v>
      </c>
      <c r="U37" s="30">
        <f>1 - CUSTOS!$M$31</f>
        <v>1</v>
      </c>
      <c r="V37" s="30"/>
      <c r="W37" s="30"/>
      <c r="X37" s="30"/>
      <c r="Y37" s="30">
        <f>1 - CUSTOS!$M$31</f>
        <v>1</v>
      </c>
      <c r="Z37" s="30"/>
      <c r="AA37" s="30"/>
    </row>
    <row r="38" spans="1:27" ht="11.25" customHeight="1" x14ac:dyDescent="0.25">
      <c r="A38" s="138"/>
      <c r="B38" s="138"/>
      <c r="C38" s="138"/>
      <c r="D38" s="138"/>
      <c r="E38" s="138"/>
      <c r="F38" s="138"/>
      <c r="G38" s="32" t="s">
        <v>73</v>
      </c>
      <c r="H38" s="32" t="s">
        <v>71</v>
      </c>
      <c r="I38" s="32">
        <f>'MERCADO TE'!$U$35</f>
        <v>0</v>
      </c>
      <c r="J38" s="17"/>
      <c r="L38" s="30">
        <f>1 - CUSTOS!$M$31</f>
        <v>1</v>
      </c>
      <c r="M38" s="30">
        <f>1 - CUSTOS!$M$31</f>
        <v>1</v>
      </c>
      <c r="N38" s="30">
        <f>1 - CUSTOS!$M$31</f>
        <v>1</v>
      </c>
      <c r="O38" s="30">
        <f>1 - CUSTOS!$M$31</f>
        <v>1</v>
      </c>
      <c r="P38" s="30"/>
      <c r="Q38" s="30">
        <f>(1 - CUSTOS!$M$31)*1</f>
        <v>1</v>
      </c>
      <c r="R38" s="30"/>
      <c r="S38" s="30">
        <f>1 - CUSTOS!$M$31</f>
        <v>1</v>
      </c>
      <c r="T38" s="30">
        <f>1 - CUSTOS!$M$31</f>
        <v>1</v>
      </c>
      <c r="U38" s="30">
        <f>1 - CUSTOS!$M$31</f>
        <v>1</v>
      </c>
      <c r="V38" s="30"/>
      <c r="W38" s="30"/>
      <c r="X38" s="30"/>
      <c r="Y38" s="30">
        <f>1 - CUSTOS!$M$31</f>
        <v>1</v>
      </c>
      <c r="Z38" s="30"/>
      <c r="AA38" s="30"/>
    </row>
    <row r="39" spans="1:27" ht="11.25" customHeight="1" x14ac:dyDescent="0.25">
      <c r="A39" s="138"/>
      <c r="B39" s="33" t="s">
        <v>74</v>
      </c>
      <c r="C39" s="33" t="s">
        <v>25</v>
      </c>
      <c r="D39" s="33" t="s">
        <v>25</v>
      </c>
      <c r="E39" s="33" t="s">
        <v>25</v>
      </c>
      <c r="F39" s="33" t="s">
        <v>25</v>
      </c>
      <c r="G39" s="32" t="s">
        <v>75</v>
      </c>
      <c r="H39" s="32" t="s">
        <v>71</v>
      </c>
      <c r="I39" s="32">
        <f>'MERCADO TE'!$U$36</f>
        <v>4622.2640000000001</v>
      </c>
      <c r="J39" s="17"/>
      <c r="L39" s="30">
        <f>1 - CUSTOS!$M$31</f>
        <v>1</v>
      </c>
      <c r="M39" s="30">
        <f>1 - CUSTOS!$M$31</f>
        <v>1</v>
      </c>
      <c r="N39" s="30">
        <f>1 - CUSTOS!$M$31</f>
        <v>1</v>
      </c>
      <c r="O39" s="30">
        <f>1 - CUSTOS!$M$31</f>
        <v>1</v>
      </c>
      <c r="P39" s="30"/>
      <c r="Q39" s="30">
        <f>(1 - CUSTOS!$M$31)*1</f>
        <v>1</v>
      </c>
      <c r="R39" s="30"/>
      <c r="S39" s="30">
        <f>1 - CUSTOS!$M$31</f>
        <v>1</v>
      </c>
      <c r="T39" s="30">
        <f>1 - CUSTOS!$M$31</f>
        <v>1</v>
      </c>
      <c r="U39" s="30">
        <f>1 - CUSTOS!$M$31</f>
        <v>1</v>
      </c>
      <c r="V39" s="30"/>
      <c r="W39" s="30"/>
      <c r="X39" s="30"/>
      <c r="Y39" s="30">
        <f>1 - CUSTOS!$M$31</f>
        <v>1</v>
      </c>
      <c r="Z39" s="30"/>
      <c r="AA39" s="30"/>
    </row>
    <row r="40" spans="1:27" ht="11.25" customHeight="1" x14ac:dyDescent="0.25">
      <c r="A40" s="138"/>
      <c r="B40" s="33" t="s">
        <v>85</v>
      </c>
      <c r="C40" s="33" t="s">
        <v>25</v>
      </c>
      <c r="D40" s="33" t="s">
        <v>25</v>
      </c>
      <c r="E40" s="33" t="s">
        <v>25</v>
      </c>
      <c r="F40" s="33" t="s">
        <v>25</v>
      </c>
      <c r="G40" s="32" t="s">
        <v>75</v>
      </c>
      <c r="H40" s="32" t="s">
        <v>71</v>
      </c>
      <c r="I40" s="32">
        <f>'MERCADO TE'!$U$37</f>
        <v>0</v>
      </c>
      <c r="J40" s="17"/>
      <c r="L40" s="30">
        <f>1 - CUSTOS!$M$31</f>
        <v>1</v>
      </c>
      <c r="M40" s="30">
        <f>1 - CUSTOS!$M$31</f>
        <v>1</v>
      </c>
      <c r="N40" s="30">
        <f>1 - CUSTOS!$M$31</f>
        <v>1</v>
      </c>
      <c r="O40" s="30">
        <f>1 - CUSTOS!$M$31</f>
        <v>1</v>
      </c>
      <c r="P40" s="30"/>
      <c r="Q40" s="30">
        <f>(1 - CUSTOS!$M$31)*1</f>
        <v>1</v>
      </c>
      <c r="R40" s="30"/>
      <c r="S40" s="30">
        <f>1 - CUSTOS!$M$31</f>
        <v>1</v>
      </c>
      <c r="T40" s="30">
        <f>1 - CUSTOS!$M$31</f>
        <v>1</v>
      </c>
      <c r="U40" s="30">
        <f>1 - CUSTOS!$M$31</f>
        <v>1</v>
      </c>
      <c r="V40" s="30"/>
      <c r="W40" s="30"/>
      <c r="X40" s="30"/>
      <c r="Y40" s="30">
        <f>1 - CUSTOS!$M$31</f>
        <v>1</v>
      </c>
      <c r="Z40" s="30"/>
      <c r="AA40" s="30"/>
    </row>
    <row r="41" spans="1:27" ht="11.25" customHeight="1" x14ac:dyDescent="0.25">
      <c r="A41" s="138" t="s">
        <v>46</v>
      </c>
      <c r="B41" s="138" t="s">
        <v>74</v>
      </c>
      <c r="C41" s="138" t="s">
        <v>47</v>
      </c>
      <c r="D41" s="33" t="s">
        <v>48</v>
      </c>
      <c r="E41" s="33" t="s">
        <v>25</v>
      </c>
      <c r="F41" s="33" t="s">
        <v>25</v>
      </c>
      <c r="G41" s="32" t="s">
        <v>75</v>
      </c>
      <c r="H41" s="32" t="s">
        <v>71</v>
      </c>
      <c r="I41" s="32">
        <f>'MERCADO TE'!$U$38</f>
        <v>3347.1679999999992</v>
      </c>
      <c r="J41" s="17"/>
      <c r="L41" s="30">
        <f>1 - CUSTOS!$M$32</f>
        <v>0.55000000000000004</v>
      </c>
      <c r="M41" s="30">
        <f>1 - CUSTOS!$M$32</f>
        <v>0.55000000000000004</v>
      </c>
      <c r="N41" s="30">
        <f>1 - CUSTOS!$M$32</f>
        <v>0.55000000000000004</v>
      </c>
      <c r="O41" s="30">
        <f>1 - CUSTOS!$M$32</f>
        <v>0.55000000000000004</v>
      </c>
      <c r="P41" s="30"/>
      <c r="Q41" s="30">
        <f>(1 - CUSTOS!$M$32)*1</f>
        <v>0.55000000000000004</v>
      </c>
      <c r="R41" s="30"/>
      <c r="S41" s="30">
        <f>1 - CUSTOS!$M$32</f>
        <v>0.55000000000000004</v>
      </c>
      <c r="T41" s="30">
        <f>1 - CUSTOS!$M$32</f>
        <v>0.55000000000000004</v>
      </c>
      <c r="U41" s="30">
        <f>1 - CUSTOS!$M$32</f>
        <v>0.55000000000000004</v>
      </c>
      <c r="V41" s="30"/>
      <c r="W41" s="30"/>
      <c r="X41" s="30"/>
      <c r="Y41" s="30">
        <f>1 - CUSTOS!$M$32</f>
        <v>0.55000000000000004</v>
      </c>
      <c r="Z41" s="30"/>
      <c r="AA41" s="30"/>
    </row>
    <row r="42" spans="1:27" ht="11.25" customHeight="1" x14ac:dyDescent="0.25">
      <c r="A42" s="138"/>
      <c r="B42" s="138"/>
      <c r="C42" s="138"/>
      <c r="D42" s="32" t="s">
        <v>89</v>
      </c>
      <c r="E42" s="32" t="s">
        <v>25</v>
      </c>
      <c r="F42" s="32" t="s">
        <v>25</v>
      </c>
      <c r="G42" s="32" t="s">
        <v>75</v>
      </c>
      <c r="H42" s="32" t="s">
        <v>71</v>
      </c>
      <c r="I42" s="32">
        <f>'MERCADO TE'!$U$39</f>
        <v>0</v>
      </c>
      <c r="J42" s="17"/>
      <c r="L42" s="30">
        <f>1 - CUSTOS!$M$33</f>
        <v>0.6</v>
      </c>
      <c r="M42" s="30">
        <f>1 - CUSTOS!$M$33</f>
        <v>0.6</v>
      </c>
      <c r="N42" s="30">
        <f>1 - CUSTOS!$M$33</f>
        <v>0.6</v>
      </c>
      <c r="O42" s="30">
        <f>1 - CUSTOS!$M$33</f>
        <v>0.6</v>
      </c>
      <c r="P42" s="30"/>
      <c r="Q42" s="30">
        <f>(1 - CUSTOS!$M$33)*1</f>
        <v>0.6</v>
      </c>
      <c r="R42" s="30"/>
      <c r="S42" s="30">
        <f>1 - CUSTOS!$M$33</f>
        <v>0.6</v>
      </c>
      <c r="T42" s="30">
        <f>1 - CUSTOS!$M$33</f>
        <v>0.6</v>
      </c>
      <c r="U42" s="30">
        <f>1 - CUSTOS!$M$33</f>
        <v>0.6</v>
      </c>
      <c r="V42" s="30"/>
      <c r="W42" s="30"/>
      <c r="X42" s="30"/>
      <c r="Y42" s="30">
        <f>1 - CUSTOS!$M$33</f>
        <v>0.6</v>
      </c>
      <c r="Z42" s="30"/>
      <c r="AA42" s="30"/>
    </row>
    <row r="44" spans="1:27" ht="11.25" customHeight="1" x14ac:dyDescent="0.25">
      <c r="K44" s="35" t="s">
        <v>567</v>
      </c>
      <c r="L44" s="30">
        <f t="shared" ref="L44:AA44" si="0">SUMPRODUCT($I$5:$I$42,L$5:L$42)</f>
        <v>41457.3534</v>
      </c>
      <c r="M44" s="30">
        <f t="shared" si="0"/>
        <v>41457.3534</v>
      </c>
      <c r="N44" s="30">
        <f t="shared" si="0"/>
        <v>41457.3534</v>
      </c>
      <c r="O44" s="30">
        <f t="shared" si="0"/>
        <v>41457.3534</v>
      </c>
      <c r="P44" s="30">
        <f t="shared" si="0"/>
        <v>0</v>
      </c>
      <c r="Q44" s="30">
        <f t="shared" si="0"/>
        <v>41457.3534</v>
      </c>
      <c r="R44" s="30">
        <f t="shared" si="0"/>
        <v>0</v>
      </c>
      <c r="S44" s="30">
        <f t="shared" si="0"/>
        <v>41457.3534</v>
      </c>
      <c r="T44" s="30">
        <f t="shared" si="0"/>
        <v>41457.3534</v>
      </c>
      <c r="U44" s="30">
        <f t="shared" si="0"/>
        <v>41457.3534</v>
      </c>
      <c r="V44" s="30">
        <f t="shared" si="0"/>
        <v>0</v>
      </c>
      <c r="W44" s="30">
        <f t="shared" si="0"/>
        <v>0</v>
      </c>
      <c r="X44" s="30">
        <f t="shared" si="0"/>
        <v>0</v>
      </c>
      <c r="Y44" s="30">
        <f t="shared" si="0"/>
        <v>41457.3534</v>
      </c>
      <c r="Z44" s="30">
        <f t="shared" si="0"/>
        <v>0</v>
      </c>
      <c r="AA44" s="30">
        <f t="shared" si="0"/>
        <v>0</v>
      </c>
    </row>
    <row r="45" spans="1:27" ht="11.25" customHeight="1" x14ac:dyDescent="0.25">
      <c r="K45" s="35" t="s">
        <v>486</v>
      </c>
      <c r="L45" s="30">
        <f>CUSTOS!$D$30</f>
        <v>0</v>
      </c>
      <c r="M45" s="30">
        <f>CUSTOS!$D$31</f>
        <v>0</v>
      </c>
      <c r="N45" s="30">
        <f>CUSTOS!$D$32</f>
        <v>0</v>
      </c>
      <c r="O45" s="30">
        <f>CUSTOS!$D$33</f>
        <v>0</v>
      </c>
      <c r="P45" s="30">
        <f>CUSTOS!$D$34</f>
        <v>0</v>
      </c>
      <c r="Q45" s="30">
        <f>CUSTOS!$D$35</f>
        <v>8422710.0564853679</v>
      </c>
      <c r="R45" s="30">
        <f>CUSTOS!$D$36</f>
        <v>8422710.0564853679</v>
      </c>
      <c r="S45" s="30">
        <f>CUSTOS!$D$37</f>
        <v>0</v>
      </c>
      <c r="T45" s="30">
        <f>CUSTOS!$D$38</f>
        <v>0</v>
      </c>
      <c r="U45" s="30">
        <f>CUSTOS!$D$39</f>
        <v>0</v>
      </c>
      <c r="V45" s="30">
        <f>CUSTOS!$D$40</f>
        <v>0</v>
      </c>
      <c r="W45" s="30">
        <f>CUSTOS!$D$41</f>
        <v>0</v>
      </c>
      <c r="X45" s="30">
        <f>CUSTOS!$D$42</f>
        <v>0</v>
      </c>
      <c r="Y45" s="30">
        <f>CUSTOS!$D$43</f>
        <v>0</v>
      </c>
      <c r="Z45" s="30">
        <f>CUSTOS!$D$44</f>
        <v>0</v>
      </c>
      <c r="AA45" s="30">
        <f>CUSTOS!$D$45</f>
        <v>8422710.0564853679</v>
      </c>
    </row>
    <row r="46" spans="1:27" ht="11.25" customHeight="1" x14ac:dyDescent="0.25">
      <c r="K46" s="35" t="s">
        <v>487</v>
      </c>
      <c r="L46" s="30">
        <f>CUSTOS!$E$30</f>
        <v>0</v>
      </c>
      <c r="M46" s="30">
        <f>CUSTOS!$E$31</f>
        <v>0</v>
      </c>
      <c r="N46" s="30">
        <f>CUSTOS!$E$32</f>
        <v>0</v>
      </c>
      <c r="O46" s="30">
        <f>CUSTOS!$E$33</f>
        <v>0</v>
      </c>
      <c r="P46" s="30">
        <f>CUSTOS!$E$34</f>
        <v>0</v>
      </c>
      <c r="Q46" s="30">
        <f>CUSTOS!$E$35</f>
        <v>2389497.9682118199</v>
      </c>
      <c r="R46" s="30">
        <f>CUSTOS!$E$36</f>
        <v>2389497.9682118199</v>
      </c>
      <c r="S46" s="30">
        <f>CUSTOS!$E$37</f>
        <v>0</v>
      </c>
      <c r="T46" s="30">
        <f>CUSTOS!$E$38</f>
        <v>0</v>
      </c>
      <c r="U46" s="30">
        <f>CUSTOS!$E$39</f>
        <v>0</v>
      </c>
      <c r="V46" s="30">
        <f>CUSTOS!$E$40</f>
        <v>0</v>
      </c>
      <c r="W46" s="30">
        <f>CUSTOS!$E$41</f>
        <v>0</v>
      </c>
      <c r="X46" s="30">
        <f>CUSTOS!$E$42</f>
        <v>0</v>
      </c>
      <c r="Y46" s="30">
        <f>CUSTOS!$E$43</f>
        <v>0</v>
      </c>
      <c r="Z46" s="30">
        <f>CUSTOS!$E$44</f>
        <v>0</v>
      </c>
      <c r="AA46" s="30">
        <f>CUSTOS!$E$45</f>
        <v>2389497.9682118199</v>
      </c>
    </row>
    <row r="47" spans="1:27" ht="11.25" customHeight="1" x14ac:dyDescent="0.25">
      <c r="K47" s="35" t="s">
        <v>488</v>
      </c>
      <c r="L47" s="30">
        <f>CUSTOS!$F$30</f>
        <v>0</v>
      </c>
      <c r="M47" s="30">
        <f>CUSTOS!$F$31</f>
        <v>0</v>
      </c>
      <c r="N47" s="30">
        <f>CUSTOS!$F$32</f>
        <v>0</v>
      </c>
      <c r="O47" s="30">
        <f>CUSTOS!$F$33</f>
        <v>0</v>
      </c>
      <c r="P47" s="30">
        <f>CUSTOS!$F$34</f>
        <v>0</v>
      </c>
      <c r="Q47" s="30">
        <f>CUSTOS!$F$35</f>
        <v>0</v>
      </c>
      <c r="R47" s="30">
        <f>CUSTOS!$F$36</f>
        <v>0</v>
      </c>
      <c r="S47" s="30">
        <f>CUSTOS!$F$37</f>
        <v>0</v>
      </c>
      <c r="T47" s="30">
        <f>CUSTOS!$F$38</f>
        <v>0</v>
      </c>
      <c r="U47" s="30">
        <f>CUSTOS!$F$39</f>
        <v>0</v>
      </c>
      <c r="V47" s="30">
        <f>CUSTOS!$F$40</f>
        <v>0</v>
      </c>
      <c r="W47" s="30">
        <f>CUSTOS!$F$41</f>
        <v>0</v>
      </c>
      <c r="X47" s="30">
        <f>CUSTOS!$F$42</f>
        <v>0</v>
      </c>
      <c r="Y47" s="30">
        <f>CUSTOS!$F$43</f>
        <v>0</v>
      </c>
      <c r="Z47" s="30">
        <f>CUSTOS!$F$44</f>
        <v>0</v>
      </c>
      <c r="AA47" s="30">
        <f>CUSTOS!$F$45</f>
        <v>0</v>
      </c>
    </row>
    <row r="48" spans="1:27" ht="11.25" customHeight="1" x14ac:dyDescent="0.25">
      <c r="K48" s="35" t="s">
        <v>568</v>
      </c>
      <c r="L48" s="30">
        <f>IF(SUMPRODUCT($I$5:$I$42,$L$5:$L$42)&lt;&gt;0,L45/SUMPRODUCT($I$5:$I$42,$L$5:$L$42),0)</f>
        <v>0</v>
      </c>
      <c r="M48" s="30">
        <f>IF(SUMPRODUCT($I$5:$I$42,$M$5:$M$42)&lt;&gt;0,M45/SUMPRODUCT($I$5:$I$42,$M$5:$M$42),0)</f>
        <v>0</v>
      </c>
      <c r="N48" s="30">
        <f>IF(SUMPRODUCT($I$5:$I$42,$N$5:$N$42)&lt;&gt;0,N45/SUMPRODUCT($I$5:$I$42,$N$5:$N$42),0)</f>
        <v>0</v>
      </c>
      <c r="O48" s="30">
        <f>IF(SUMPRODUCT($I$5:$I$42,$O$5:$O$42)&lt;&gt;0,O45/SUMPRODUCT($I$5:$I$42,$O$5:$O$42),0)</f>
        <v>0</v>
      </c>
      <c r="P48" s="30"/>
      <c r="Q48" s="30">
        <f>IF((CUSTOS!$M$12-CUSTOS!$M$13)&lt;&gt;0,(CUSTOS!$M$12*CUSTOS!$M$14)/(CUSTOS!$M$12-CUSTOS!$M$13),0)</f>
        <v>199.40253300000001</v>
      </c>
      <c r="R48" s="30"/>
      <c r="S48" s="30">
        <f>IF(SUMPRODUCT($I$5:$I$42,$S$5:$S$42)&lt;&gt;0,S45/SUMPRODUCT($I$5:$I$42,$S$5:$S$42),0)</f>
        <v>0</v>
      </c>
      <c r="T48" s="30">
        <f>IF(SUMPRODUCT($I$5:$I$42,$T$5:$T$42)&lt;&gt;0,T45/SUMPRODUCT($I$5:$I$42,$T$5:$T$42),0)</f>
        <v>0</v>
      </c>
      <c r="U48" s="30">
        <f>IF(SUMPRODUCT($I$5:$I$42,$U$5:$U$42)&lt;&gt;0,U45/SUMPRODUCT($I$5:$I$42,$U$5:$U$42),0)</f>
        <v>0</v>
      </c>
      <c r="V48" s="30"/>
      <c r="W48" s="30">
        <f>IF(SUMPRODUCT($I$5:$I$42,$W$5:$W$42)&lt;&gt;0,W45/SUMPRODUCT($I$5:$I$42,$W$5:$W$42),0)</f>
        <v>0</v>
      </c>
      <c r="X48" s="30"/>
      <c r="Y48" s="30">
        <f>IF(SUMPRODUCT($I$5:$I$42,$Y$5:$Y$42)&lt;&gt;0,Y45/SUMPRODUCT($I$5:$I$42,$Y$5:$Y$42),0)</f>
        <v>0</v>
      </c>
      <c r="Z48" s="30"/>
      <c r="AA48" s="30"/>
    </row>
    <row r="49" spans="11:27" ht="11.25" customHeight="1" x14ac:dyDescent="0.25">
      <c r="K49" s="35" t="s">
        <v>569</v>
      </c>
      <c r="L49" s="30">
        <f>IF(L44&lt;&gt;0,(L45-L48*0)/(L44-0),0)</f>
        <v>0</v>
      </c>
      <c r="M49" s="30">
        <f>IF(M44&lt;&gt;0,(M45-M48*0)/(M44-0),0)</f>
        <v>0</v>
      </c>
      <c r="N49" s="30">
        <f>IF(N44&lt;&gt;0,(N45-N48*0)/(N44-0),0)</f>
        <v>0</v>
      </c>
      <c r="O49" s="30">
        <f>IF(O44&lt;&gt;0,(O45-O48*0)/(O44-0),0)</f>
        <v>0</v>
      </c>
      <c r="P49" s="30"/>
      <c r="Q49" s="30">
        <f>IF(Q44&lt;&gt;0,(Q45-Q48*0)/(Q44-0),0)</f>
        <v>203.16564772524453</v>
      </c>
      <c r="R49" s="30"/>
      <c r="S49" s="30">
        <f>IF(S44&lt;&gt;0,(S45-S48*0)/(S44-0),0)</f>
        <v>0</v>
      </c>
      <c r="T49" s="30">
        <f>IF(T44&lt;&gt;0,(T45-T48*0)/(T44-0),0)</f>
        <v>0</v>
      </c>
      <c r="U49" s="30">
        <f>IF(U44&lt;&gt;0,(U45-U48*0)/(U44-0),0)</f>
        <v>0</v>
      </c>
      <c r="V49" s="30"/>
      <c r="W49" s="30">
        <f>IF(W44&lt;&gt;0,(W45-W48*0)/(W44-0),0)</f>
        <v>0</v>
      </c>
      <c r="X49" s="30"/>
      <c r="Y49" s="30">
        <f>IF(Y44&lt;&gt;0,(Y45-Y48*0)/(Y44-0),0)</f>
        <v>0</v>
      </c>
      <c r="Z49" s="30"/>
      <c r="AA49" s="30"/>
    </row>
    <row r="50" spans="11:27" ht="11.25" customHeight="1" x14ac:dyDescent="0.25">
      <c r="K50" s="35" t="s">
        <v>570</v>
      </c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</row>
  </sheetData>
  <mergeCells count="61">
    <mergeCell ref="Y3:Z3"/>
    <mergeCell ref="AA3:AA4"/>
    <mergeCell ref="G1:G4"/>
    <mergeCell ref="H1:H4"/>
    <mergeCell ref="I1:I4"/>
    <mergeCell ref="J1:J4"/>
    <mergeCell ref="L1:AA1"/>
    <mergeCell ref="L2:AA2"/>
    <mergeCell ref="L3:P3"/>
    <mergeCell ref="Q3:R3"/>
    <mergeCell ref="S3:V3"/>
    <mergeCell ref="W3:X3"/>
    <mergeCell ref="A1:A4"/>
    <mergeCell ref="B1:B4"/>
    <mergeCell ref="C1:C4"/>
    <mergeCell ref="D1:D4"/>
    <mergeCell ref="E1:E4"/>
    <mergeCell ref="F1:F4"/>
    <mergeCell ref="E36:E38"/>
    <mergeCell ref="F36:F38"/>
    <mergeCell ref="A41:A42"/>
    <mergeCell ref="B41:B42"/>
    <mergeCell ref="C41:C42"/>
    <mergeCell ref="B33:B35"/>
    <mergeCell ref="C33:C35"/>
    <mergeCell ref="A36:A40"/>
    <mergeCell ref="B36:B38"/>
    <mergeCell ref="C36:C38"/>
    <mergeCell ref="D36:D38"/>
    <mergeCell ref="F25:F27"/>
    <mergeCell ref="B29:B31"/>
    <mergeCell ref="C29:C31"/>
    <mergeCell ref="D29:D31"/>
    <mergeCell ref="E29:E31"/>
    <mergeCell ref="F29:F31"/>
    <mergeCell ref="A21:A35"/>
    <mergeCell ref="B21:B23"/>
    <mergeCell ref="C21:C23"/>
    <mergeCell ref="D21:D23"/>
    <mergeCell ref="E21:E23"/>
    <mergeCell ref="F21:F23"/>
    <mergeCell ref="B25:B27"/>
    <mergeCell ref="C25:C27"/>
    <mergeCell ref="D25:D27"/>
    <mergeCell ref="E25:E27"/>
    <mergeCell ref="A8:A20"/>
    <mergeCell ref="B8:B10"/>
    <mergeCell ref="C8:C10"/>
    <mergeCell ref="D8:D10"/>
    <mergeCell ref="E8:E10"/>
    <mergeCell ref="F8:F10"/>
    <mergeCell ref="B11:B15"/>
    <mergeCell ref="C11:C15"/>
    <mergeCell ref="B16:B20"/>
    <mergeCell ref="C16:C20"/>
    <mergeCell ref="F5:F6"/>
    <mergeCell ref="A5:A7"/>
    <mergeCell ref="B5:B6"/>
    <mergeCell ref="C5:C6"/>
    <mergeCell ref="D5:D6"/>
    <mergeCell ref="E5:E6"/>
  </mergeCells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11D33-C9FB-46D5-8FDF-A6848B38ACA4}">
  <dimension ref="A1:AA50"/>
  <sheetViews>
    <sheetView showGridLines="0" topLeftCell="K1" workbookViewId="0">
      <selection activeCell="AA44" sqref="AA44"/>
    </sheetView>
  </sheetViews>
  <sheetFormatPr defaultRowHeight="11.25" customHeight="1" x14ac:dyDescent="0.25"/>
  <cols>
    <col min="1" max="1" width="9.28515625" style="9" bestFit="1" customWidth="1"/>
    <col min="2" max="2" width="27.140625" style="9" bestFit="1" customWidth="1"/>
    <col min="3" max="3" width="13.5703125" style="9" bestFit="1" customWidth="1"/>
    <col min="4" max="4" width="25.140625" style="9" bestFit="1" customWidth="1"/>
    <col min="5" max="6" width="10.28515625" style="9" bestFit="1" customWidth="1"/>
    <col min="7" max="7" width="6.28515625" style="9" bestFit="1" customWidth="1"/>
    <col min="8" max="8" width="7.42578125" style="9" bestFit="1" customWidth="1"/>
    <col min="9" max="9" width="7.85546875" style="9" bestFit="1" customWidth="1"/>
    <col min="10" max="10" width="9.140625" style="9"/>
    <col min="11" max="11" width="20" style="9" bestFit="1" customWidth="1"/>
    <col min="12" max="14" width="7.85546875" style="9" bestFit="1" customWidth="1"/>
    <col min="15" max="15" width="11.140625" style="9" bestFit="1" customWidth="1"/>
    <col min="16" max="16" width="9.28515625" style="9" bestFit="1" customWidth="1"/>
    <col min="17" max="17" width="15" style="9" bestFit="1" customWidth="1"/>
    <col min="18" max="18" width="10" style="9" bestFit="1" customWidth="1"/>
    <col min="19" max="19" width="7.85546875" style="9" bestFit="1" customWidth="1"/>
    <col min="20" max="20" width="10.42578125" style="9" bestFit="1" customWidth="1"/>
    <col min="21" max="21" width="7.85546875" style="9" bestFit="1" customWidth="1"/>
    <col min="22" max="22" width="9.28515625" style="9" bestFit="1" customWidth="1"/>
    <col min="23" max="23" width="8" style="9" bestFit="1" customWidth="1"/>
    <col min="24" max="24" width="9.28515625" style="9" bestFit="1" customWidth="1"/>
    <col min="25" max="25" width="11" style="9" bestFit="1" customWidth="1"/>
    <col min="26" max="26" width="9.28515625" style="9" bestFit="1" customWidth="1"/>
    <col min="27" max="27" width="10" style="9" bestFit="1" customWidth="1"/>
    <col min="28" max="16384" width="9.140625" style="9"/>
  </cols>
  <sheetData>
    <row r="1" spans="1:27" ht="11.25" customHeight="1" x14ac:dyDescent="0.25">
      <c r="A1" s="139" t="s">
        <v>61</v>
      </c>
      <c r="B1" s="139" t="s">
        <v>62</v>
      </c>
      <c r="C1" s="139" t="s">
        <v>63</v>
      </c>
      <c r="D1" s="139" t="s">
        <v>64</v>
      </c>
      <c r="E1" s="139" t="s">
        <v>65</v>
      </c>
      <c r="F1" s="139" t="s">
        <v>15</v>
      </c>
      <c r="G1" s="139" t="s">
        <v>67</v>
      </c>
      <c r="H1" s="139" t="s">
        <v>68</v>
      </c>
      <c r="I1" s="139" t="s">
        <v>545</v>
      </c>
      <c r="J1" s="124"/>
      <c r="L1" s="140" t="s">
        <v>571</v>
      </c>
      <c r="M1" s="140"/>
      <c r="N1" s="140"/>
      <c r="O1" s="140"/>
      <c r="P1" s="140"/>
      <c r="Q1" s="140"/>
      <c r="R1" s="140"/>
      <c r="S1" s="140"/>
      <c r="T1" s="140"/>
      <c r="U1" s="140"/>
      <c r="V1" s="140"/>
      <c r="W1" s="140"/>
      <c r="X1" s="140"/>
      <c r="Y1" s="140"/>
      <c r="Z1" s="140"/>
      <c r="AA1" s="140"/>
    </row>
    <row r="2" spans="1:27" ht="11.25" customHeight="1" x14ac:dyDescent="0.25">
      <c r="A2" s="139"/>
      <c r="B2" s="139"/>
      <c r="C2" s="139"/>
      <c r="D2" s="139"/>
      <c r="E2" s="139"/>
      <c r="F2" s="139"/>
      <c r="G2" s="139"/>
      <c r="H2" s="139"/>
      <c r="I2" s="139"/>
      <c r="J2" s="124"/>
      <c r="L2" s="140" t="s">
        <v>473</v>
      </c>
      <c r="M2" s="140"/>
      <c r="N2" s="140"/>
      <c r="O2" s="140"/>
      <c r="P2" s="140"/>
      <c r="Q2" s="140"/>
      <c r="R2" s="140"/>
      <c r="S2" s="140"/>
      <c r="T2" s="140"/>
      <c r="U2" s="140"/>
      <c r="V2" s="140"/>
      <c r="W2" s="140"/>
      <c r="X2" s="140"/>
      <c r="Y2" s="140"/>
      <c r="Z2" s="140"/>
      <c r="AA2" s="140"/>
    </row>
    <row r="3" spans="1:27" ht="11.25" customHeight="1" x14ac:dyDescent="0.25">
      <c r="A3" s="139"/>
      <c r="B3" s="139"/>
      <c r="C3" s="139"/>
      <c r="D3" s="139"/>
      <c r="E3" s="139"/>
      <c r="F3" s="139"/>
      <c r="G3" s="139"/>
      <c r="H3" s="139"/>
      <c r="I3" s="139"/>
      <c r="J3" s="124"/>
      <c r="L3" s="140" t="s">
        <v>446</v>
      </c>
      <c r="M3" s="140"/>
      <c r="N3" s="140"/>
      <c r="O3" s="140"/>
      <c r="P3" s="140"/>
      <c r="Q3" s="140" t="s">
        <v>476</v>
      </c>
      <c r="R3" s="140"/>
      <c r="S3" s="140" t="s">
        <v>455</v>
      </c>
      <c r="T3" s="140"/>
      <c r="U3" s="140"/>
      <c r="V3" s="140"/>
      <c r="W3" s="140" t="s">
        <v>465</v>
      </c>
      <c r="X3" s="140"/>
      <c r="Y3" s="140" t="s">
        <v>468</v>
      </c>
      <c r="Z3" s="140"/>
      <c r="AA3" s="140" t="s">
        <v>454</v>
      </c>
    </row>
    <row r="4" spans="1:27" ht="11.25" customHeight="1" x14ac:dyDescent="0.25">
      <c r="A4" s="139"/>
      <c r="B4" s="139"/>
      <c r="C4" s="139"/>
      <c r="D4" s="139"/>
      <c r="E4" s="139"/>
      <c r="F4" s="139"/>
      <c r="G4" s="139"/>
      <c r="H4" s="139"/>
      <c r="I4" s="139"/>
      <c r="J4" s="124"/>
      <c r="L4" s="34" t="s">
        <v>448</v>
      </c>
      <c r="M4" s="34" t="s">
        <v>474</v>
      </c>
      <c r="N4" s="34" t="s">
        <v>475</v>
      </c>
      <c r="O4" s="34" t="s">
        <v>533</v>
      </c>
      <c r="P4" s="34" t="s">
        <v>454</v>
      </c>
      <c r="Q4" s="34" t="s">
        <v>477</v>
      </c>
      <c r="R4" s="34" t="s">
        <v>454</v>
      </c>
      <c r="S4" s="34" t="s">
        <v>478</v>
      </c>
      <c r="T4" s="34" t="s">
        <v>479</v>
      </c>
      <c r="U4" s="34" t="s">
        <v>480</v>
      </c>
      <c r="V4" s="34" t="s">
        <v>454</v>
      </c>
      <c r="W4" s="34" t="s">
        <v>466</v>
      </c>
      <c r="X4" s="34" t="s">
        <v>454</v>
      </c>
      <c r="Y4" s="34" t="s">
        <v>481</v>
      </c>
      <c r="Z4" s="34" t="s">
        <v>454</v>
      </c>
      <c r="AA4" s="141"/>
    </row>
    <row r="5" spans="1:27" ht="11.25" customHeight="1" x14ac:dyDescent="0.25">
      <c r="A5" s="138" t="s">
        <v>33</v>
      </c>
      <c r="B5" s="138" t="s">
        <v>70</v>
      </c>
      <c r="C5" s="138" t="s">
        <v>25</v>
      </c>
      <c r="D5" s="138" t="s">
        <v>25</v>
      </c>
      <c r="E5" s="138" t="s">
        <v>25</v>
      </c>
      <c r="F5" s="138" t="s">
        <v>25</v>
      </c>
      <c r="G5" s="32" t="s">
        <v>72</v>
      </c>
      <c r="H5" s="32" t="s">
        <v>71</v>
      </c>
      <c r="I5" s="32">
        <f>'MERCADO TE'!$U$2</f>
        <v>119.02</v>
      </c>
      <c r="J5" s="17"/>
      <c r="L5" s="30">
        <f>'TR TE'!$L$5*'TR TE'!$L$49</f>
        <v>0</v>
      </c>
      <c r="M5" s="30">
        <f>'TR TE'!$M$5*'TR TE'!$M$49</f>
        <v>0</v>
      </c>
      <c r="N5" s="30">
        <f>'TR TE'!$N$5*'TR TE'!$N$49</f>
        <v>0</v>
      </c>
      <c r="O5" s="30">
        <f>'TR TE'!$O$5*'TR TE'!$O$49</f>
        <v>0</v>
      </c>
      <c r="P5" s="30">
        <f>SUM($L$5:$O$5)</f>
        <v>0</v>
      </c>
      <c r="Q5" s="30">
        <f>'TR TE'!$Q$5*'TR TE'!$Q$49</f>
        <v>203.16564772524453</v>
      </c>
      <c r="R5" s="30">
        <f>SUM($Q$5:$Q$5)</f>
        <v>203.16564772524453</v>
      </c>
      <c r="S5" s="30">
        <f>'TR TE'!$S$5*'TR TE'!$S$49</f>
        <v>0</v>
      </c>
      <c r="T5" s="30">
        <f>'TR TE'!$T$5*'TR TE'!$T$49</f>
        <v>0</v>
      </c>
      <c r="U5" s="30">
        <f>'TR TE'!$U$5*'TR TE'!$U$49</f>
        <v>0</v>
      </c>
      <c r="V5" s="30">
        <f>SUM($S$5:$U$5)</f>
        <v>0</v>
      </c>
      <c r="W5" s="30"/>
      <c r="X5" s="30">
        <f>SUM($W$5:$W$5)</f>
        <v>0</v>
      </c>
      <c r="Y5" s="30">
        <f>'TR TE'!$Y$5*'TR TE'!$Y$49</f>
        <v>0</v>
      </c>
      <c r="Z5" s="30">
        <f>SUM($Y$5:$Y$5)</f>
        <v>0</v>
      </c>
      <c r="AA5" s="30">
        <f>SUMIF($L$4:$Z$4,"SUBTOTAL",$L$5:$Z$5)</f>
        <v>203.16564772524453</v>
      </c>
    </row>
    <row r="6" spans="1:27" ht="11.25" customHeight="1" x14ac:dyDescent="0.25">
      <c r="A6" s="138"/>
      <c r="B6" s="138"/>
      <c r="C6" s="138"/>
      <c r="D6" s="138"/>
      <c r="E6" s="138"/>
      <c r="F6" s="138"/>
      <c r="G6" s="32" t="s">
        <v>73</v>
      </c>
      <c r="H6" s="32" t="s">
        <v>71</v>
      </c>
      <c r="I6" s="32">
        <f>'MERCADO TE'!$U$3</f>
        <v>3902.4649999999997</v>
      </c>
      <c r="J6" s="17"/>
      <c r="L6" s="30">
        <f>'TR TE'!$L$6*'TR TE'!$L$49</f>
        <v>0</v>
      </c>
      <c r="M6" s="30">
        <f>'TR TE'!$M$6*'TR TE'!$M$49</f>
        <v>0</v>
      </c>
      <c r="N6" s="30">
        <f>'TR TE'!$N$6*'TR TE'!$N$49</f>
        <v>0</v>
      </c>
      <c r="O6" s="30">
        <f>'TR TE'!$O$6*'TR TE'!$O$49</f>
        <v>0</v>
      </c>
      <c r="P6" s="30">
        <f>SUM($L$6:$O$6)</f>
        <v>0</v>
      </c>
      <c r="Q6" s="30">
        <f>'TR TE'!$Q$6*'TR TE'!$Q$49</f>
        <v>203.16564772524453</v>
      </c>
      <c r="R6" s="30">
        <f>SUM($Q$6:$Q$6)</f>
        <v>203.16564772524453</v>
      </c>
      <c r="S6" s="30">
        <f>'TR TE'!$S$6*'TR TE'!$S$49</f>
        <v>0</v>
      </c>
      <c r="T6" s="30">
        <f>'TR TE'!$T$6*'TR TE'!$T$49</f>
        <v>0</v>
      </c>
      <c r="U6" s="30">
        <f>'TR TE'!$U$6*'TR TE'!$U$49</f>
        <v>0</v>
      </c>
      <c r="V6" s="30">
        <f>SUM($S$6:$U$6)</f>
        <v>0</v>
      </c>
      <c r="W6" s="30"/>
      <c r="X6" s="30">
        <f>SUM($W$6:$W$6)</f>
        <v>0</v>
      </c>
      <c r="Y6" s="30">
        <f>'TR TE'!$Y$6*'TR TE'!$Y$49</f>
        <v>0</v>
      </c>
      <c r="Z6" s="30">
        <f>SUM($Y$6:$Y$6)</f>
        <v>0</v>
      </c>
      <c r="AA6" s="30">
        <f>SUMIF($L$4:$Z$4,"SUBTOTAL",$L$6:$Z$6)</f>
        <v>203.16564772524453</v>
      </c>
    </row>
    <row r="7" spans="1:27" ht="11.25" customHeight="1" x14ac:dyDescent="0.25">
      <c r="A7" s="138"/>
      <c r="B7" s="33" t="s">
        <v>74</v>
      </c>
      <c r="C7" s="33" t="s">
        <v>25</v>
      </c>
      <c r="D7" s="33" t="s">
        <v>25</v>
      </c>
      <c r="E7" s="33" t="s">
        <v>25</v>
      </c>
      <c r="F7" s="33" t="s">
        <v>25</v>
      </c>
      <c r="G7" s="32" t="s">
        <v>75</v>
      </c>
      <c r="H7" s="32" t="s">
        <v>71</v>
      </c>
      <c r="I7" s="32">
        <f>'MERCADO TE'!$U$4</f>
        <v>0</v>
      </c>
      <c r="J7" s="17"/>
      <c r="L7" s="30">
        <f>'TR TE'!$L$7*'TR TE'!$L$49</f>
        <v>0</v>
      </c>
      <c r="M7" s="30">
        <f>'TR TE'!$M$7*'TR TE'!$M$49</f>
        <v>0</v>
      </c>
      <c r="N7" s="30">
        <f>'TR TE'!$N$7*'TR TE'!$N$49</f>
        <v>0</v>
      </c>
      <c r="O7" s="30">
        <f>'TR TE'!$O$7*'TR TE'!$O$49</f>
        <v>0</v>
      </c>
      <c r="P7" s="30">
        <f>SUM($L$7:$O$7)</f>
        <v>0</v>
      </c>
      <c r="Q7" s="30">
        <f>'TR TE'!$Q$7*'TR TE'!$Q$49</f>
        <v>203.16564772524453</v>
      </c>
      <c r="R7" s="30">
        <f>SUM($Q$7:$Q$7)</f>
        <v>203.16564772524453</v>
      </c>
      <c r="S7" s="30">
        <f>'TR TE'!$S$7*'TR TE'!$S$49</f>
        <v>0</v>
      </c>
      <c r="T7" s="30">
        <f>'TR TE'!$T$7*'TR TE'!$T$49</f>
        <v>0</v>
      </c>
      <c r="U7" s="30">
        <f>'TR TE'!$U$7*'TR TE'!$U$49</f>
        <v>0</v>
      </c>
      <c r="V7" s="30">
        <f>SUM($S$7:$U$7)</f>
        <v>0</v>
      </c>
      <c r="W7" s="30"/>
      <c r="X7" s="30">
        <f>SUM($W$7:$W$7)</f>
        <v>0</v>
      </c>
      <c r="Y7" s="30">
        <f>'TR TE'!$Y$7*'TR TE'!$Y$49</f>
        <v>0</v>
      </c>
      <c r="Z7" s="30">
        <f>SUM($Y$7:$Y$7)</f>
        <v>0</v>
      </c>
      <c r="AA7" s="30">
        <f>SUMIF($L$4:$Z$4,"SUBTOTAL",$L$7:$Z$7)</f>
        <v>203.16564772524453</v>
      </c>
    </row>
    <row r="8" spans="1:27" ht="11.25" customHeight="1" x14ac:dyDescent="0.25">
      <c r="A8" s="138" t="s">
        <v>22</v>
      </c>
      <c r="B8" s="138" t="s">
        <v>70</v>
      </c>
      <c r="C8" s="138" t="s">
        <v>24</v>
      </c>
      <c r="D8" s="138" t="s">
        <v>24</v>
      </c>
      <c r="E8" s="138" t="s">
        <v>25</v>
      </c>
      <c r="F8" s="138" t="s">
        <v>25</v>
      </c>
      <c r="G8" s="32" t="s">
        <v>72</v>
      </c>
      <c r="H8" s="32" t="s">
        <v>71</v>
      </c>
      <c r="I8" s="32">
        <f>'MERCADO TE'!$U$5</f>
        <v>2.3139999999999996</v>
      </c>
      <c r="J8" s="17"/>
      <c r="L8" s="30">
        <f>'TR TE'!$L$8*'TR TE'!$L$49</f>
        <v>0</v>
      </c>
      <c r="M8" s="30">
        <f>'TR TE'!$M$8*'TR TE'!$M$49</f>
        <v>0</v>
      </c>
      <c r="N8" s="30">
        <f>'TR TE'!$N$8*'TR TE'!$N$49</f>
        <v>0</v>
      </c>
      <c r="O8" s="30">
        <f>'TR TE'!$O$8*'TR TE'!$O$49</f>
        <v>0</v>
      </c>
      <c r="P8" s="30">
        <f>SUM($L$8:$O$8)</f>
        <v>0</v>
      </c>
      <c r="Q8" s="30">
        <f>'TR TE'!$Q$8*'TR TE'!$Q$49</f>
        <v>203.16564772524453</v>
      </c>
      <c r="R8" s="30">
        <f>SUM($Q$8:$Q$8)</f>
        <v>203.16564772524453</v>
      </c>
      <c r="S8" s="30">
        <f>'TR TE'!$S$8*'TR TE'!$S$49</f>
        <v>0</v>
      </c>
      <c r="T8" s="30">
        <f>'TR TE'!$T$8*'TR TE'!$T$49</f>
        <v>0</v>
      </c>
      <c r="U8" s="30">
        <f>'TR TE'!$U$8*'TR TE'!$U$49</f>
        <v>0</v>
      </c>
      <c r="V8" s="30">
        <f>SUM($S$8:$U$8)</f>
        <v>0</v>
      </c>
      <c r="W8" s="30"/>
      <c r="X8" s="30">
        <f>SUM($W$8:$W$8)</f>
        <v>0</v>
      </c>
      <c r="Y8" s="30">
        <f>'TR TE'!$Y$8*'TR TE'!$Y$49</f>
        <v>0</v>
      </c>
      <c r="Z8" s="30">
        <f>SUM($Y$8:$Y$8)</f>
        <v>0</v>
      </c>
      <c r="AA8" s="30">
        <f>SUMIF($L$4:$Z$4,"SUBTOTAL",$L$8:$Z$8)</f>
        <v>203.16564772524453</v>
      </c>
    </row>
    <row r="9" spans="1:27" ht="11.25" customHeight="1" x14ac:dyDescent="0.25">
      <c r="A9" s="138"/>
      <c r="B9" s="138"/>
      <c r="C9" s="138"/>
      <c r="D9" s="138"/>
      <c r="E9" s="138"/>
      <c r="F9" s="138"/>
      <c r="G9" s="32" t="s">
        <v>84</v>
      </c>
      <c r="H9" s="32" t="s">
        <v>71</v>
      </c>
      <c r="I9" s="32">
        <f>'MERCADO TE'!$U$6</f>
        <v>1.2229999999999999</v>
      </c>
      <c r="J9" s="17"/>
      <c r="L9" s="30">
        <f>'TR TE'!$L$9*'TR TE'!$L$49</f>
        <v>0</v>
      </c>
      <c r="M9" s="30">
        <f>'TR TE'!$M$9*'TR TE'!$M$49</f>
        <v>0</v>
      </c>
      <c r="N9" s="30">
        <f>'TR TE'!$N$9*'TR TE'!$N$49</f>
        <v>0</v>
      </c>
      <c r="O9" s="30">
        <f>'TR TE'!$O$9*'TR TE'!$O$49</f>
        <v>0</v>
      </c>
      <c r="P9" s="30">
        <f>SUM($L$9:$O$9)</f>
        <v>0</v>
      </c>
      <c r="Q9" s="30">
        <f>'TR TE'!$Q$9*'TR TE'!$Q$49</f>
        <v>203.16564772524453</v>
      </c>
      <c r="R9" s="30">
        <f>SUM($Q$9:$Q$9)</f>
        <v>203.16564772524453</v>
      </c>
      <c r="S9" s="30">
        <f>'TR TE'!$S$9*'TR TE'!$S$49</f>
        <v>0</v>
      </c>
      <c r="T9" s="30">
        <f>'TR TE'!$T$9*'TR TE'!$T$49</f>
        <v>0</v>
      </c>
      <c r="U9" s="30">
        <f>'TR TE'!$U$9*'TR TE'!$U$49</f>
        <v>0</v>
      </c>
      <c r="V9" s="30">
        <f>SUM($S$9:$U$9)</f>
        <v>0</v>
      </c>
      <c r="W9" s="30"/>
      <c r="X9" s="30">
        <f>SUM($W$9:$W$9)</f>
        <v>0</v>
      </c>
      <c r="Y9" s="30">
        <f>'TR TE'!$Y$9*'TR TE'!$Y$49</f>
        <v>0</v>
      </c>
      <c r="Z9" s="30">
        <f>SUM($Y$9:$Y$9)</f>
        <v>0</v>
      </c>
      <c r="AA9" s="30">
        <f>SUMIF($L$4:$Z$4,"SUBTOTAL",$L$9:$Z$9)</f>
        <v>203.16564772524453</v>
      </c>
    </row>
    <row r="10" spans="1:27" ht="11.25" customHeight="1" x14ac:dyDescent="0.25">
      <c r="A10" s="138"/>
      <c r="B10" s="138"/>
      <c r="C10" s="138"/>
      <c r="D10" s="138"/>
      <c r="E10" s="138"/>
      <c r="F10" s="138"/>
      <c r="G10" s="32" t="s">
        <v>73</v>
      </c>
      <c r="H10" s="32" t="s">
        <v>71</v>
      </c>
      <c r="I10" s="32">
        <f>'MERCADO TE'!$U$7</f>
        <v>15.786</v>
      </c>
      <c r="J10" s="17"/>
      <c r="L10" s="30">
        <f>'TR TE'!$L$10*'TR TE'!$L$49</f>
        <v>0</v>
      </c>
      <c r="M10" s="30">
        <f>'TR TE'!$M$10*'TR TE'!$M$49</f>
        <v>0</v>
      </c>
      <c r="N10" s="30">
        <f>'TR TE'!$N$10*'TR TE'!$N$49</f>
        <v>0</v>
      </c>
      <c r="O10" s="30">
        <f>'TR TE'!$O$10*'TR TE'!$O$49</f>
        <v>0</v>
      </c>
      <c r="P10" s="30">
        <f>SUM($L$10:$O$10)</f>
        <v>0</v>
      </c>
      <c r="Q10" s="30">
        <f>'TR TE'!$Q$10*'TR TE'!$Q$49</f>
        <v>203.16564772524453</v>
      </c>
      <c r="R10" s="30">
        <f>SUM($Q$10:$Q$10)</f>
        <v>203.16564772524453</v>
      </c>
      <c r="S10" s="30">
        <f>'TR TE'!$S$10*'TR TE'!$S$49</f>
        <v>0</v>
      </c>
      <c r="T10" s="30">
        <f>'TR TE'!$T$10*'TR TE'!$T$49</f>
        <v>0</v>
      </c>
      <c r="U10" s="30">
        <f>'TR TE'!$U$10*'TR TE'!$U$49</f>
        <v>0</v>
      </c>
      <c r="V10" s="30">
        <f>SUM($S$10:$U$10)</f>
        <v>0</v>
      </c>
      <c r="W10" s="30"/>
      <c r="X10" s="30">
        <f>SUM($W$10:$W$10)</f>
        <v>0</v>
      </c>
      <c r="Y10" s="30">
        <f>'TR TE'!$Y$10*'TR TE'!$Y$49</f>
        <v>0</v>
      </c>
      <c r="Z10" s="30">
        <f>SUM($Y$10:$Y$10)</f>
        <v>0</v>
      </c>
      <c r="AA10" s="30">
        <f>SUMIF($L$4:$Z$4,"SUBTOTAL",$L$10:$Z$10)</f>
        <v>203.16564772524453</v>
      </c>
    </row>
    <row r="11" spans="1:27" ht="11.25" customHeight="1" x14ac:dyDescent="0.25">
      <c r="A11" s="138"/>
      <c r="B11" s="138" t="s">
        <v>74</v>
      </c>
      <c r="C11" s="138" t="s">
        <v>24</v>
      </c>
      <c r="D11" s="33" t="s">
        <v>24</v>
      </c>
      <c r="E11" s="33" t="s">
        <v>25</v>
      </c>
      <c r="F11" s="33" t="s">
        <v>25</v>
      </c>
      <c r="G11" s="32" t="s">
        <v>75</v>
      </c>
      <c r="H11" s="32" t="s">
        <v>71</v>
      </c>
      <c r="I11" s="32">
        <f>'MERCADO TE'!$U$8</f>
        <v>26510.091</v>
      </c>
      <c r="J11" s="17"/>
      <c r="L11" s="30">
        <f>'TR TE'!$L$11*'TR TE'!$L$49</f>
        <v>0</v>
      </c>
      <c r="M11" s="30">
        <f>'TR TE'!$M$11*'TR TE'!$M$49</f>
        <v>0</v>
      </c>
      <c r="N11" s="30">
        <f>'TR TE'!$N$11*'TR TE'!$N$49</f>
        <v>0</v>
      </c>
      <c r="O11" s="30">
        <f>'TR TE'!$O$11*'TR TE'!$O$49</f>
        <v>0</v>
      </c>
      <c r="P11" s="30">
        <f>SUM($L$11:$O$11)</f>
        <v>0</v>
      </c>
      <c r="Q11" s="30">
        <f>'TR TE'!$Q$11*'TR TE'!$Q$49</f>
        <v>203.16564772524453</v>
      </c>
      <c r="R11" s="30">
        <f>SUM($Q$11:$Q$11)</f>
        <v>203.16564772524453</v>
      </c>
      <c r="S11" s="30">
        <f>'TR TE'!$S$11*'TR TE'!$S$49</f>
        <v>0</v>
      </c>
      <c r="T11" s="30">
        <f>'TR TE'!$T$11*'TR TE'!$T$49</f>
        <v>0</v>
      </c>
      <c r="U11" s="30">
        <f>'TR TE'!$U$11*'TR TE'!$U$49</f>
        <v>0</v>
      </c>
      <c r="V11" s="30">
        <f>SUM($S$11:$U$11)</f>
        <v>0</v>
      </c>
      <c r="W11" s="30"/>
      <c r="X11" s="30">
        <f>SUM($W$11:$W$11)</f>
        <v>0</v>
      </c>
      <c r="Y11" s="30">
        <f>'TR TE'!$Y$11*'TR TE'!$Y$49</f>
        <v>0</v>
      </c>
      <c r="Z11" s="30">
        <f>SUM($Y$11:$Y$11)</f>
        <v>0</v>
      </c>
      <c r="AA11" s="30">
        <f>SUMIF($L$4:$Z$4,"SUBTOTAL",$L$11:$Z$11)</f>
        <v>203.16564772524453</v>
      </c>
    </row>
    <row r="12" spans="1:27" ht="11.25" customHeight="1" x14ac:dyDescent="0.25">
      <c r="A12" s="138"/>
      <c r="B12" s="138"/>
      <c r="C12" s="138"/>
      <c r="D12" s="33" t="s">
        <v>29</v>
      </c>
      <c r="E12" s="33" t="s">
        <v>25</v>
      </c>
      <c r="F12" s="33" t="s">
        <v>25</v>
      </c>
      <c r="G12" s="32" t="s">
        <v>75</v>
      </c>
      <c r="H12" s="32" t="s">
        <v>71</v>
      </c>
      <c r="I12" s="32">
        <f>'MERCADO TE'!$U$9</f>
        <v>224.727</v>
      </c>
      <c r="J12" s="17"/>
      <c r="L12" s="30">
        <f>'TR TE'!$L$12*'TR TE'!$L$49</f>
        <v>0</v>
      </c>
      <c r="M12" s="30">
        <f>'TR TE'!$M$12*'TR TE'!$M$49</f>
        <v>0</v>
      </c>
      <c r="N12" s="30">
        <f>'TR TE'!$N$12*'TR TE'!$N$49</f>
        <v>0</v>
      </c>
      <c r="O12" s="30">
        <f>'TR TE'!$O$12*'TR TE'!$O$49</f>
        <v>0</v>
      </c>
      <c r="P12" s="30">
        <f>SUM($L$12:$O$12)</f>
        <v>0</v>
      </c>
      <c r="Q12" s="30">
        <f>'TR TE'!$Q$12*'TR TE'!$Q$49</f>
        <v>203.16564772524453</v>
      </c>
      <c r="R12" s="30">
        <f>SUM($Q$12:$Q$12)</f>
        <v>203.16564772524453</v>
      </c>
      <c r="S12" s="30">
        <f>'TR TE'!$S$12*'TR TE'!$S$49</f>
        <v>0</v>
      </c>
      <c r="T12" s="30">
        <f>'TR TE'!$T$12*'TR TE'!$T$49</f>
        <v>0</v>
      </c>
      <c r="U12" s="30">
        <f>'TR TE'!$U$12*'TR TE'!$U$49</f>
        <v>0</v>
      </c>
      <c r="V12" s="30">
        <f>SUM($S$12:$U$12)</f>
        <v>0</v>
      </c>
      <c r="W12" s="30"/>
      <c r="X12" s="30">
        <f>SUM($W$12:$W$12)</f>
        <v>0</v>
      </c>
      <c r="Y12" s="30">
        <f>'TR TE'!$Y$12*'TR TE'!$Y$49</f>
        <v>0</v>
      </c>
      <c r="Z12" s="30">
        <f>SUM($Y$12:$Y$12)</f>
        <v>0</v>
      </c>
      <c r="AA12" s="30">
        <f>SUMIF($L$4:$Z$4,"SUBTOTAL",$L$12:$Z$12)</f>
        <v>203.16564772524453</v>
      </c>
    </row>
    <row r="13" spans="1:27" ht="11.25" customHeight="1" x14ac:dyDescent="0.25">
      <c r="A13" s="138"/>
      <c r="B13" s="138"/>
      <c r="C13" s="138"/>
      <c r="D13" s="33" t="s">
        <v>30</v>
      </c>
      <c r="E13" s="33" t="s">
        <v>25</v>
      </c>
      <c r="F13" s="33" t="s">
        <v>25</v>
      </c>
      <c r="G13" s="32" t="s">
        <v>75</v>
      </c>
      <c r="H13" s="32" t="s">
        <v>71</v>
      </c>
      <c r="I13" s="32">
        <f>'MERCADO TE'!$U$10</f>
        <v>457.44400000000002</v>
      </c>
      <c r="J13" s="17"/>
      <c r="L13" s="30">
        <f>'TR TE'!$L$13*'TR TE'!$L$49</f>
        <v>0</v>
      </c>
      <c r="M13" s="30">
        <f>'TR TE'!$M$13*'TR TE'!$M$49</f>
        <v>0</v>
      </c>
      <c r="N13" s="30">
        <f>'TR TE'!$N$13*'TR TE'!$N$49</f>
        <v>0</v>
      </c>
      <c r="O13" s="30">
        <f>'TR TE'!$O$13*'TR TE'!$O$49</f>
        <v>0</v>
      </c>
      <c r="P13" s="30">
        <f>SUM($L$13:$O$13)</f>
        <v>0</v>
      </c>
      <c r="Q13" s="30">
        <f>'TR TE'!$Q$13*'TR TE'!$Q$49</f>
        <v>203.16564772524453</v>
      </c>
      <c r="R13" s="30">
        <f>SUM($Q$13:$Q$13)</f>
        <v>203.16564772524453</v>
      </c>
      <c r="S13" s="30">
        <f>'TR TE'!$S$13*'TR TE'!$S$49</f>
        <v>0</v>
      </c>
      <c r="T13" s="30">
        <f>'TR TE'!$T$13*'TR TE'!$T$49</f>
        <v>0</v>
      </c>
      <c r="U13" s="30">
        <f>'TR TE'!$U$13*'TR TE'!$U$49</f>
        <v>0</v>
      </c>
      <c r="V13" s="30">
        <f>SUM($S$13:$U$13)</f>
        <v>0</v>
      </c>
      <c r="W13" s="30"/>
      <c r="X13" s="30">
        <f>SUM($W$13:$W$13)</f>
        <v>0</v>
      </c>
      <c r="Y13" s="30">
        <f>'TR TE'!$Y$13*'TR TE'!$Y$49</f>
        <v>0</v>
      </c>
      <c r="Z13" s="30">
        <f>SUM($Y$13:$Y$13)</f>
        <v>0</v>
      </c>
      <c r="AA13" s="30">
        <f>SUMIF($L$4:$Z$4,"SUBTOTAL",$L$13:$Z$13)</f>
        <v>203.16564772524453</v>
      </c>
    </row>
    <row r="14" spans="1:27" ht="11.25" customHeight="1" x14ac:dyDescent="0.25">
      <c r="A14" s="138"/>
      <c r="B14" s="138"/>
      <c r="C14" s="138"/>
      <c r="D14" s="33" t="s">
        <v>31</v>
      </c>
      <c r="E14" s="33" t="s">
        <v>25</v>
      </c>
      <c r="F14" s="33" t="s">
        <v>25</v>
      </c>
      <c r="G14" s="32" t="s">
        <v>75</v>
      </c>
      <c r="H14" s="32" t="s">
        <v>71</v>
      </c>
      <c r="I14" s="32">
        <f>'MERCADO TE'!$U$11</f>
        <v>365.92600000000004</v>
      </c>
      <c r="J14" s="17"/>
      <c r="L14" s="30">
        <f>'TR TE'!$L$14*'TR TE'!$L$49</f>
        <v>0</v>
      </c>
      <c r="M14" s="30">
        <f>'TR TE'!$M$14*'TR TE'!$M$49</f>
        <v>0</v>
      </c>
      <c r="N14" s="30">
        <f>'TR TE'!$N$14*'TR TE'!$N$49</f>
        <v>0</v>
      </c>
      <c r="O14" s="30">
        <f>'TR TE'!$O$14*'TR TE'!$O$49</f>
        <v>0</v>
      </c>
      <c r="P14" s="30">
        <f>SUM($L$14:$O$14)</f>
        <v>0</v>
      </c>
      <c r="Q14" s="30">
        <f>'TR TE'!$Q$14*'TR TE'!$Q$49</f>
        <v>203.16564772524453</v>
      </c>
      <c r="R14" s="30">
        <f>SUM($Q$14:$Q$14)</f>
        <v>203.16564772524453</v>
      </c>
      <c r="S14" s="30">
        <f>'TR TE'!$S$14*'TR TE'!$S$49</f>
        <v>0</v>
      </c>
      <c r="T14" s="30">
        <f>'TR TE'!$T$14*'TR TE'!$T$49</f>
        <v>0</v>
      </c>
      <c r="U14" s="30">
        <f>'TR TE'!$U$14*'TR TE'!$U$49</f>
        <v>0</v>
      </c>
      <c r="V14" s="30">
        <f>SUM($S$14:$U$14)</f>
        <v>0</v>
      </c>
      <c r="W14" s="30"/>
      <c r="X14" s="30">
        <f>SUM($W$14:$W$14)</f>
        <v>0</v>
      </c>
      <c r="Y14" s="30">
        <f>'TR TE'!$Y$14*'TR TE'!$Y$49</f>
        <v>0</v>
      </c>
      <c r="Z14" s="30">
        <f>SUM($Y$14:$Y$14)</f>
        <v>0</v>
      </c>
      <c r="AA14" s="30">
        <f>SUMIF($L$4:$Z$4,"SUBTOTAL",$L$14:$Z$14)</f>
        <v>203.16564772524453</v>
      </c>
    </row>
    <row r="15" spans="1:27" ht="11.25" customHeight="1" x14ac:dyDescent="0.25">
      <c r="A15" s="138"/>
      <c r="B15" s="138"/>
      <c r="C15" s="138"/>
      <c r="D15" s="33" t="s">
        <v>32</v>
      </c>
      <c r="E15" s="33" t="s">
        <v>25</v>
      </c>
      <c r="F15" s="33" t="s">
        <v>25</v>
      </c>
      <c r="G15" s="32" t="s">
        <v>75</v>
      </c>
      <c r="H15" s="32" t="s">
        <v>71</v>
      </c>
      <c r="I15" s="32">
        <f>'MERCADO TE'!$U$12</f>
        <v>81.745999999999995</v>
      </c>
      <c r="J15" s="17"/>
      <c r="L15" s="30">
        <f>'TR TE'!$L$15*'TR TE'!$L$49</f>
        <v>0</v>
      </c>
      <c r="M15" s="30">
        <f>'TR TE'!$M$15*'TR TE'!$M$49</f>
        <v>0</v>
      </c>
      <c r="N15" s="30">
        <f>'TR TE'!$N$15*'TR TE'!$N$49</f>
        <v>0</v>
      </c>
      <c r="O15" s="30">
        <f>'TR TE'!$O$15*'TR TE'!$O$49</f>
        <v>0</v>
      </c>
      <c r="P15" s="30">
        <f>SUM($L$15:$O$15)</f>
        <v>0</v>
      </c>
      <c r="Q15" s="30">
        <f>'TR TE'!$Q$15*'TR TE'!$Q$49</f>
        <v>203.16564772524453</v>
      </c>
      <c r="R15" s="30">
        <f>SUM($Q$15:$Q$15)</f>
        <v>203.16564772524453</v>
      </c>
      <c r="S15" s="30">
        <f>'TR TE'!$S$15*'TR TE'!$S$49</f>
        <v>0</v>
      </c>
      <c r="T15" s="30">
        <f>'TR TE'!$T$15*'TR TE'!$T$49</f>
        <v>0</v>
      </c>
      <c r="U15" s="30">
        <f>'TR TE'!$U$15*'TR TE'!$U$49</f>
        <v>0</v>
      </c>
      <c r="V15" s="30">
        <f>SUM($S$15:$U$15)</f>
        <v>0</v>
      </c>
      <c r="W15" s="30"/>
      <c r="X15" s="30">
        <f>SUM($W$15:$W$15)</f>
        <v>0</v>
      </c>
      <c r="Y15" s="30">
        <f>'TR TE'!$Y$15*'TR TE'!$Y$49</f>
        <v>0</v>
      </c>
      <c r="Z15" s="30">
        <f>SUM($Y$15:$Y$15)</f>
        <v>0</v>
      </c>
      <c r="AA15" s="30">
        <f>SUMIF($L$4:$Z$4,"SUBTOTAL",$L$15:$Z$15)</f>
        <v>203.16564772524453</v>
      </c>
    </row>
    <row r="16" spans="1:27" ht="11.25" customHeight="1" x14ac:dyDescent="0.25">
      <c r="A16" s="138"/>
      <c r="B16" s="138" t="s">
        <v>85</v>
      </c>
      <c r="C16" s="138" t="s">
        <v>24</v>
      </c>
      <c r="D16" s="33" t="s">
        <v>24</v>
      </c>
      <c r="E16" s="33" t="s">
        <v>25</v>
      </c>
      <c r="F16" s="33" t="s">
        <v>25</v>
      </c>
      <c r="G16" s="32" t="s">
        <v>75</v>
      </c>
      <c r="H16" s="32" t="s">
        <v>71</v>
      </c>
      <c r="I16" s="32">
        <f>'MERCADO TE'!$U$13</f>
        <v>0</v>
      </c>
      <c r="J16" s="17"/>
      <c r="L16" s="30">
        <f>'TR TE'!$L$16*'TR TE'!$L$49</f>
        <v>0</v>
      </c>
      <c r="M16" s="30">
        <f>'TR TE'!$M$16*'TR TE'!$M$49</f>
        <v>0</v>
      </c>
      <c r="N16" s="30">
        <f>'TR TE'!$N$16*'TR TE'!$N$49</f>
        <v>0</v>
      </c>
      <c r="O16" s="30">
        <f>'TR TE'!$O$16*'TR TE'!$O$49</f>
        <v>0</v>
      </c>
      <c r="P16" s="30">
        <f>SUM($L$16:$O$16)</f>
        <v>0</v>
      </c>
      <c r="Q16" s="30">
        <f>'TR TE'!$Q$16*'TR TE'!$Q$49</f>
        <v>203.16564772524453</v>
      </c>
      <c r="R16" s="30">
        <f>SUM($Q$16:$Q$16)</f>
        <v>203.16564772524453</v>
      </c>
      <c r="S16" s="30">
        <f>'TR TE'!$S$16*'TR TE'!$S$49</f>
        <v>0</v>
      </c>
      <c r="T16" s="30">
        <f>'TR TE'!$T$16*'TR TE'!$T$49</f>
        <v>0</v>
      </c>
      <c r="U16" s="30">
        <f>'TR TE'!$U$16*'TR TE'!$U$49</f>
        <v>0</v>
      </c>
      <c r="V16" s="30">
        <f>SUM($S$16:$U$16)</f>
        <v>0</v>
      </c>
      <c r="W16" s="30"/>
      <c r="X16" s="30">
        <f>SUM($W$16:$W$16)</f>
        <v>0</v>
      </c>
      <c r="Y16" s="30">
        <f>'TR TE'!$Y$16*'TR TE'!$Y$49</f>
        <v>0</v>
      </c>
      <c r="Z16" s="30">
        <f>SUM($Y$16:$Y$16)</f>
        <v>0</v>
      </c>
      <c r="AA16" s="30">
        <f>SUMIF($L$4:$Z$4,"SUBTOTAL",$L$16:$Z$16)</f>
        <v>203.16564772524453</v>
      </c>
    </row>
    <row r="17" spans="1:27" ht="11.25" customHeight="1" x14ac:dyDescent="0.25">
      <c r="A17" s="138"/>
      <c r="B17" s="138"/>
      <c r="C17" s="138"/>
      <c r="D17" s="33" t="s">
        <v>29</v>
      </c>
      <c r="E17" s="33" t="s">
        <v>25</v>
      </c>
      <c r="F17" s="33" t="s">
        <v>25</v>
      </c>
      <c r="G17" s="32" t="s">
        <v>75</v>
      </c>
      <c r="H17" s="32" t="s">
        <v>71</v>
      </c>
      <c r="I17" s="32">
        <f>'MERCADO TE'!$U$14</f>
        <v>0</v>
      </c>
      <c r="J17" s="17"/>
      <c r="L17" s="30">
        <f>'TR TE'!$L$17*'TR TE'!$L$49</f>
        <v>0</v>
      </c>
      <c r="M17" s="30">
        <f>'TR TE'!$M$17*'TR TE'!$M$49</f>
        <v>0</v>
      </c>
      <c r="N17" s="30">
        <f>'TR TE'!$N$17*'TR TE'!$N$49</f>
        <v>0</v>
      </c>
      <c r="O17" s="30">
        <f>'TR TE'!$O$17*'TR TE'!$O$49</f>
        <v>0</v>
      </c>
      <c r="P17" s="30">
        <f>SUM($L$17:$O$17)</f>
        <v>0</v>
      </c>
      <c r="Q17" s="30">
        <f>'TR TE'!$Q$17*'TR TE'!$Q$49</f>
        <v>203.16564772524453</v>
      </c>
      <c r="R17" s="30">
        <f>SUM($Q$17:$Q$17)</f>
        <v>203.16564772524453</v>
      </c>
      <c r="S17" s="30">
        <f>'TR TE'!$S$17*'TR TE'!$S$49</f>
        <v>0</v>
      </c>
      <c r="T17" s="30">
        <f>'TR TE'!$T$17*'TR TE'!$T$49</f>
        <v>0</v>
      </c>
      <c r="U17" s="30">
        <f>'TR TE'!$U$17*'TR TE'!$U$49</f>
        <v>0</v>
      </c>
      <c r="V17" s="30">
        <f>SUM($S$17:$U$17)</f>
        <v>0</v>
      </c>
      <c r="W17" s="30"/>
      <c r="X17" s="30">
        <f>SUM($W$17:$W$17)</f>
        <v>0</v>
      </c>
      <c r="Y17" s="30">
        <f>'TR TE'!$Y$17*'TR TE'!$Y$49</f>
        <v>0</v>
      </c>
      <c r="Z17" s="30">
        <f>SUM($Y$17:$Y$17)</f>
        <v>0</v>
      </c>
      <c r="AA17" s="30">
        <f>SUMIF($L$4:$Z$4,"SUBTOTAL",$L$17:$Z$17)</f>
        <v>203.16564772524453</v>
      </c>
    </row>
    <row r="18" spans="1:27" ht="11.25" customHeight="1" x14ac:dyDescent="0.25">
      <c r="A18" s="138"/>
      <c r="B18" s="138"/>
      <c r="C18" s="138"/>
      <c r="D18" s="33" t="s">
        <v>30</v>
      </c>
      <c r="E18" s="33" t="s">
        <v>25</v>
      </c>
      <c r="F18" s="33" t="s">
        <v>25</v>
      </c>
      <c r="G18" s="32" t="s">
        <v>75</v>
      </c>
      <c r="H18" s="32" t="s">
        <v>71</v>
      </c>
      <c r="I18" s="32">
        <f>'MERCADO TE'!$U$15</f>
        <v>0</v>
      </c>
      <c r="J18" s="17"/>
      <c r="L18" s="30">
        <f>'TR TE'!$L$18*'TR TE'!$L$49</f>
        <v>0</v>
      </c>
      <c r="M18" s="30">
        <f>'TR TE'!$M$18*'TR TE'!$M$49</f>
        <v>0</v>
      </c>
      <c r="N18" s="30">
        <f>'TR TE'!$N$18*'TR TE'!$N$49</f>
        <v>0</v>
      </c>
      <c r="O18" s="30">
        <f>'TR TE'!$O$18*'TR TE'!$O$49</f>
        <v>0</v>
      </c>
      <c r="P18" s="30">
        <f>SUM($L$18:$O$18)</f>
        <v>0</v>
      </c>
      <c r="Q18" s="30">
        <f>'TR TE'!$Q$18*'TR TE'!$Q$49</f>
        <v>203.16564772524453</v>
      </c>
      <c r="R18" s="30">
        <f>SUM($Q$18:$Q$18)</f>
        <v>203.16564772524453</v>
      </c>
      <c r="S18" s="30">
        <f>'TR TE'!$S$18*'TR TE'!$S$49</f>
        <v>0</v>
      </c>
      <c r="T18" s="30">
        <f>'TR TE'!$T$18*'TR TE'!$T$49</f>
        <v>0</v>
      </c>
      <c r="U18" s="30">
        <f>'TR TE'!$U$18*'TR TE'!$U$49</f>
        <v>0</v>
      </c>
      <c r="V18" s="30">
        <f>SUM($S$18:$U$18)</f>
        <v>0</v>
      </c>
      <c r="W18" s="30"/>
      <c r="X18" s="30">
        <f>SUM($W$18:$W$18)</f>
        <v>0</v>
      </c>
      <c r="Y18" s="30">
        <f>'TR TE'!$Y$18*'TR TE'!$Y$49</f>
        <v>0</v>
      </c>
      <c r="Z18" s="30">
        <f>SUM($Y$18:$Y$18)</f>
        <v>0</v>
      </c>
      <c r="AA18" s="30">
        <f>SUMIF($L$4:$Z$4,"SUBTOTAL",$L$18:$Z$18)</f>
        <v>203.16564772524453</v>
      </c>
    </row>
    <row r="19" spans="1:27" ht="11.25" customHeight="1" x14ac:dyDescent="0.25">
      <c r="A19" s="138"/>
      <c r="B19" s="138"/>
      <c r="C19" s="138"/>
      <c r="D19" s="33" t="s">
        <v>31</v>
      </c>
      <c r="E19" s="33" t="s">
        <v>25</v>
      </c>
      <c r="F19" s="33" t="s">
        <v>25</v>
      </c>
      <c r="G19" s="32" t="s">
        <v>75</v>
      </c>
      <c r="H19" s="32" t="s">
        <v>71</v>
      </c>
      <c r="I19" s="32">
        <f>'MERCADO TE'!$U$16</f>
        <v>0</v>
      </c>
      <c r="J19" s="17"/>
      <c r="L19" s="30">
        <f>'TR TE'!$L$19*'TR TE'!$L$49</f>
        <v>0</v>
      </c>
      <c r="M19" s="30">
        <f>'TR TE'!$M$19*'TR TE'!$M$49</f>
        <v>0</v>
      </c>
      <c r="N19" s="30">
        <f>'TR TE'!$N$19*'TR TE'!$N$49</f>
        <v>0</v>
      </c>
      <c r="O19" s="30">
        <f>'TR TE'!$O$19*'TR TE'!$O$49</f>
        <v>0</v>
      </c>
      <c r="P19" s="30">
        <f>SUM($L$19:$O$19)</f>
        <v>0</v>
      </c>
      <c r="Q19" s="30">
        <f>'TR TE'!$Q$19*'TR TE'!$Q$49</f>
        <v>203.16564772524453</v>
      </c>
      <c r="R19" s="30">
        <f>SUM($Q$19:$Q$19)</f>
        <v>203.16564772524453</v>
      </c>
      <c r="S19" s="30">
        <f>'TR TE'!$S$19*'TR TE'!$S$49</f>
        <v>0</v>
      </c>
      <c r="T19" s="30">
        <f>'TR TE'!$T$19*'TR TE'!$T$49</f>
        <v>0</v>
      </c>
      <c r="U19" s="30">
        <f>'TR TE'!$U$19*'TR TE'!$U$49</f>
        <v>0</v>
      </c>
      <c r="V19" s="30">
        <f>SUM($S$19:$U$19)</f>
        <v>0</v>
      </c>
      <c r="W19" s="30"/>
      <c r="X19" s="30">
        <f>SUM($W$19:$W$19)</f>
        <v>0</v>
      </c>
      <c r="Y19" s="30">
        <f>'TR TE'!$Y$19*'TR TE'!$Y$49</f>
        <v>0</v>
      </c>
      <c r="Z19" s="30">
        <f>SUM($Y$19:$Y$19)</f>
        <v>0</v>
      </c>
      <c r="AA19" s="30">
        <f>SUMIF($L$4:$Z$4,"SUBTOTAL",$L$19:$Z$19)</f>
        <v>203.16564772524453</v>
      </c>
    </row>
    <row r="20" spans="1:27" ht="11.25" customHeight="1" x14ac:dyDescent="0.25">
      <c r="A20" s="138"/>
      <c r="B20" s="138"/>
      <c r="C20" s="138"/>
      <c r="D20" s="33" t="s">
        <v>32</v>
      </c>
      <c r="E20" s="33" t="s">
        <v>25</v>
      </c>
      <c r="F20" s="33" t="s">
        <v>25</v>
      </c>
      <c r="G20" s="32" t="s">
        <v>75</v>
      </c>
      <c r="H20" s="32" t="s">
        <v>71</v>
      </c>
      <c r="I20" s="32">
        <f>'MERCADO TE'!$U$17</f>
        <v>0</v>
      </c>
      <c r="J20" s="17"/>
      <c r="L20" s="30">
        <f>'TR TE'!$L$20*'TR TE'!$L$49</f>
        <v>0</v>
      </c>
      <c r="M20" s="30">
        <f>'TR TE'!$M$20*'TR TE'!$M$49</f>
        <v>0</v>
      </c>
      <c r="N20" s="30">
        <f>'TR TE'!$N$20*'TR TE'!$N$49</f>
        <v>0</v>
      </c>
      <c r="O20" s="30">
        <f>'TR TE'!$O$20*'TR TE'!$O$49</f>
        <v>0</v>
      </c>
      <c r="P20" s="30">
        <f>SUM($L$20:$O$20)</f>
        <v>0</v>
      </c>
      <c r="Q20" s="30">
        <f>'TR TE'!$Q$20*'TR TE'!$Q$49</f>
        <v>203.16564772524453</v>
      </c>
      <c r="R20" s="30">
        <f>SUM($Q$20:$Q$20)</f>
        <v>203.16564772524453</v>
      </c>
      <c r="S20" s="30">
        <f>'TR TE'!$S$20*'TR TE'!$S$49</f>
        <v>0</v>
      </c>
      <c r="T20" s="30">
        <f>'TR TE'!$T$20*'TR TE'!$T$49</f>
        <v>0</v>
      </c>
      <c r="U20" s="30">
        <f>'TR TE'!$U$20*'TR TE'!$U$49</f>
        <v>0</v>
      </c>
      <c r="V20" s="30">
        <f>SUM($S$20:$U$20)</f>
        <v>0</v>
      </c>
      <c r="W20" s="30"/>
      <c r="X20" s="30">
        <f>SUM($W$20:$W$20)</f>
        <v>0</v>
      </c>
      <c r="Y20" s="30">
        <f>'TR TE'!$Y$20*'TR TE'!$Y$49</f>
        <v>0</v>
      </c>
      <c r="Z20" s="30">
        <f>SUM($Y$20:$Y$20)</f>
        <v>0</v>
      </c>
      <c r="AA20" s="30">
        <f>SUMIF($L$4:$Z$4,"SUBTOTAL",$L$20:$Z$20)</f>
        <v>203.16564772524453</v>
      </c>
    </row>
    <row r="21" spans="1:27" ht="11.25" customHeight="1" x14ac:dyDescent="0.25">
      <c r="A21" s="138" t="s">
        <v>43</v>
      </c>
      <c r="B21" s="138" t="s">
        <v>70</v>
      </c>
      <c r="C21" s="138" t="s">
        <v>44</v>
      </c>
      <c r="D21" s="138" t="s">
        <v>25</v>
      </c>
      <c r="E21" s="138" t="s">
        <v>25</v>
      </c>
      <c r="F21" s="138" t="s">
        <v>25</v>
      </c>
      <c r="G21" s="32" t="s">
        <v>72</v>
      </c>
      <c r="H21" s="32" t="s">
        <v>71</v>
      </c>
      <c r="I21" s="32">
        <f>'MERCADO TE'!$U$18</f>
        <v>0</v>
      </c>
      <c r="J21" s="17"/>
      <c r="L21" s="30">
        <f>'TR TE'!$L$21*'TR TE'!$L$49</f>
        <v>0</v>
      </c>
      <c r="M21" s="30">
        <f>'TR TE'!$M$21*'TR TE'!$M$49</f>
        <v>0</v>
      </c>
      <c r="N21" s="30">
        <f>'TR TE'!$N$21*'TR TE'!$N$49</f>
        <v>0</v>
      </c>
      <c r="O21" s="30">
        <f>'TR TE'!$O$21*'TR TE'!$O$49</f>
        <v>0</v>
      </c>
      <c r="P21" s="30">
        <f>SUM($L$21:$O$21)</f>
        <v>0</v>
      </c>
      <c r="Q21" s="30">
        <f>'TR TE'!$Q$21*'TR TE'!$Q$49</f>
        <v>203.16564772524453</v>
      </c>
      <c r="R21" s="30">
        <f>SUM($Q$21:$Q$21)</f>
        <v>203.16564772524453</v>
      </c>
      <c r="S21" s="30">
        <f>'TR TE'!$S$21*'TR TE'!$S$49</f>
        <v>0</v>
      </c>
      <c r="T21" s="30">
        <f>'TR TE'!$T$21*'TR TE'!$T$49</f>
        <v>0</v>
      </c>
      <c r="U21" s="30">
        <f>'TR TE'!$U$21*'TR TE'!$U$49</f>
        <v>0</v>
      </c>
      <c r="V21" s="30">
        <f>SUM($S$21:$U$21)</f>
        <v>0</v>
      </c>
      <c r="W21" s="30"/>
      <c r="X21" s="30">
        <f>SUM($W$21:$W$21)</f>
        <v>0</v>
      </c>
      <c r="Y21" s="30">
        <f>'TR TE'!$Y$21*'TR TE'!$Y$49</f>
        <v>0</v>
      </c>
      <c r="Z21" s="30">
        <f>SUM($Y$21:$Y$21)</f>
        <v>0</v>
      </c>
      <c r="AA21" s="30">
        <f>SUMIF($L$4:$Z$4,"SUBTOTAL",$L$21:$Z$21)</f>
        <v>203.16564772524453</v>
      </c>
    </row>
    <row r="22" spans="1:27" ht="11.25" customHeight="1" x14ac:dyDescent="0.25">
      <c r="A22" s="138"/>
      <c r="B22" s="138"/>
      <c r="C22" s="138"/>
      <c r="D22" s="138"/>
      <c r="E22" s="138"/>
      <c r="F22" s="138"/>
      <c r="G22" s="32" t="s">
        <v>84</v>
      </c>
      <c r="H22" s="32" t="s">
        <v>71</v>
      </c>
      <c r="I22" s="32">
        <f>'MERCADO TE'!$U$19</f>
        <v>0</v>
      </c>
      <c r="J22" s="17"/>
      <c r="L22" s="30">
        <f>'TR TE'!$L$22*'TR TE'!$L$49</f>
        <v>0</v>
      </c>
      <c r="M22" s="30">
        <f>'TR TE'!$M$22*'TR TE'!$M$49</f>
        <v>0</v>
      </c>
      <c r="N22" s="30">
        <f>'TR TE'!$N$22*'TR TE'!$N$49</f>
        <v>0</v>
      </c>
      <c r="O22" s="30">
        <f>'TR TE'!$O$22*'TR TE'!$O$49</f>
        <v>0</v>
      </c>
      <c r="P22" s="30">
        <f>SUM($L$22:$O$22)</f>
        <v>0</v>
      </c>
      <c r="Q22" s="30">
        <f>'TR TE'!$Q$22*'TR TE'!$Q$49</f>
        <v>203.16564772524453</v>
      </c>
      <c r="R22" s="30">
        <f>SUM($Q$22:$Q$22)</f>
        <v>203.16564772524453</v>
      </c>
      <c r="S22" s="30">
        <f>'TR TE'!$S$22*'TR TE'!$S$49</f>
        <v>0</v>
      </c>
      <c r="T22" s="30">
        <f>'TR TE'!$T$22*'TR TE'!$T$49</f>
        <v>0</v>
      </c>
      <c r="U22" s="30">
        <f>'TR TE'!$U$22*'TR TE'!$U$49</f>
        <v>0</v>
      </c>
      <c r="V22" s="30">
        <f>SUM($S$22:$U$22)</f>
        <v>0</v>
      </c>
      <c r="W22" s="30"/>
      <c r="X22" s="30">
        <f>SUM($W$22:$W$22)</f>
        <v>0</v>
      </c>
      <c r="Y22" s="30">
        <f>'TR TE'!$Y$22*'TR TE'!$Y$49</f>
        <v>0</v>
      </c>
      <c r="Z22" s="30">
        <f>SUM($Y$22:$Y$22)</f>
        <v>0</v>
      </c>
      <c r="AA22" s="30">
        <f>SUMIF($L$4:$Z$4,"SUBTOTAL",$L$22:$Z$22)</f>
        <v>203.16564772524453</v>
      </c>
    </row>
    <row r="23" spans="1:27" ht="11.25" customHeight="1" x14ac:dyDescent="0.25">
      <c r="A23" s="138"/>
      <c r="B23" s="138"/>
      <c r="C23" s="138"/>
      <c r="D23" s="138"/>
      <c r="E23" s="138"/>
      <c r="F23" s="138"/>
      <c r="G23" s="32" t="s">
        <v>73</v>
      </c>
      <c r="H23" s="32" t="s">
        <v>71</v>
      </c>
      <c r="I23" s="32">
        <f>'MERCADO TE'!$U$20</f>
        <v>0</v>
      </c>
      <c r="J23" s="17"/>
      <c r="L23" s="30">
        <f>'TR TE'!$L$23*'TR TE'!$L$49</f>
        <v>0</v>
      </c>
      <c r="M23" s="30">
        <f>'TR TE'!$M$23*'TR TE'!$M$49</f>
        <v>0</v>
      </c>
      <c r="N23" s="30">
        <f>'TR TE'!$N$23*'TR TE'!$N$49</f>
        <v>0</v>
      </c>
      <c r="O23" s="30">
        <f>'TR TE'!$O$23*'TR TE'!$O$49</f>
        <v>0</v>
      </c>
      <c r="P23" s="30">
        <f>SUM($L$23:$O$23)</f>
        <v>0</v>
      </c>
      <c r="Q23" s="30">
        <f>'TR TE'!$Q$23*'TR TE'!$Q$49</f>
        <v>203.16564772524453</v>
      </c>
      <c r="R23" s="30">
        <f>SUM($Q$23:$Q$23)</f>
        <v>203.16564772524453</v>
      </c>
      <c r="S23" s="30">
        <f>'TR TE'!$S$23*'TR TE'!$S$49</f>
        <v>0</v>
      </c>
      <c r="T23" s="30">
        <f>'TR TE'!$T$23*'TR TE'!$T$49</f>
        <v>0</v>
      </c>
      <c r="U23" s="30">
        <f>'TR TE'!$U$23*'TR TE'!$U$49</f>
        <v>0</v>
      </c>
      <c r="V23" s="30">
        <f>SUM($S$23:$U$23)</f>
        <v>0</v>
      </c>
      <c r="W23" s="30"/>
      <c r="X23" s="30">
        <f>SUM($W$23:$W$23)</f>
        <v>0</v>
      </c>
      <c r="Y23" s="30">
        <f>'TR TE'!$Y$23*'TR TE'!$Y$49</f>
        <v>0</v>
      </c>
      <c r="Z23" s="30">
        <f>SUM($Y$23:$Y$23)</f>
        <v>0</v>
      </c>
      <c r="AA23" s="30">
        <f>SUMIF($L$4:$Z$4,"SUBTOTAL",$L$23:$Z$23)</f>
        <v>203.16564772524453</v>
      </c>
    </row>
    <row r="24" spans="1:27" ht="11.25" customHeight="1" x14ac:dyDescent="0.25">
      <c r="A24" s="138"/>
      <c r="B24" s="33" t="s">
        <v>74</v>
      </c>
      <c r="C24" s="33" t="s">
        <v>44</v>
      </c>
      <c r="D24" s="33" t="s">
        <v>25</v>
      </c>
      <c r="E24" s="33" t="s">
        <v>25</v>
      </c>
      <c r="F24" s="33" t="s">
        <v>25</v>
      </c>
      <c r="G24" s="32" t="s">
        <v>75</v>
      </c>
      <c r="H24" s="32" t="s">
        <v>71</v>
      </c>
      <c r="I24" s="32">
        <f>'MERCADO TE'!$U$21</f>
        <v>3313.4050000000002</v>
      </c>
      <c r="J24" s="17"/>
      <c r="L24" s="30">
        <f>'TR TE'!$L$24*'TR TE'!$L$49</f>
        <v>0</v>
      </c>
      <c r="M24" s="30">
        <f>'TR TE'!$M$24*'TR TE'!$M$49</f>
        <v>0</v>
      </c>
      <c r="N24" s="30">
        <f>'TR TE'!$N$24*'TR TE'!$N$49</f>
        <v>0</v>
      </c>
      <c r="O24" s="30">
        <f>'TR TE'!$O$24*'TR TE'!$O$49</f>
        <v>0</v>
      </c>
      <c r="P24" s="30">
        <f>SUM($L$24:$O$24)</f>
        <v>0</v>
      </c>
      <c r="Q24" s="30">
        <f>'TR TE'!$Q$24*'TR TE'!$Q$49</f>
        <v>203.16564772524453</v>
      </c>
      <c r="R24" s="30">
        <f>SUM($Q$24:$Q$24)</f>
        <v>203.16564772524453</v>
      </c>
      <c r="S24" s="30">
        <f>'TR TE'!$S$24*'TR TE'!$S$49</f>
        <v>0</v>
      </c>
      <c r="T24" s="30">
        <f>'TR TE'!$T$24*'TR TE'!$T$49</f>
        <v>0</v>
      </c>
      <c r="U24" s="30">
        <f>'TR TE'!$U$24*'TR TE'!$U$49</f>
        <v>0</v>
      </c>
      <c r="V24" s="30">
        <f>SUM($S$24:$U$24)</f>
        <v>0</v>
      </c>
      <c r="W24" s="30"/>
      <c r="X24" s="30">
        <f>SUM($W$24:$W$24)</f>
        <v>0</v>
      </c>
      <c r="Y24" s="30">
        <f>'TR TE'!$Y$24*'TR TE'!$Y$49</f>
        <v>0</v>
      </c>
      <c r="Z24" s="30">
        <f>SUM($Y$24:$Y$24)</f>
        <v>0</v>
      </c>
      <c r="AA24" s="30">
        <f>SUMIF($L$4:$Z$4,"SUBTOTAL",$L$24:$Z$24)</f>
        <v>203.16564772524453</v>
      </c>
    </row>
    <row r="25" spans="1:27" ht="11.25" customHeight="1" x14ac:dyDescent="0.25">
      <c r="A25" s="138"/>
      <c r="B25" s="138" t="s">
        <v>70</v>
      </c>
      <c r="C25" s="138" t="s">
        <v>44</v>
      </c>
      <c r="D25" s="138" t="s">
        <v>87</v>
      </c>
      <c r="E25" s="138" t="s">
        <v>25</v>
      </c>
      <c r="F25" s="138" t="s">
        <v>25</v>
      </c>
      <c r="G25" s="32" t="s">
        <v>72</v>
      </c>
      <c r="H25" s="32" t="s">
        <v>71</v>
      </c>
      <c r="I25" s="32">
        <f>'MERCADO TE'!$U$22</f>
        <v>0</v>
      </c>
      <c r="J25" s="17"/>
      <c r="L25" s="30">
        <f>'TR TE'!$L$25*'TR TE'!$L$49</f>
        <v>0</v>
      </c>
      <c r="M25" s="30">
        <f>'TR TE'!$M$25*'TR TE'!$M$49</f>
        <v>0</v>
      </c>
      <c r="N25" s="30">
        <f>'TR TE'!$N$25*'TR TE'!$N$49</f>
        <v>0</v>
      </c>
      <c r="O25" s="30">
        <f>'TR TE'!$O$25*'TR TE'!$O$49</f>
        <v>0</v>
      </c>
      <c r="P25" s="30">
        <f>SUM($L$25:$O$25)</f>
        <v>0</v>
      </c>
      <c r="Q25" s="30">
        <f>'TR TE'!$Q$25*'TR TE'!$Q$49</f>
        <v>203.16564772524453</v>
      </c>
      <c r="R25" s="30">
        <f>SUM($Q$25:$Q$25)</f>
        <v>203.16564772524453</v>
      </c>
      <c r="S25" s="30">
        <f>'TR TE'!$S$25*'TR TE'!$S$49</f>
        <v>0</v>
      </c>
      <c r="T25" s="30">
        <f>'TR TE'!$T$25*'TR TE'!$T$49</f>
        <v>0</v>
      </c>
      <c r="U25" s="30">
        <f>'TR TE'!$U$25*'TR TE'!$U$49</f>
        <v>0</v>
      </c>
      <c r="V25" s="30">
        <f>SUM($S$25:$U$25)</f>
        <v>0</v>
      </c>
      <c r="W25" s="30"/>
      <c r="X25" s="30">
        <f>SUM($W$25:$W$25)</f>
        <v>0</v>
      </c>
      <c r="Y25" s="30">
        <f>'TR TE'!$Y$25*'TR TE'!$Y$49</f>
        <v>0</v>
      </c>
      <c r="Z25" s="30">
        <f>SUM($Y$25:$Y$25)</f>
        <v>0</v>
      </c>
      <c r="AA25" s="30">
        <f>SUMIF($L$4:$Z$4,"SUBTOTAL",$L$25:$Z$25)</f>
        <v>203.16564772524453</v>
      </c>
    </row>
    <row r="26" spans="1:27" ht="11.25" customHeight="1" x14ac:dyDescent="0.25">
      <c r="A26" s="138"/>
      <c r="B26" s="138"/>
      <c r="C26" s="138"/>
      <c r="D26" s="138"/>
      <c r="E26" s="138"/>
      <c r="F26" s="138"/>
      <c r="G26" s="32" t="s">
        <v>84</v>
      </c>
      <c r="H26" s="32" t="s">
        <v>71</v>
      </c>
      <c r="I26" s="32">
        <f>'MERCADO TE'!$U$23</f>
        <v>0</v>
      </c>
      <c r="J26" s="17"/>
      <c r="L26" s="30">
        <f>'TR TE'!$L$26*'TR TE'!$L$49</f>
        <v>0</v>
      </c>
      <c r="M26" s="30">
        <f>'TR TE'!$M$26*'TR TE'!$M$49</f>
        <v>0</v>
      </c>
      <c r="N26" s="30">
        <f>'TR TE'!$N$26*'TR TE'!$N$49</f>
        <v>0</v>
      </c>
      <c r="O26" s="30">
        <f>'TR TE'!$O$26*'TR TE'!$O$49</f>
        <v>0</v>
      </c>
      <c r="P26" s="30">
        <f>SUM($L$26:$O$26)</f>
        <v>0</v>
      </c>
      <c r="Q26" s="30">
        <f>'TR TE'!$Q$26*'TR TE'!$Q$49</f>
        <v>203.16564772524453</v>
      </c>
      <c r="R26" s="30">
        <f>SUM($Q$26:$Q$26)</f>
        <v>203.16564772524453</v>
      </c>
      <c r="S26" s="30">
        <f>'TR TE'!$S$26*'TR TE'!$S$49</f>
        <v>0</v>
      </c>
      <c r="T26" s="30">
        <f>'TR TE'!$T$26*'TR TE'!$T$49</f>
        <v>0</v>
      </c>
      <c r="U26" s="30">
        <f>'TR TE'!$U$26*'TR TE'!$U$49</f>
        <v>0</v>
      </c>
      <c r="V26" s="30">
        <f>SUM($S$26:$U$26)</f>
        <v>0</v>
      </c>
      <c r="W26" s="30"/>
      <c r="X26" s="30">
        <f>SUM($W$26:$W$26)</f>
        <v>0</v>
      </c>
      <c r="Y26" s="30">
        <f>'TR TE'!$Y$26*'TR TE'!$Y$49</f>
        <v>0</v>
      </c>
      <c r="Z26" s="30">
        <f>SUM($Y$26:$Y$26)</f>
        <v>0</v>
      </c>
      <c r="AA26" s="30">
        <f>SUMIF($L$4:$Z$4,"SUBTOTAL",$L$26:$Z$26)</f>
        <v>203.16564772524453</v>
      </c>
    </row>
    <row r="27" spans="1:27" ht="11.25" customHeight="1" x14ac:dyDescent="0.25">
      <c r="A27" s="138"/>
      <c r="B27" s="138"/>
      <c r="C27" s="138"/>
      <c r="D27" s="138"/>
      <c r="E27" s="138"/>
      <c r="F27" s="138"/>
      <c r="G27" s="32" t="s">
        <v>73</v>
      </c>
      <c r="H27" s="32" t="s">
        <v>71</v>
      </c>
      <c r="I27" s="32">
        <f>'MERCADO TE'!$U$24</f>
        <v>0</v>
      </c>
      <c r="J27" s="17"/>
      <c r="L27" s="30">
        <f>'TR TE'!$L$27*'TR TE'!$L$49</f>
        <v>0</v>
      </c>
      <c r="M27" s="30">
        <f>'TR TE'!$M$27*'TR TE'!$M$49</f>
        <v>0</v>
      </c>
      <c r="N27" s="30">
        <f>'TR TE'!$N$27*'TR TE'!$N$49</f>
        <v>0</v>
      </c>
      <c r="O27" s="30">
        <f>'TR TE'!$O$27*'TR TE'!$O$49</f>
        <v>0</v>
      </c>
      <c r="P27" s="30">
        <f>SUM($L$27:$O$27)</f>
        <v>0</v>
      </c>
      <c r="Q27" s="30">
        <f>'TR TE'!$Q$27*'TR TE'!$Q$49</f>
        <v>203.16564772524453</v>
      </c>
      <c r="R27" s="30">
        <f>SUM($Q$27:$Q$27)</f>
        <v>203.16564772524453</v>
      </c>
      <c r="S27" s="30">
        <f>'TR TE'!$S$27*'TR TE'!$S$49</f>
        <v>0</v>
      </c>
      <c r="T27" s="30">
        <f>'TR TE'!$T$27*'TR TE'!$T$49</f>
        <v>0</v>
      </c>
      <c r="U27" s="30">
        <f>'TR TE'!$U$27*'TR TE'!$U$49</f>
        <v>0</v>
      </c>
      <c r="V27" s="30">
        <f>SUM($S$27:$U$27)</f>
        <v>0</v>
      </c>
      <c r="W27" s="30"/>
      <c r="X27" s="30">
        <f>SUM($W$27:$W$27)</f>
        <v>0</v>
      </c>
      <c r="Y27" s="30">
        <f>'TR TE'!$Y$27*'TR TE'!$Y$49</f>
        <v>0</v>
      </c>
      <c r="Z27" s="30">
        <f>SUM($Y$27:$Y$27)</f>
        <v>0</v>
      </c>
      <c r="AA27" s="30">
        <f>SUMIF($L$4:$Z$4,"SUBTOTAL",$L$27:$Z$27)</f>
        <v>203.16564772524453</v>
      </c>
    </row>
    <row r="28" spans="1:27" ht="11.25" customHeight="1" x14ac:dyDescent="0.25">
      <c r="A28" s="138"/>
      <c r="B28" s="33" t="s">
        <v>74</v>
      </c>
      <c r="C28" s="33" t="s">
        <v>44</v>
      </c>
      <c r="D28" s="33" t="s">
        <v>87</v>
      </c>
      <c r="E28" s="33" t="s">
        <v>25</v>
      </c>
      <c r="F28" s="33" t="s">
        <v>25</v>
      </c>
      <c r="G28" s="32" t="s">
        <v>75</v>
      </c>
      <c r="H28" s="32" t="s">
        <v>71</v>
      </c>
      <c r="I28" s="32">
        <f>'MERCADO TE'!$U$25</f>
        <v>0</v>
      </c>
      <c r="J28" s="17"/>
      <c r="L28" s="30">
        <f>'TR TE'!$L$28*'TR TE'!$L$49</f>
        <v>0</v>
      </c>
      <c r="M28" s="30">
        <f>'TR TE'!$M$28*'TR TE'!$M$49</f>
        <v>0</v>
      </c>
      <c r="N28" s="30">
        <f>'TR TE'!$N$28*'TR TE'!$N$49</f>
        <v>0</v>
      </c>
      <c r="O28" s="30">
        <f>'TR TE'!$O$28*'TR TE'!$O$49</f>
        <v>0</v>
      </c>
      <c r="P28" s="30">
        <f>SUM($L$28:$O$28)</f>
        <v>0</v>
      </c>
      <c r="Q28" s="30">
        <f>'TR TE'!$Q$28*'TR TE'!$Q$49</f>
        <v>203.16564772524453</v>
      </c>
      <c r="R28" s="30">
        <f>SUM($Q$28:$Q$28)</f>
        <v>203.16564772524453</v>
      </c>
      <c r="S28" s="30">
        <f>'TR TE'!$S$28*'TR TE'!$S$49</f>
        <v>0</v>
      </c>
      <c r="T28" s="30">
        <f>'TR TE'!$T$28*'TR TE'!$T$49</f>
        <v>0</v>
      </c>
      <c r="U28" s="30">
        <f>'TR TE'!$U$28*'TR TE'!$U$49</f>
        <v>0</v>
      </c>
      <c r="V28" s="30">
        <f>SUM($S$28:$U$28)</f>
        <v>0</v>
      </c>
      <c r="W28" s="30"/>
      <c r="X28" s="30">
        <f>SUM($W$28:$W$28)</f>
        <v>0</v>
      </c>
      <c r="Y28" s="30">
        <f>'TR TE'!$Y$28*'TR TE'!$Y$49</f>
        <v>0</v>
      </c>
      <c r="Z28" s="30">
        <f>SUM($Y$28:$Y$28)</f>
        <v>0</v>
      </c>
      <c r="AA28" s="30">
        <f>SUMIF($L$4:$Z$4,"SUBTOTAL",$L$28:$Z$28)</f>
        <v>203.16564772524453</v>
      </c>
    </row>
    <row r="29" spans="1:27" ht="11.25" customHeight="1" x14ac:dyDescent="0.25">
      <c r="A29" s="138"/>
      <c r="B29" s="138" t="s">
        <v>70</v>
      </c>
      <c r="C29" s="138" t="s">
        <v>44</v>
      </c>
      <c r="D29" s="138" t="s">
        <v>88</v>
      </c>
      <c r="E29" s="138" t="s">
        <v>25</v>
      </c>
      <c r="F29" s="138" t="s">
        <v>25</v>
      </c>
      <c r="G29" s="32" t="s">
        <v>72</v>
      </c>
      <c r="H29" s="32" t="s">
        <v>71</v>
      </c>
      <c r="I29" s="32">
        <f>'MERCADO TE'!$U$26</f>
        <v>0</v>
      </c>
      <c r="J29" s="17"/>
      <c r="L29" s="30">
        <f>'TR TE'!$L$29*'TR TE'!$L$49</f>
        <v>0</v>
      </c>
      <c r="M29" s="30">
        <f>'TR TE'!$M$29*'TR TE'!$M$49</f>
        <v>0</v>
      </c>
      <c r="N29" s="30">
        <f>'TR TE'!$N$29*'TR TE'!$N$49</f>
        <v>0</v>
      </c>
      <c r="O29" s="30">
        <f>'TR TE'!$O$29*'TR TE'!$O$49</f>
        <v>0</v>
      </c>
      <c r="P29" s="30">
        <f>SUM($L$29:$O$29)</f>
        <v>0</v>
      </c>
      <c r="Q29" s="30">
        <f>'TR TE'!$Q$29*'TR TE'!$Q$49</f>
        <v>203.16564772524453</v>
      </c>
      <c r="R29" s="30">
        <f>SUM($Q$29:$Q$29)</f>
        <v>203.16564772524453</v>
      </c>
      <c r="S29" s="30">
        <f>'TR TE'!$S$29*'TR TE'!$S$49</f>
        <v>0</v>
      </c>
      <c r="T29" s="30">
        <f>'TR TE'!$T$29*'TR TE'!$T$49</f>
        <v>0</v>
      </c>
      <c r="U29" s="30">
        <f>'TR TE'!$U$29*'TR TE'!$U$49</f>
        <v>0</v>
      </c>
      <c r="V29" s="30">
        <f>SUM($S$29:$U$29)</f>
        <v>0</v>
      </c>
      <c r="W29" s="30"/>
      <c r="X29" s="30">
        <f>SUM($W$29:$W$29)</f>
        <v>0</v>
      </c>
      <c r="Y29" s="30">
        <f>'TR TE'!$Y$29*'TR TE'!$Y$49</f>
        <v>0</v>
      </c>
      <c r="Z29" s="30">
        <f>SUM($Y$29:$Y$29)</f>
        <v>0</v>
      </c>
      <c r="AA29" s="30">
        <f>SUMIF($L$4:$Z$4,"SUBTOTAL",$L$29:$Z$29)</f>
        <v>203.16564772524453</v>
      </c>
    </row>
    <row r="30" spans="1:27" ht="11.25" customHeight="1" x14ac:dyDescent="0.25">
      <c r="A30" s="138"/>
      <c r="B30" s="138"/>
      <c r="C30" s="138"/>
      <c r="D30" s="138"/>
      <c r="E30" s="138"/>
      <c r="F30" s="138"/>
      <c r="G30" s="32" t="s">
        <v>84</v>
      </c>
      <c r="H30" s="32" t="s">
        <v>71</v>
      </c>
      <c r="I30" s="32">
        <f>'MERCADO TE'!$U$27</f>
        <v>0</v>
      </c>
      <c r="J30" s="17"/>
      <c r="L30" s="30">
        <f>'TR TE'!$L$30*'TR TE'!$L$49</f>
        <v>0</v>
      </c>
      <c r="M30" s="30">
        <f>'TR TE'!$M$30*'TR TE'!$M$49</f>
        <v>0</v>
      </c>
      <c r="N30" s="30">
        <f>'TR TE'!$N$30*'TR TE'!$N$49</f>
        <v>0</v>
      </c>
      <c r="O30" s="30">
        <f>'TR TE'!$O$30*'TR TE'!$O$49</f>
        <v>0</v>
      </c>
      <c r="P30" s="30">
        <f>SUM($L$30:$O$30)</f>
        <v>0</v>
      </c>
      <c r="Q30" s="30">
        <f>'TR TE'!$Q$30*'TR TE'!$Q$49</f>
        <v>203.16564772524453</v>
      </c>
      <c r="R30" s="30">
        <f>SUM($Q$30:$Q$30)</f>
        <v>203.16564772524453</v>
      </c>
      <c r="S30" s="30">
        <f>'TR TE'!$S$30*'TR TE'!$S$49</f>
        <v>0</v>
      </c>
      <c r="T30" s="30">
        <f>'TR TE'!$T$30*'TR TE'!$T$49</f>
        <v>0</v>
      </c>
      <c r="U30" s="30">
        <f>'TR TE'!$U$30*'TR TE'!$U$49</f>
        <v>0</v>
      </c>
      <c r="V30" s="30">
        <f>SUM($S$30:$U$30)</f>
        <v>0</v>
      </c>
      <c r="W30" s="30"/>
      <c r="X30" s="30">
        <f>SUM($W$30:$W$30)</f>
        <v>0</v>
      </c>
      <c r="Y30" s="30">
        <f>'TR TE'!$Y$30*'TR TE'!$Y$49</f>
        <v>0</v>
      </c>
      <c r="Z30" s="30">
        <f>SUM($Y$30:$Y$30)</f>
        <v>0</v>
      </c>
      <c r="AA30" s="30">
        <f>SUMIF($L$4:$Z$4,"SUBTOTAL",$L$30:$Z$30)</f>
        <v>203.16564772524453</v>
      </c>
    </row>
    <row r="31" spans="1:27" ht="11.25" customHeight="1" x14ac:dyDescent="0.25">
      <c r="A31" s="138"/>
      <c r="B31" s="138"/>
      <c r="C31" s="138"/>
      <c r="D31" s="138"/>
      <c r="E31" s="138"/>
      <c r="F31" s="138"/>
      <c r="G31" s="32" t="s">
        <v>73</v>
      </c>
      <c r="H31" s="32" t="s">
        <v>71</v>
      </c>
      <c r="I31" s="32">
        <f>'MERCADO TE'!$U$28</f>
        <v>0</v>
      </c>
      <c r="J31" s="17"/>
      <c r="L31" s="30">
        <f>'TR TE'!$L$31*'TR TE'!$L$49</f>
        <v>0</v>
      </c>
      <c r="M31" s="30">
        <f>'TR TE'!$M$31*'TR TE'!$M$49</f>
        <v>0</v>
      </c>
      <c r="N31" s="30">
        <f>'TR TE'!$N$31*'TR TE'!$N$49</f>
        <v>0</v>
      </c>
      <c r="O31" s="30">
        <f>'TR TE'!$O$31*'TR TE'!$O$49</f>
        <v>0</v>
      </c>
      <c r="P31" s="30">
        <f>SUM($L$31:$O$31)</f>
        <v>0</v>
      </c>
      <c r="Q31" s="30">
        <f>'TR TE'!$Q$31*'TR TE'!$Q$49</f>
        <v>203.16564772524453</v>
      </c>
      <c r="R31" s="30">
        <f>SUM($Q$31:$Q$31)</f>
        <v>203.16564772524453</v>
      </c>
      <c r="S31" s="30">
        <f>'TR TE'!$S$31*'TR TE'!$S$49</f>
        <v>0</v>
      </c>
      <c r="T31" s="30">
        <f>'TR TE'!$T$31*'TR TE'!$T$49</f>
        <v>0</v>
      </c>
      <c r="U31" s="30">
        <f>'TR TE'!$U$31*'TR TE'!$U$49</f>
        <v>0</v>
      </c>
      <c r="V31" s="30">
        <f>SUM($S$31:$U$31)</f>
        <v>0</v>
      </c>
      <c r="W31" s="30"/>
      <c r="X31" s="30">
        <f>SUM($W$31:$W$31)</f>
        <v>0</v>
      </c>
      <c r="Y31" s="30">
        <f>'TR TE'!$Y$31*'TR TE'!$Y$49</f>
        <v>0</v>
      </c>
      <c r="Z31" s="30">
        <f>SUM($Y$31:$Y$31)</f>
        <v>0</v>
      </c>
      <c r="AA31" s="30">
        <f>SUMIF($L$4:$Z$4,"SUBTOTAL",$L$31:$Z$31)</f>
        <v>203.16564772524453</v>
      </c>
    </row>
    <row r="32" spans="1:27" ht="11.25" customHeight="1" x14ac:dyDescent="0.25">
      <c r="A32" s="138"/>
      <c r="B32" s="33" t="s">
        <v>74</v>
      </c>
      <c r="C32" s="33" t="s">
        <v>44</v>
      </c>
      <c r="D32" s="33" t="s">
        <v>88</v>
      </c>
      <c r="E32" s="33" t="s">
        <v>25</v>
      </c>
      <c r="F32" s="33" t="s">
        <v>25</v>
      </c>
      <c r="G32" s="32" t="s">
        <v>75</v>
      </c>
      <c r="H32" s="32" t="s">
        <v>71</v>
      </c>
      <c r="I32" s="32">
        <f>'MERCADO TE'!$U$29</f>
        <v>0</v>
      </c>
      <c r="J32" s="17"/>
      <c r="L32" s="30">
        <f>'TR TE'!$L$32*'TR TE'!$L$49</f>
        <v>0</v>
      </c>
      <c r="M32" s="30">
        <f>'TR TE'!$M$32*'TR TE'!$M$49</f>
        <v>0</v>
      </c>
      <c r="N32" s="30">
        <f>'TR TE'!$N$32*'TR TE'!$N$49</f>
        <v>0</v>
      </c>
      <c r="O32" s="30">
        <f>'TR TE'!$O$32*'TR TE'!$O$49</f>
        <v>0</v>
      </c>
      <c r="P32" s="30">
        <f>SUM($L$32:$O$32)</f>
        <v>0</v>
      </c>
      <c r="Q32" s="30">
        <f>'TR TE'!$Q$32*'TR TE'!$Q$49</f>
        <v>203.16564772524453</v>
      </c>
      <c r="R32" s="30">
        <f>SUM($Q$32:$Q$32)</f>
        <v>203.16564772524453</v>
      </c>
      <c r="S32" s="30">
        <f>'TR TE'!$S$32*'TR TE'!$S$49</f>
        <v>0</v>
      </c>
      <c r="T32" s="30">
        <f>'TR TE'!$T$32*'TR TE'!$T$49</f>
        <v>0</v>
      </c>
      <c r="U32" s="30">
        <f>'TR TE'!$U$32*'TR TE'!$U$49</f>
        <v>0</v>
      </c>
      <c r="V32" s="30">
        <f>SUM($S$32:$U$32)</f>
        <v>0</v>
      </c>
      <c r="W32" s="30"/>
      <c r="X32" s="30">
        <f>SUM($W$32:$W$32)</f>
        <v>0</v>
      </c>
      <c r="Y32" s="30">
        <f>'TR TE'!$Y$32*'TR TE'!$Y$49</f>
        <v>0</v>
      </c>
      <c r="Z32" s="30">
        <f>SUM($Y$32:$Y$32)</f>
        <v>0</v>
      </c>
      <c r="AA32" s="30">
        <f>SUMIF($L$4:$Z$4,"SUBTOTAL",$L$32:$Z$32)</f>
        <v>203.16564772524453</v>
      </c>
    </row>
    <row r="33" spans="1:27" ht="11.25" customHeight="1" x14ac:dyDescent="0.25">
      <c r="A33" s="138"/>
      <c r="B33" s="138" t="s">
        <v>85</v>
      </c>
      <c r="C33" s="138" t="s">
        <v>44</v>
      </c>
      <c r="D33" s="33" t="s">
        <v>25</v>
      </c>
      <c r="E33" s="33" t="s">
        <v>25</v>
      </c>
      <c r="F33" s="33" t="s">
        <v>25</v>
      </c>
      <c r="G33" s="32" t="s">
        <v>75</v>
      </c>
      <c r="H33" s="32" t="s">
        <v>71</v>
      </c>
      <c r="I33" s="32">
        <f>'MERCADO TE'!$U$30</f>
        <v>0</v>
      </c>
      <c r="J33" s="17"/>
      <c r="L33" s="30">
        <f>'TR TE'!$L$33*'TR TE'!$L$49</f>
        <v>0</v>
      </c>
      <c r="M33" s="30">
        <f>'TR TE'!$M$33*'TR TE'!$M$49</f>
        <v>0</v>
      </c>
      <c r="N33" s="30">
        <f>'TR TE'!$N$33*'TR TE'!$N$49</f>
        <v>0</v>
      </c>
      <c r="O33" s="30">
        <f>'TR TE'!$O$33*'TR TE'!$O$49</f>
        <v>0</v>
      </c>
      <c r="P33" s="30">
        <f>SUM($L$33:$O$33)</f>
        <v>0</v>
      </c>
      <c r="Q33" s="30">
        <f>'TR TE'!$Q$33*'TR TE'!$Q$49</f>
        <v>203.16564772524453</v>
      </c>
      <c r="R33" s="30">
        <f>SUM($Q$33:$Q$33)</f>
        <v>203.16564772524453</v>
      </c>
      <c r="S33" s="30">
        <f>'TR TE'!$S$33*'TR TE'!$S$49</f>
        <v>0</v>
      </c>
      <c r="T33" s="30">
        <f>'TR TE'!$T$33*'TR TE'!$T$49</f>
        <v>0</v>
      </c>
      <c r="U33" s="30">
        <f>'TR TE'!$U$33*'TR TE'!$U$49</f>
        <v>0</v>
      </c>
      <c r="V33" s="30">
        <f>SUM($S$33:$U$33)</f>
        <v>0</v>
      </c>
      <c r="W33" s="30"/>
      <c r="X33" s="30">
        <f>SUM($W$33:$W$33)</f>
        <v>0</v>
      </c>
      <c r="Y33" s="30">
        <f>'TR TE'!$Y$33*'TR TE'!$Y$49</f>
        <v>0</v>
      </c>
      <c r="Z33" s="30">
        <f>SUM($Y$33:$Y$33)</f>
        <v>0</v>
      </c>
      <c r="AA33" s="30">
        <f>SUMIF($L$4:$Z$4,"SUBTOTAL",$L$33:$Z$33)</f>
        <v>203.16564772524453</v>
      </c>
    </row>
    <row r="34" spans="1:27" ht="11.25" customHeight="1" x14ac:dyDescent="0.25">
      <c r="A34" s="138"/>
      <c r="B34" s="138"/>
      <c r="C34" s="138"/>
      <c r="D34" s="33" t="s">
        <v>87</v>
      </c>
      <c r="E34" s="33" t="s">
        <v>25</v>
      </c>
      <c r="F34" s="33" t="s">
        <v>25</v>
      </c>
      <c r="G34" s="32" t="s">
        <v>75</v>
      </c>
      <c r="H34" s="32" t="s">
        <v>71</v>
      </c>
      <c r="I34" s="32">
        <f>'MERCADO TE'!$U$31</f>
        <v>0</v>
      </c>
      <c r="J34" s="17"/>
      <c r="L34" s="30">
        <f>'TR TE'!$L$34*'TR TE'!$L$49</f>
        <v>0</v>
      </c>
      <c r="M34" s="30">
        <f>'TR TE'!$M$34*'TR TE'!$M$49</f>
        <v>0</v>
      </c>
      <c r="N34" s="30">
        <f>'TR TE'!$N$34*'TR TE'!$N$49</f>
        <v>0</v>
      </c>
      <c r="O34" s="30">
        <f>'TR TE'!$O$34*'TR TE'!$O$49</f>
        <v>0</v>
      </c>
      <c r="P34" s="30">
        <f>SUM($L$34:$O$34)</f>
        <v>0</v>
      </c>
      <c r="Q34" s="30">
        <f>'TR TE'!$Q$34*'TR TE'!$Q$49</f>
        <v>203.16564772524453</v>
      </c>
      <c r="R34" s="30">
        <f>SUM($Q$34:$Q$34)</f>
        <v>203.16564772524453</v>
      </c>
      <c r="S34" s="30">
        <f>'TR TE'!$S$34*'TR TE'!$S$49</f>
        <v>0</v>
      </c>
      <c r="T34" s="30">
        <f>'TR TE'!$T$34*'TR TE'!$T$49</f>
        <v>0</v>
      </c>
      <c r="U34" s="30">
        <f>'TR TE'!$U$34*'TR TE'!$U$49</f>
        <v>0</v>
      </c>
      <c r="V34" s="30">
        <f>SUM($S$34:$U$34)</f>
        <v>0</v>
      </c>
      <c r="W34" s="30"/>
      <c r="X34" s="30">
        <f>SUM($W$34:$W$34)</f>
        <v>0</v>
      </c>
      <c r="Y34" s="30">
        <f>'TR TE'!$Y$34*'TR TE'!$Y$49</f>
        <v>0</v>
      </c>
      <c r="Z34" s="30">
        <f>SUM($Y$34:$Y$34)</f>
        <v>0</v>
      </c>
      <c r="AA34" s="30">
        <f>SUMIF($L$4:$Z$4,"SUBTOTAL",$L$34:$Z$34)</f>
        <v>203.16564772524453</v>
      </c>
    </row>
    <row r="35" spans="1:27" ht="11.25" customHeight="1" x14ac:dyDescent="0.25">
      <c r="A35" s="138"/>
      <c r="B35" s="138"/>
      <c r="C35" s="138"/>
      <c r="D35" s="33" t="s">
        <v>88</v>
      </c>
      <c r="E35" s="33" t="s">
        <v>25</v>
      </c>
      <c r="F35" s="33" t="s">
        <v>25</v>
      </c>
      <c r="G35" s="32" t="s">
        <v>75</v>
      </c>
      <c r="H35" s="32" t="s">
        <v>71</v>
      </c>
      <c r="I35" s="32">
        <f>'MERCADO TE'!$U$32</f>
        <v>0</v>
      </c>
      <c r="J35" s="17"/>
      <c r="L35" s="30">
        <f>'TR TE'!$L$35*'TR TE'!$L$49</f>
        <v>0</v>
      </c>
      <c r="M35" s="30">
        <f>'TR TE'!$M$35*'TR TE'!$M$49</f>
        <v>0</v>
      </c>
      <c r="N35" s="30">
        <f>'TR TE'!$N$35*'TR TE'!$N$49</f>
        <v>0</v>
      </c>
      <c r="O35" s="30">
        <f>'TR TE'!$O$35*'TR TE'!$O$49</f>
        <v>0</v>
      </c>
      <c r="P35" s="30">
        <f>SUM($L$35:$O$35)</f>
        <v>0</v>
      </c>
      <c r="Q35" s="30">
        <f>'TR TE'!$Q$35*'TR TE'!$Q$49</f>
        <v>203.16564772524453</v>
      </c>
      <c r="R35" s="30">
        <f>SUM($Q$35:$Q$35)</f>
        <v>203.16564772524453</v>
      </c>
      <c r="S35" s="30">
        <f>'TR TE'!$S$35*'TR TE'!$S$49</f>
        <v>0</v>
      </c>
      <c r="T35" s="30">
        <f>'TR TE'!$T$35*'TR TE'!$T$49</f>
        <v>0</v>
      </c>
      <c r="U35" s="30">
        <f>'TR TE'!$U$35*'TR TE'!$U$49</f>
        <v>0</v>
      </c>
      <c r="V35" s="30">
        <f>SUM($S$35:$U$35)</f>
        <v>0</v>
      </c>
      <c r="W35" s="30"/>
      <c r="X35" s="30">
        <f>SUM($W$35:$W$35)</f>
        <v>0</v>
      </c>
      <c r="Y35" s="30">
        <f>'TR TE'!$Y$35*'TR TE'!$Y$49</f>
        <v>0</v>
      </c>
      <c r="Z35" s="30">
        <f>SUM($Y$35:$Y$35)</f>
        <v>0</v>
      </c>
      <c r="AA35" s="30">
        <f>SUMIF($L$4:$Z$4,"SUBTOTAL",$L$35:$Z$35)</f>
        <v>203.16564772524453</v>
      </c>
    </row>
    <row r="36" spans="1:27" ht="11.25" customHeight="1" x14ac:dyDescent="0.25">
      <c r="A36" s="138" t="s">
        <v>39</v>
      </c>
      <c r="B36" s="138" t="s">
        <v>70</v>
      </c>
      <c r="C36" s="138" t="s">
        <v>25</v>
      </c>
      <c r="D36" s="138" t="s">
        <v>25</v>
      </c>
      <c r="E36" s="138" t="s">
        <v>25</v>
      </c>
      <c r="F36" s="138" t="s">
        <v>25</v>
      </c>
      <c r="G36" s="32" t="s">
        <v>72</v>
      </c>
      <c r="H36" s="32" t="s">
        <v>71</v>
      </c>
      <c r="I36" s="32">
        <f>'MERCADO TE'!$U$33</f>
        <v>0</v>
      </c>
      <c r="J36" s="17"/>
      <c r="L36" s="30">
        <f>'TR TE'!$L$36*'TR TE'!$L$49</f>
        <v>0</v>
      </c>
      <c r="M36" s="30">
        <f>'TR TE'!$M$36*'TR TE'!$M$49</f>
        <v>0</v>
      </c>
      <c r="N36" s="30">
        <f>'TR TE'!$N$36*'TR TE'!$N$49</f>
        <v>0</v>
      </c>
      <c r="O36" s="30">
        <f>'TR TE'!$O$36*'TR TE'!$O$49</f>
        <v>0</v>
      </c>
      <c r="P36" s="30">
        <f>SUM($L$36:$O$36)</f>
        <v>0</v>
      </c>
      <c r="Q36" s="30">
        <f>'TR TE'!$Q$36*'TR TE'!$Q$49</f>
        <v>203.16564772524453</v>
      </c>
      <c r="R36" s="30">
        <f>SUM($Q$36:$Q$36)</f>
        <v>203.16564772524453</v>
      </c>
      <c r="S36" s="30">
        <f>'TR TE'!$S$36*'TR TE'!$S$49</f>
        <v>0</v>
      </c>
      <c r="T36" s="30">
        <f>'TR TE'!$T$36*'TR TE'!$T$49</f>
        <v>0</v>
      </c>
      <c r="U36" s="30">
        <f>'TR TE'!$U$36*'TR TE'!$U$49</f>
        <v>0</v>
      </c>
      <c r="V36" s="30">
        <f>SUM($S$36:$U$36)</f>
        <v>0</v>
      </c>
      <c r="W36" s="30"/>
      <c r="X36" s="30">
        <f>SUM($W$36:$W$36)</f>
        <v>0</v>
      </c>
      <c r="Y36" s="30">
        <f>'TR TE'!$Y$36*'TR TE'!$Y$49</f>
        <v>0</v>
      </c>
      <c r="Z36" s="30">
        <f>SUM($Y$36:$Y$36)</f>
        <v>0</v>
      </c>
      <c r="AA36" s="30">
        <f>SUMIF($L$4:$Z$4,"SUBTOTAL",$L$36:$Z$36)</f>
        <v>203.16564772524453</v>
      </c>
    </row>
    <row r="37" spans="1:27" ht="11.25" customHeight="1" x14ac:dyDescent="0.25">
      <c r="A37" s="138"/>
      <c r="B37" s="138"/>
      <c r="C37" s="138"/>
      <c r="D37" s="138"/>
      <c r="E37" s="138"/>
      <c r="F37" s="138"/>
      <c r="G37" s="32" t="s">
        <v>84</v>
      </c>
      <c r="H37" s="32" t="s">
        <v>71</v>
      </c>
      <c r="I37" s="32">
        <f>'MERCADO TE'!$U$34</f>
        <v>0</v>
      </c>
      <c r="J37" s="17"/>
      <c r="L37" s="30">
        <f>'TR TE'!$L$37*'TR TE'!$L$49</f>
        <v>0</v>
      </c>
      <c r="M37" s="30">
        <f>'TR TE'!$M$37*'TR TE'!$M$49</f>
        <v>0</v>
      </c>
      <c r="N37" s="30">
        <f>'TR TE'!$N$37*'TR TE'!$N$49</f>
        <v>0</v>
      </c>
      <c r="O37" s="30">
        <f>'TR TE'!$O$37*'TR TE'!$O$49</f>
        <v>0</v>
      </c>
      <c r="P37" s="30">
        <f>SUM($L$37:$O$37)</f>
        <v>0</v>
      </c>
      <c r="Q37" s="30">
        <f>'TR TE'!$Q$37*'TR TE'!$Q$49</f>
        <v>203.16564772524453</v>
      </c>
      <c r="R37" s="30">
        <f>SUM($Q$37:$Q$37)</f>
        <v>203.16564772524453</v>
      </c>
      <c r="S37" s="30">
        <f>'TR TE'!$S$37*'TR TE'!$S$49</f>
        <v>0</v>
      </c>
      <c r="T37" s="30">
        <f>'TR TE'!$T$37*'TR TE'!$T$49</f>
        <v>0</v>
      </c>
      <c r="U37" s="30">
        <f>'TR TE'!$U$37*'TR TE'!$U$49</f>
        <v>0</v>
      </c>
      <c r="V37" s="30">
        <f>SUM($S$37:$U$37)</f>
        <v>0</v>
      </c>
      <c r="W37" s="30"/>
      <c r="X37" s="30">
        <f>SUM($W$37:$W$37)</f>
        <v>0</v>
      </c>
      <c r="Y37" s="30">
        <f>'TR TE'!$Y$37*'TR TE'!$Y$49</f>
        <v>0</v>
      </c>
      <c r="Z37" s="30">
        <f>SUM($Y$37:$Y$37)</f>
        <v>0</v>
      </c>
      <c r="AA37" s="30">
        <f>SUMIF($L$4:$Z$4,"SUBTOTAL",$L$37:$Z$37)</f>
        <v>203.16564772524453</v>
      </c>
    </row>
    <row r="38" spans="1:27" ht="11.25" customHeight="1" x14ac:dyDescent="0.25">
      <c r="A38" s="138"/>
      <c r="B38" s="138"/>
      <c r="C38" s="138"/>
      <c r="D38" s="138"/>
      <c r="E38" s="138"/>
      <c r="F38" s="138"/>
      <c r="G38" s="32" t="s">
        <v>73</v>
      </c>
      <c r="H38" s="32" t="s">
        <v>71</v>
      </c>
      <c r="I38" s="32">
        <f>'MERCADO TE'!$U$35</f>
        <v>0</v>
      </c>
      <c r="J38" s="17"/>
      <c r="L38" s="30">
        <f>'TR TE'!$L$38*'TR TE'!$L$49</f>
        <v>0</v>
      </c>
      <c r="M38" s="30">
        <f>'TR TE'!$M$38*'TR TE'!$M$49</f>
        <v>0</v>
      </c>
      <c r="N38" s="30">
        <f>'TR TE'!$N$38*'TR TE'!$N$49</f>
        <v>0</v>
      </c>
      <c r="O38" s="30">
        <f>'TR TE'!$O$38*'TR TE'!$O$49</f>
        <v>0</v>
      </c>
      <c r="P38" s="30">
        <f>SUM($L$38:$O$38)</f>
        <v>0</v>
      </c>
      <c r="Q38" s="30">
        <f>'TR TE'!$Q$38*'TR TE'!$Q$49</f>
        <v>203.16564772524453</v>
      </c>
      <c r="R38" s="30">
        <f>SUM($Q$38:$Q$38)</f>
        <v>203.16564772524453</v>
      </c>
      <c r="S38" s="30">
        <f>'TR TE'!$S$38*'TR TE'!$S$49</f>
        <v>0</v>
      </c>
      <c r="T38" s="30">
        <f>'TR TE'!$T$38*'TR TE'!$T$49</f>
        <v>0</v>
      </c>
      <c r="U38" s="30">
        <f>'TR TE'!$U$38*'TR TE'!$U$49</f>
        <v>0</v>
      </c>
      <c r="V38" s="30">
        <f>SUM($S$38:$U$38)</f>
        <v>0</v>
      </c>
      <c r="W38" s="30"/>
      <c r="X38" s="30">
        <f>SUM($W$38:$W$38)</f>
        <v>0</v>
      </c>
      <c r="Y38" s="30">
        <f>'TR TE'!$Y$38*'TR TE'!$Y$49</f>
        <v>0</v>
      </c>
      <c r="Z38" s="30">
        <f>SUM($Y$38:$Y$38)</f>
        <v>0</v>
      </c>
      <c r="AA38" s="30">
        <f>SUMIF($L$4:$Z$4,"SUBTOTAL",$L$38:$Z$38)</f>
        <v>203.16564772524453</v>
      </c>
    </row>
    <row r="39" spans="1:27" ht="11.25" customHeight="1" x14ac:dyDescent="0.25">
      <c r="A39" s="138"/>
      <c r="B39" s="33" t="s">
        <v>74</v>
      </c>
      <c r="C39" s="33" t="s">
        <v>25</v>
      </c>
      <c r="D39" s="33" t="s">
        <v>25</v>
      </c>
      <c r="E39" s="33" t="s">
        <v>25</v>
      </c>
      <c r="F39" s="33" t="s">
        <v>25</v>
      </c>
      <c r="G39" s="32" t="s">
        <v>75</v>
      </c>
      <c r="H39" s="32" t="s">
        <v>71</v>
      </c>
      <c r="I39" s="32">
        <f>'MERCADO TE'!$U$36</f>
        <v>4622.2640000000001</v>
      </c>
      <c r="J39" s="17"/>
      <c r="L39" s="30">
        <f>'TR TE'!$L$39*'TR TE'!$L$49</f>
        <v>0</v>
      </c>
      <c r="M39" s="30">
        <f>'TR TE'!$M$39*'TR TE'!$M$49</f>
        <v>0</v>
      </c>
      <c r="N39" s="30">
        <f>'TR TE'!$N$39*'TR TE'!$N$49</f>
        <v>0</v>
      </c>
      <c r="O39" s="30">
        <f>'TR TE'!$O$39*'TR TE'!$O$49</f>
        <v>0</v>
      </c>
      <c r="P39" s="30">
        <f>SUM($L$39:$O$39)</f>
        <v>0</v>
      </c>
      <c r="Q39" s="30">
        <f>'TR TE'!$Q$39*'TR TE'!$Q$49</f>
        <v>203.16564772524453</v>
      </c>
      <c r="R39" s="30">
        <f>SUM($Q$39:$Q$39)</f>
        <v>203.16564772524453</v>
      </c>
      <c r="S39" s="30">
        <f>'TR TE'!$S$39*'TR TE'!$S$49</f>
        <v>0</v>
      </c>
      <c r="T39" s="30">
        <f>'TR TE'!$T$39*'TR TE'!$T$49</f>
        <v>0</v>
      </c>
      <c r="U39" s="30">
        <f>'TR TE'!$U$39*'TR TE'!$U$49</f>
        <v>0</v>
      </c>
      <c r="V39" s="30">
        <f>SUM($S$39:$U$39)</f>
        <v>0</v>
      </c>
      <c r="W39" s="30"/>
      <c r="X39" s="30">
        <f>SUM($W$39:$W$39)</f>
        <v>0</v>
      </c>
      <c r="Y39" s="30">
        <f>'TR TE'!$Y$39*'TR TE'!$Y$49</f>
        <v>0</v>
      </c>
      <c r="Z39" s="30">
        <f>SUM($Y$39:$Y$39)</f>
        <v>0</v>
      </c>
      <c r="AA39" s="30">
        <f>SUMIF($L$4:$Z$4,"SUBTOTAL",$L$39:$Z$39)</f>
        <v>203.16564772524453</v>
      </c>
    </row>
    <row r="40" spans="1:27" ht="11.25" customHeight="1" x14ac:dyDescent="0.25">
      <c r="A40" s="138"/>
      <c r="B40" s="33" t="s">
        <v>85</v>
      </c>
      <c r="C40" s="33" t="s">
        <v>25</v>
      </c>
      <c r="D40" s="33" t="s">
        <v>25</v>
      </c>
      <c r="E40" s="33" t="s">
        <v>25</v>
      </c>
      <c r="F40" s="33" t="s">
        <v>25</v>
      </c>
      <c r="G40" s="32" t="s">
        <v>75</v>
      </c>
      <c r="H40" s="32" t="s">
        <v>71</v>
      </c>
      <c r="I40" s="32">
        <f>'MERCADO TE'!$U$37</f>
        <v>0</v>
      </c>
      <c r="J40" s="17"/>
      <c r="L40" s="30">
        <f>'TR TE'!$L$40*'TR TE'!$L$49</f>
        <v>0</v>
      </c>
      <c r="M40" s="30">
        <f>'TR TE'!$M$40*'TR TE'!$M$49</f>
        <v>0</v>
      </c>
      <c r="N40" s="30">
        <f>'TR TE'!$N$40*'TR TE'!$N$49</f>
        <v>0</v>
      </c>
      <c r="O40" s="30">
        <f>'TR TE'!$O$40*'TR TE'!$O$49</f>
        <v>0</v>
      </c>
      <c r="P40" s="30">
        <f>SUM($L$40:$O$40)</f>
        <v>0</v>
      </c>
      <c r="Q40" s="30">
        <f>'TR TE'!$Q$40*'TR TE'!$Q$49</f>
        <v>203.16564772524453</v>
      </c>
      <c r="R40" s="30">
        <f>SUM($Q$40:$Q$40)</f>
        <v>203.16564772524453</v>
      </c>
      <c r="S40" s="30">
        <f>'TR TE'!$S$40*'TR TE'!$S$49</f>
        <v>0</v>
      </c>
      <c r="T40" s="30">
        <f>'TR TE'!$T$40*'TR TE'!$T$49</f>
        <v>0</v>
      </c>
      <c r="U40" s="30">
        <f>'TR TE'!$U$40*'TR TE'!$U$49</f>
        <v>0</v>
      </c>
      <c r="V40" s="30">
        <f>SUM($S$40:$U$40)</f>
        <v>0</v>
      </c>
      <c r="W40" s="30"/>
      <c r="X40" s="30">
        <f>SUM($W$40:$W$40)</f>
        <v>0</v>
      </c>
      <c r="Y40" s="30">
        <f>'TR TE'!$Y$40*'TR TE'!$Y$49</f>
        <v>0</v>
      </c>
      <c r="Z40" s="30">
        <f>SUM($Y$40:$Y$40)</f>
        <v>0</v>
      </c>
      <c r="AA40" s="30">
        <f>SUMIF($L$4:$Z$4,"SUBTOTAL",$L$40:$Z$40)</f>
        <v>203.16564772524453</v>
      </c>
    </row>
    <row r="41" spans="1:27" ht="11.25" customHeight="1" x14ac:dyDescent="0.25">
      <c r="A41" s="138" t="s">
        <v>46</v>
      </c>
      <c r="B41" s="138" t="s">
        <v>74</v>
      </c>
      <c r="C41" s="138" t="s">
        <v>47</v>
      </c>
      <c r="D41" s="33" t="s">
        <v>48</v>
      </c>
      <c r="E41" s="33" t="s">
        <v>25</v>
      </c>
      <c r="F41" s="33" t="s">
        <v>25</v>
      </c>
      <c r="G41" s="32" t="s">
        <v>75</v>
      </c>
      <c r="H41" s="32" t="s">
        <v>71</v>
      </c>
      <c r="I41" s="32">
        <f>'MERCADO TE'!$U$38</f>
        <v>3347.1679999999992</v>
      </c>
      <c r="J41" s="17"/>
      <c r="L41" s="30">
        <f>'TR TE'!$L$41*'TR TE'!$L$49</f>
        <v>0</v>
      </c>
      <c r="M41" s="30">
        <f>'TR TE'!$M$41*'TR TE'!$M$49</f>
        <v>0</v>
      </c>
      <c r="N41" s="30">
        <f>'TR TE'!$N$41*'TR TE'!$N$49</f>
        <v>0</v>
      </c>
      <c r="O41" s="30">
        <f>'TR TE'!$O$41*'TR TE'!$O$49</f>
        <v>0</v>
      </c>
      <c r="P41" s="30">
        <f>SUM($L$41:$O$41)</f>
        <v>0</v>
      </c>
      <c r="Q41" s="30">
        <f>'TR TE'!$Q$41*'TR TE'!$Q$49</f>
        <v>111.74110624888449</v>
      </c>
      <c r="R41" s="30">
        <f>SUM($Q$41:$Q$41)</f>
        <v>111.74110624888449</v>
      </c>
      <c r="S41" s="30">
        <f>'TR TE'!$S$41*'TR TE'!$S$49</f>
        <v>0</v>
      </c>
      <c r="T41" s="30">
        <f>'TR TE'!$T$41*'TR TE'!$T$49</f>
        <v>0</v>
      </c>
      <c r="U41" s="30">
        <f>'TR TE'!$U$41*'TR TE'!$U$49</f>
        <v>0</v>
      </c>
      <c r="V41" s="30">
        <f>SUM($S$41:$U$41)</f>
        <v>0</v>
      </c>
      <c r="W41" s="30"/>
      <c r="X41" s="30">
        <f>SUM($W$41:$W$41)</f>
        <v>0</v>
      </c>
      <c r="Y41" s="30">
        <f>'TR TE'!$Y$41*'TR TE'!$Y$49</f>
        <v>0</v>
      </c>
      <c r="Z41" s="30">
        <f>SUM($Y$41:$Y$41)</f>
        <v>0</v>
      </c>
      <c r="AA41" s="30">
        <f>SUMIF($L$4:$Z$4,"SUBTOTAL",$L$41:$Z$41)</f>
        <v>111.74110624888449</v>
      </c>
    </row>
    <row r="42" spans="1:27" ht="11.25" customHeight="1" x14ac:dyDescent="0.25">
      <c r="A42" s="138"/>
      <c r="B42" s="138"/>
      <c r="C42" s="138"/>
      <c r="D42" s="32" t="s">
        <v>89</v>
      </c>
      <c r="E42" s="32" t="s">
        <v>25</v>
      </c>
      <c r="F42" s="32" t="s">
        <v>25</v>
      </c>
      <c r="G42" s="32" t="s">
        <v>75</v>
      </c>
      <c r="H42" s="32" t="s">
        <v>71</v>
      </c>
      <c r="I42" s="32">
        <f>'MERCADO TE'!$U$39</f>
        <v>0</v>
      </c>
      <c r="J42" s="17"/>
      <c r="L42" s="30">
        <f>'TR TE'!$L$42*'TR TE'!$L$49</f>
        <v>0</v>
      </c>
      <c r="M42" s="30">
        <f>'TR TE'!$M$42*'TR TE'!$M$49</f>
        <v>0</v>
      </c>
      <c r="N42" s="30">
        <f>'TR TE'!$N$42*'TR TE'!$N$49</f>
        <v>0</v>
      </c>
      <c r="O42" s="30">
        <f>'TR TE'!$O$42*'TR TE'!$O$49</f>
        <v>0</v>
      </c>
      <c r="P42" s="30">
        <f>SUM($L$42:$O$42)</f>
        <v>0</v>
      </c>
      <c r="Q42" s="30">
        <f>'TR TE'!$Q$42*'TR TE'!$Q$49</f>
        <v>121.89938863514671</v>
      </c>
      <c r="R42" s="30">
        <f>SUM($Q$42:$Q$42)</f>
        <v>121.89938863514671</v>
      </c>
      <c r="S42" s="30">
        <f>'TR TE'!$S$42*'TR TE'!$S$49</f>
        <v>0</v>
      </c>
      <c r="T42" s="30">
        <f>'TR TE'!$T$42*'TR TE'!$T$49</f>
        <v>0</v>
      </c>
      <c r="U42" s="30">
        <f>'TR TE'!$U$42*'TR TE'!$U$49</f>
        <v>0</v>
      </c>
      <c r="V42" s="30">
        <f>SUM($S$42:$U$42)</f>
        <v>0</v>
      </c>
      <c r="W42" s="30"/>
      <c r="X42" s="30">
        <f>SUM($W$42:$W$42)</f>
        <v>0</v>
      </c>
      <c r="Y42" s="30">
        <f>'TR TE'!$Y$42*'TR TE'!$Y$49</f>
        <v>0</v>
      </c>
      <c r="Z42" s="30">
        <f>SUM($Y$42:$Y$42)</f>
        <v>0</v>
      </c>
      <c r="AA42" s="30">
        <f>SUMIF($L$4:$Z$4,"SUBTOTAL",$L$42:$Z$42)</f>
        <v>121.89938863514671</v>
      </c>
    </row>
    <row r="44" spans="1:27" ht="11.25" customHeight="1" x14ac:dyDescent="0.25">
      <c r="K44" s="35" t="s">
        <v>567</v>
      </c>
      <c r="L44" s="30">
        <f t="shared" ref="L44:AA44" si="0">SUMPRODUCT($I$5:$I$42,L$5:L$42)</f>
        <v>0</v>
      </c>
      <c r="M44" s="30">
        <f t="shared" si="0"/>
        <v>0</v>
      </c>
      <c r="N44" s="30">
        <f t="shared" si="0"/>
        <v>0</v>
      </c>
      <c r="O44" s="30">
        <f t="shared" si="0"/>
        <v>0</v>
      </c>
      <c r="P44" s="30">
        <f t="shared" si="0"/>
        <v>0</v>
      </c>
      <c r="Q44" s="30">
        <f t="shared" si="0"/>
        <v>8422710.0564853679</v>
      </c>
      <c r="R44" s="30">
        <f t="shared" si="0"/>
        <v>8422710.0564853679</v>
      </c>
      <c r="S44" s="30">
        <f t="shared" si="0"/>
        <v>0</v>
      </c>
      <c r="T44" s="30">
        <f t="shared" si="0"/>
        <v>0</v>
      </c>
      <c r="U44" s="30">
        <f t="shared" si="0"/>
        <v>0</v>
      </c>
      <c r="V44" s="30">
        <f t="shared" si="0"/>
        <v>0</v>
      </c>
      <c r="W44" s="30">
        <f t="shared" si="0"/>
        <v>0</v>
      </c>
      <c r="X44" s="30">
        <f t="shared" si="0"/>
        <v>0</v>
      </c>
      <c r="Y44" s="30">
        <f t="shared" si="0"/>
        <v>0</v>
      </c>
      <c r="Z44" s="30">
        <f t="shared" si="0"/>
        <v>0</v>
      </c>
      <c r="AA44" s="30">
        <f t="shared" si="0"/>
        <v>8422710.0564853679</v>
      </c>
    </row>
    <row r="45" spans="1:27" ht="11.25" customHeight="1" x14ac:dyDescent="0.25">
      <c r="K45" s="35" t="s">
        <v>486</v>
      </c>
      <c r="L45" s="30">
        <f>CUSTOS!$D$30</f>
        <v>0</v>
      </c>
      <c r="M45" s="30">
        <f>CUSTOS!$D$31</f>
        <v>0</v>
      </c>
      <c r="N45" s="30">
        <f>CUSTOS!$D$32</f>
        <v>0</v>
      </c>
      <c r="O45" s="30">
        <f>CUSTOS!$D$33</f>
        <v>0</v>
      </c>
      <c r="P45" s="30">
        <f>CUSTOS!$D$34</f>
        <v>0</v>
      </c>
      <c r="Q45" s="30">
        <f>CUSTOS!$D$35</f>
        <v>8422710.0564853679</v>
      </c>
      <c r="R45" s="30">
        <f>CUSTOS!$D$36</f>
        <v>8422710.0564853679</v>
      </c>
      <c r="S45" s="30">
        <f>CUSTOS!$D$37</f>
        <v>0</v>
      </c>
      <c r="T45" s="30">
        <f>CUSTOS!$D$38</f>
        <v>0</v>
      </c>
      <c r="U45" s="30">
        <f>CUSTOS!$D$39</f>
        <v>0</v>
      </c>
      <c r="V45" s="30">
        <f>CUSTOS!$D$40</f>
        <v>0</v>
      </c>
      <c r="W45" s="30">
        <f>CUSTOS!$D$41</f>
        <v>0</v>
      </c>
      <c r="X45" s="30">
        <f>CUSTOS!$D$42</f>
        <v>0</v>
      </c>
      <c r="Y45" s="30">
        <f>CUSTOS!$D$43</f>
        <v>0</v>
      </c>
      <c r="Z45" s="30">
        <f>CUSTOS!$D$44</f>
        <v>0</v>
      </c>
      <c r="AA45" s="30">
        <f>CUSTOS!$D$45</f>
        <v>8422710.0564853679</v>
      </c>
    </row>
    <row r="46" spans="1:27" ht="11.25" customHeight="1" x14ac:dyDescent="0.25">
      <c r="K46" s="35" t="s">
        <v>487</v>
      </c>
      <c r="L46" s="30">
        <f>CUSTOS!$E$30</f>
        <v>0</v>
      </c>
      <c r="M46" s="30">
        <f>CUSTOS!$E$31</f>
        <v>0</v>
      </c>
      <c r="N46" s="30">
        <f>CUSTOS!$E$32</f>
        <v>0</v>
      </c>
      <c r="O46" s="30">
        <f>CUSTOS!$E$33</f>
        <v>0</v>
      </c>
      <c r="P46" s="30">
        <f>CUSTOS!$E$34</f>
        <v>0</v>
      </c>
      <c r="Q46" s="30">
        <f>CUSTOS!$E$35</f>
        <v>2389497.9682118199</v>
      </c>
      <c r="R46" s="30">
        <f>CUSTOS!$E$36</f>
        <v>2389497.9682118199</v>
      </c>
      <c r="S46" s="30">
        <f>CUSTOS!$E$37</f>
        <v>0</v>
      </c>
      <c r="T46" s="30">
        <f>CUSTOS!$E$38</f>
        <v>0</v>
      </c>
      <c r="U46" s="30">
        <f>CUSTOS!$E$39</f>
        <v>0</v>
      </c>
      <c r="V46" s="30">
        <f>CUSTOS!$E$40</f>
        <v>0</v>
      </c>
      <c r="W46" s="30">
        <f>CUSTOS!$E$41</f>
        <v>0</v>
      </c>
      <c r="X46" s="30">
        <f>CUSTOS!$E$42</f>
        <v>0</v>
      </c>
      <c r="Y46" s="30">
        <f>CUSTOS!$E$43</f>
        <v>0</v>
      </c>
      <c r="Z46" s="30">
        <f>CUSTOS!$E$44</f>
        <v>0</v>
      </c>
      <c r="AA46" s="30">
        <f>CUSTOS!$E$45</f>
        <v>2389497.9682118199</v>
      </c>
    </row>
    <row r="47" spans="1:27" ht="11.25" customHeight="1" x14ac:dyDescent="0.25">
      <c r="K47" s="35" t="s">
        <v>488</v>
      </c>
      <c r="L47" s="30">
        <f>CUSTOS!$F$30</f>
        <v>0</v>
      </c>
      <c r="M47" s="30">
        <f>CUSTOS!$F$31</f>
        <v>0</v>
      </c>
      <c r="N47" s="30">
        <f>CUSTOS!$F$32</f>
        <v>0</v>
      </c>
      <c r="O47" s="30">
        <f>CUSTOS!$F$33</f>
        <v>0</v>
      </c>
      <c r="P47" s="30">
        <f>CUSTOS!$F$34</f>
        <v>0</v>
      </c>
      <c r="Q47" s="30">
        <f>CUSTOS!$F$35</f>
        <v>0</v>
      </c>
      <c r="R47" s="30">
        <f>CUSTOS!$F$36</f>
        <v>0</v>
      </c>
      <c r="S47" s="30">
        <f>CUSTOS!$F$37</f>
        <v>0</v>
      </c>
      <c r="T47" s="30">
        <f>CUSTOS!$F$38</f>
        <v>0</v>
      </c>
      <c r="U47" s="30">
        <f>CUSTOS!$F$39</f>
        <v>0</v>
      </c>
      <c r="V47" s="30">
        <f>CUSTOS!$F$40</f>
        <v>0</v>
      </c>
      <c r="W47" s="30">
        <f>CUSTOS!$F$41</f>
        <v>0</v>
      </c>
      <c r="X47" s="30">
        <f>CUSTOS!$F$42</f>
        <v>0</v>
      </c>
      <c r="Y47" s="30">
        <f>CUSTOS!$F$43</f>
        <v>0</v>
      </c>
      <c r="Z47" s="30">
        <f>CUSTOS!$F$44</f>
        <v>0</v>
      </c>
      <c r="AA47" s="30">
        <f>CUSTOS!$F$45</f>
        <v>0</v>
      </c>
    </row>
    <row r="48" spans="1:27" ht="11.25" customHeight="1" x14ac:dyDescent="0.25">
      <c r="K48" s="35" t="s">
        <v>568</v>
      </c>
      <c r="L48" s="30">
        <f>'TR TE'!$L$48*L49</f>
        <v>0</v>
      </c>
      <c r="M48" s="30">
        <f>'TR TE'!$M$48*M49</f>
        <v>0</v>
      </c>
      <c r="N48" s="30">
        <f>'TR TE'!$N$48*N49</f>
        <v>0</v>
      </c>
      <c r="O48" s="30">
        <f>'TR TE'!$O$48*O49</f>
        <v>0</v>
      </c>
      <c r="P48" s="30"/>
      <c r="Q48" s="30">
        <f>'TR TE'!$Q$48*Q49</f>
        <v>56.569909716043675</v>
      </c>
      <c r="R48" s="30"/>
      <c r="S48" s="30">
        <f>'TR TE'!$S$48*S49</f>
        <v>0</v>
      </c>
      <c r="T48" s="30">
        <f>'TR TE'!$T$48*T49</f>
        <v>0</v>
      </c>
      <c r="U48" s="30">
        <f>'TR TE'!$U$48*U49</f>
        <v>0</v>
      </c>
      <c r="V48" s="30"/>
      <c r="W48" s="30"/>
      <c r="X48" s="30"/>
      <c r="Y48" s="30">
        <f>'TR TE'!$Y$48*Y49</f>
        <v>0</v>
      </c>
      <c r="Z48" s="30"/>
      <c r="AA48" s="30"/>
    </row>
    <row r="49" spans="11:27" ht="11.25" customHeight="1" x14ac:dyDescent="0.25">
      <c r="K49" s="35" t="s">
        <v>555</v>
      </c>
      <c r="L49" s="30">
        <f>IF(L45&lt;&gt;0,L46/L45,0)</f>
        <v>0</v>
      </c>
      <c r="M49" s="30">
        <f>IF(M45&lt;&gt;0,M46/M45,0)</f>
        <v>0</v>
      </c>
      <c r="N49" s="30">
        <f>IF(N45&lt;&gt;0,N46/N45,0)</f>
        <v>0</v>
      </c>
      <c r="O49" s="30">
        <f>IF(O45&lt;&gt;0,O46/O45,0)</f>
        <v>0</v>
      </c>
      <c r="P49" s="30"/>
      <c r="Q49" s="30">
        <f>IF(Q45&lt;&gt;0,Q46/Q45,0)</f>
        <v>0.28369704669721357</v>
      </c>
      <c r="R49" s="30"/>
      <c r="S49" s="30">
        <f>IF(S45&lt;&gt;0,S46/S45,0)</f>
        <v>0</v>
      </c>
      <c r="T49" s="30">
        <f>IF(T45&lt;&gt;0,T46/T45,0)</f>
        <v>0</v>
      </c>
      <c r="U49" s="30">
        <f>IF(U45&lt;&gt;0,U46/U45,0)</f>
        <v>0</v>
      </c>
      <c r="V49" s="30"/>
      <c r="W49" s="30">
        <f>IF(($AA45-0)&lt;&gt;0,W46/($AA45-0),0)</f>
        <v>0</v>
      </c>
      <c r="X49" s="30"/>
      <c r="Y49" s="30">
        <f>IF(Y45&lt;&gt;0,Y46/Y45,0)</f>
        <v>0</v>
      </c>
      <c r="Z49" s="30"/>
      <c r="AA49" s="30"/>
    </row>
    <row r="50" spans="11:27" ht="11.25" customHeight="1" x14ac:dyDescent="0.25">
      <c r="K50" s="35" t="s">
        <v>570</v>
      </c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</row>
  </sheetData>
  <mergeCells count="61">
    <mergeCell ref="S3:V3"/>
    <mergeCell ref="W3:X3"/>
    <mergeCell ref="A1:A4"/>
    <mergeCell ref="B1:B4"/>
    <mergeCell ref="C1:C4"/>
    <mergeCell ref="D1:D4"/>
    <mergeCell ref="E1:E4"/>
    <mergeCell ref="F1:F4"/>
    <mergeCell ref="Y3:Z3"/>
    <mergeCell ref="AA3:AA4"/>
    <mergeCell ref="A5:A7"/>
    <mergeCell ref="B5:B6"/>
    <mergeCell ref="C5:C6"/>
    <mergeCell ref="D5:D6"/>
    <mergeCell ref="E5:E6"/>
    <mergeCell ref="F5:F6"/>
    <mergeCell ref="G1:G4"/>
    <mergeCell ref="H1:H4"/>
    <mergeCell ref="I1:I4"/>
    <mergeCell ref="J1:J4"/>
    <mergeCell ref="L1:AA1"/>
    <mergeCell ref="L2:AA2"/>
    <mergeCell ref="L3:P3"/>
    <mergeCell ref="Q3:R3"/>
    <mergeCell ref="F8:F10"/>
    <mergeCell ref="B11:B15"/>
    <mergeCell ref="C11:C15"/>
    <mergeCell ref="B16:B20"/>
    <mergeCell ref="C16:C20"/>
    <mergeCell ref="A8:A20"/>
    <mergeCell ref="B8:B10"/>
    <mergeCell ref="C8:C10"/>
    <mergeCell ref="D8:D10"/>
    <mergeCell ref="E8:E10"/>
    <mergeCell ref="D29:D31"/>
    <mergeCell ref="E29:E31"/>
    <mergeCell ref="F29:F31"/>
    <mergeCell ref="D21:D23"/>
    <mergeCell ref="E21:E23"/>
    <mergeCell ref="F21:F23"/>
    <mergeCell ref="D25:D27"/>
    <mergeCell ref="E25:E27"/>
    <mergeCell ref="F25:F27"/>
    <mergeCell ref="B33:B35"/>
    <mergeCell ref="C33:C35"/>
    <mergeCell ref="A36:A40"/>
    <mergeCell ref="B36:B38"/>
    <mergeCell ref="C36:C38"/>
    <mergeCell ref="A21:A35"/>
    <mergeCell ref="B21:B23"/>
    <mergeCell ref="C21:C23"/>
    <mergeCell ref="B29:B31"/>
    <mergeCell ref="C29:C31"/>
    <mergeCell ref="B25:B27"/>
    <mergeCell ref="C25:C27"/>
    <mergeCell ref="E36:E38"/>
    <mergeCell ref="F36:F38"/>
    <mergeCell ref="A41:A42"/>
    <mergeCell ref="B41:B42"/>
    <mergeCell ref="C41:C42"/>
    <mergeCell ref="D36:D38"/>
  </mergeCells>
  <conditionalFormatting sqref="L44">
    <cfRule type="cellIs" dxfId="677" priority="31" operator="notEqual">
      <formula>$L$45</formula>
    </cfRule>
    <cfRule type="cellIs" dxfId="676" priority="32" operator="equal">
      <formula>$L$45</formula>
    </cfRule>
  </conditionalFormatting>
  <conditionalFormatting sqref="M44">
    <cfRule type="cellIs" dxfId="675" priority="29" operator="notEqual">
      <formula>$M$45</formula>
    </cfRule>
    <cfRule type="cellIs" dxfId="674" priority="30" operator="equal">
      <formula>$M$45</formula>
    </cfRule>
  </conditionalFormatting>
  <conditionalFormatting sqref="N44">
    <cfRule type="cellIs" dxfId="673" priority="27" operator="notEqual">
      <formula>$N$45</formula>
    </cfRule>
    <cfRule type="cellIs" dxfId="672" priority="28" operator="equal">
      <formula>$N$45</formula>
    </cfRule>
  </conditionalFormatting>
  <conditionalFormatting sqref="O44">
    <cfRule type="cellIs" dxfId="671" priority="25" operator="notEqual">
      <formula>$O$45</formula>
    </cfRule>
    <cfRule type="cellIs" dxfId="670" priority="26" operator="equal">
      <formula>$O$45</formula>
    </cfRule>
  </conditionalFormatting>
  <conditionalFormatting sqref="P44">
    <cfRule type="cellIs" dxfId="669" priority="23" operator="notEqual">
      <formula>$P$45</formula>
    </cfRule>
    <cfRule type="cellIs" dxfId="668" priority="24" operator="equal">
      <formula>$P$45</formula>
    </cfRule>
  </conditionalFormatting>
  <conditionalFormatting sqref="Q44">
    <cfRule type="cellIs" dxfId="667" priority="21" operator="notEqual">
      <formula>$Q$45</formula>
    </cfRule>
    <cfRule type="cellIs" dxfId="666" priority="22" operator="equal">
      <formula>$Q$45</formula>
    </cfRule>
  </conditionalFormatting>
  <conditionalFormatting sqref="R44">
    <cfRule type="cellIs" dxfId="665" priority="19" operator="notEqual">
      <formula>$R$45</formula>
    </cfRule>
    <cfRule type="cellIs" dxfId="664" priority="20" operator="equal">
      <formula>$R$45</formula>
    </cfRule>
  </conditionalFormatting>
  <conditionalFormatting sqref="S44">
    <cfRule type="cellIs" dxfId="663" priority="17" operator="notEqual">
      <formula>$S$45</formula>
    </cfRule>
    <cfRule type="cellIs" dxfId="662" priority="18" operator="equal">
      <formula>$S$45</formula>
    </cfRule>
  </conditionalFormatting>
  <conditionalFormatting sqref="T44">
    <cfRule type="cellIs" dxfId="661" priority="15" operator="notEqual">
      <formula>$T$45</formula>
    </cfRule>
    <cfRule type="cellIs" dxfId="660" priority="16" operator="equal">
      <formula>$T$45</formula>
    </cfRule>
  </conditionalFormatting>
  <conditionalFormatting sqref="U44">
    <cfRule type="cellIs" dxfId="659" priority="13" operator="notEqual">
      <formula>$U$45</formula>
    </cfRule>
    <cfRule type="cellIs" dxfId="658" priority="14" operator="equal">
      <formula>$U$45</formula>
    </cfRule>
  </conditionalFormatting>
  <conditionalFormatting sqref="V44">
    <cfRule type="cellIs" dxfId="657" priority="11" operator="notEqual">
      <formula>$V$45</formula>
    </cfRule>
    <cfRule type="cellIs" dxfId="656" priority="12" operator="equal">
      <formula>$V$45</formula>
    </cfRule>
  </conditionalFormatting>
  <conditionalFormatting sqref="W44">
    <cfRule type="cellIs" dxfId="655" priority="9" operator="notEqual">
      <formula>$W$45</formula>
    </cfRule>
    <cfRule type="cellIs" dxfId="654" priority="10" operator="equal">
      <formula>$W$45</formula>
    </cfRule>
  </conditionalFormatting>
  <conditionalFormatting sqref="X44">
    <cfRule type="cellIs" dxfId="653" priority="7" operator="notEqual">
      <formula>$X$45</formula>
    </cfRule>
    <cfRule type="cellIs" dxfId="652" priority="8" operator="equal">
      <formula>$X$45</formula>
    </cfRule>
  </conditionalFormatting>
  <conditionalFormatting sqref="Y44">
    <cfRule type="cellIs" dxfId="651" priority="5" operator="notEqual">
      <formula>$Y$45</formula>
    </cfRule>
    <cfRule type="cellIs" dxfId="650" priority="6" operator="equal">
      <formula>$Y$45</formula>
    </cfRule>
  </conditionalFormatting>
  <conditionalFormatting sqref="Z44">
    <cfRule type="cellIs" dxfId="649" priority="3" operator="notEqual">
      <formula>$Z$45</formula>
    </cfRule>
    <cfRule type="cellIs" dxfId="648" priority="4" operator="equal">
      <formula>$Z$45</formula>
    </cfRule>
  </conditionalFormatting>
  <conditionalFormatting sqref="AA44">
    <cfRule type="cellIs" dxfId="647" priority="1" operator="notEqual">
      <formula>$AA$45</formula>
    </cfRule>
    <cfRule type="cellIs" dxfId="646" priority="2" operator="equal">
      <formula>$AA$45</formula>
    </cfRule>
  </conditionalFormatting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46635-8516-4B81-A6B3-BC2B31B8631F}">
  <dimension ref="A1:AA50"/>
  <sheetViews>
    <sheetView showGridLines="0" topLeftCell="K1" workbookViewId="0">
      <selection activeCell="AA44" sqref="AA44"/>
    </sheetView>
  </sheetViews>
  <sheetFormatPr defaultRowHeight="11.25" customHeight="1" x14ac:dyDescent="0.25"/>
  <cols>
    <col min="1" max="1" width="9.28515625" style="9" bestFit="1" customWidth="1"/>
    <col min="2" max="2" width="27.140625" style="9" bestFit="1" customWidth="1"/>
    <col min="3" max="3" width="13.5703125" style="9" bestFit="1" customWidth="1"/>
    <col min="4" max="4" width="25.140625" style="9" bestFit="1" customWidth="1"/>
    <col min="5" max="6" width="10.28515625" style="9" bestFit="1" customWidth="1"/>
    <col min="7" max="7" width="6.28515625" style="9" bestFit="1" customWidth="1"/>
    <col min="8" max="8" width="7.42578125" style="9" bestFit="1" customWidth="1"/>
    <col min="9" max="9" width="7.85546875" style="9" bestFit="1" customWidth="1"/>
    <col min="10" max="10" width="9.140625" style="9"/>
    <col min="11" max="11" width="20" style="9" bestFit="1" customWidth="1"/>
    <col min="12" max="14" width="7.85546875" style="9" bestFit="1" customWidth="1"/>
    <col min="15" max="15" width="11.140625" style="9" bestFit="1" customWidth="1"/>
    <col min="16" max="16" width="9.28515625" style="9" bestFit="1" customWidth="1"/>
    <col min="17" max="17" width="15" style="9" bestFit="1" customWidth="1"/>
    <col min="18" max="18" width="10" style="9" bestFit="1" customWidth="1"/>
    <col min="19" max="19" width="7.85546875" style="9" bestFit="1" customWidth="1"/>
    <col min="20" max="20" width="10.42578125" style="9" bestFit="1" customWidth="1"/>
    <col min="21" max="21" width="7.85546875" style="9" bestFit="1" customWidth="1"/>
    <col min="22" max="22" width="9.28515625" style="9" bestFit="1" customWidth="1"/>
    <col min="23" max="23" width="8" style="9" bestFit="1" customWidth="1"/>
    <col min="24" max="24" width="9.28515625" style="9" bestFit="1" customWidth="1"/>
    <col min="25" max="25" width="11" style="9" bestFit="1" customWidth="1"/>
    <col min="26" max="26" width="9.28515625" style="9" bestFit="1" customWidth="1"/>
    <col min="27" max="27" width="10" style="9" bestFit="1" customWidth="1"/>
    <col min="28" max="16384" width="9.140625" style="9"/>
  </cols>
  <sheetData>
    <row r="1" spans="1:27" ht="11.25" customHeight="1" x14ac:dyDescent="0.25">
      <c r="A1" s="139" t="s">
        <v>61</v>
      </c>
      <c r="B1" s="139" t="s">
        <v>62</v>
      </c>
      <c r="C1" s="139" t="s">
        <v>63</v>
      </c>
      <c r="D1" s="139" t="s">
        <v>64</v>
      </c>
      <c r="E1" s="139" t="s">
        <v>65</v>
      </c>
      <c r="F1" s="139" t="s">
        <v>15</v>
      </c>
      <c r="G1" s="139" t="s">
        <v>67</v>
      </c>
      <c r="H1" s="139" t="s">
        <v>68</v>
      </c>
      <c r="I1" s="139" t="s">
        <v>545</v>
      </c>
      <c r="J1" s="124"/>
      <c r="L1" s="140" t="s">
        <v>572</v>
      </c>
      <c r="M1" s="140"/>
      <c r="N1" s="140"/>
      <c r="O1" s="140"/>
      <c r="P1" s="140"/>
      <c r="Q1" s="140"/>
      <c r="R1" s="140"/>
      <c r="S1" s="140"/>
      <c r="T1" s="140"/>
      <c r="U1" s="140"/>
      <c r="V1" s="140"/>
      <c r="W1" s="140"/>
      <c r="X1" s="140"/>
      <c r="Y1" s="140"/>
      <c r="Z1" s="140"/>
      <c r="AA1" s="140"/>
    </row>
    <row r="2" spans="1:27" ht="11.25" customHeight="1" x14ac:dyDescent="0.25">
      <c r="A2" s="139"/>
      <c r="B2" s="139"/>
      <c r="C2" s="139"/>
      <c r="D2" s="139"/>
      <c r="E2" s="139"/>
      <c r="F2" s="139"/>
      <c r="G2" s="139"/>
      <c r="H2" s="139"/>
      <c r="I2" s="139"/>
      <c r="J2" s="124"/>
      <c r="L2" s="140" t="s">
        <v>473</v>
      </c>
      <c r="M2" s="140"/>
      <c r="N2" s="140"/>
      <c r="O2" s="140"/>
      <c r="P2" s="140"/>
      <c r="Q2" s="140"/>
      <c r="R2" s="140"/>
      <c r="S2" s="140"/>
      <c r="T2" s="140"/>
      <c r="U2" s="140"/>
      <c r="V2" s="140"/>
      <c r="W2" s="140"/>
      <c r="X2" s="140"/>
      <c r="Y2" s="140"/>
      <c r="Z2" s="140"/>
      <c r="AA2" s="140"/>
    </row>
    <row r="3" spans="1:27" ht="11.25" customHeight="1" x14ac:dyDescent="0.25">
      <c r="A3" s="139"/>
      <c r="B3" s="139"/>
      <c r="C3" s="139"/>
      <c r="D3" s="139"/>
      <c r="E3" s="139"/>
      <c r="F3" s="139"/>
      <c r="G3" s="139"/>
      <c r="H3" s="139"/>
      <c r="I3" s="139"/>
      <c r="J3" s="124"/>
      <c r="L3" s="140" t="s">
        <v>446</v>
      </c>
      <c r="M3" s="140"/>
      <c r="N3" s="140"/>
      <c r="O3" s="140"/>
      <c r="P3" s="140"/>
      <c r="Q3" s="140" t="s">
        <v>476</v>
      </c>
      <c r="R3" s="140"/>
      <c r="S3" s="140" t="s">
        <v>455</v>
      </c>
      <c r="T3" s="140"/>
      <c r="U3" s="140"/>
      <c r="V3" s="140"/>
      <c r="W3" s="140" t="s">
        <v>465</v>
      </c>
      <c r="X3" s="140"/>
      <c r="Y3" s="140" t="s">
        <v>468</v>
      </c>
      <c r="Z3" s="140"/>
      <c r="AA3" s="140" t="s">
        <v>454</v>
      </c>
    </row>
    <row r="4" spans="1:27" ht="11.25" customHeight="1" x14ac:dyDescent="0.25">
      <c r="A4" s="139"/>
      <c r="B4" s="139"/>
      <c r="C4" s="139"/>
      <c r="D4" s="139"/>
      <c r="E4" s="139"/>
      <c r="F4" s="139"/>
      <c r="G4" s="139"/>
      <c r="H4" s="139"/>
      <c r="I4" s="139"/>
      <c r="J4" s="124"/>
      <c r="L4" s="36" t="s">
        <v>448</v>
      </c>
      <c r="M4" s="36" t="s">
        <v>474</v>
      </c>
      <c r="N4" s="36" t="s">
        <v>475</v>
      </c>
      <c r="O4" s="36" t="s">
        <v>533</v>
      </c>
      <c r="P4" s="36" t="s">
        <v>454</v>
      </c>
      <c r="Q4" s="36" t="s">
        <v>477</v>
      </c>
      <c r="R4" s="36" t="s">
        <v>454</v>
      </c>
      <c r="S4" s="36" t="s">
        <v>478</v>
      </c>
      <c r="T4" s="36" t="s">
        <v>479</v>
      </c>
      <c r="U4" s="36" t="s">
        <v>480</v>
      </c>
      <c r="V4" s="36" t="s">
        <v>454</v>
      </c>
      <c r="W4" s="36" t="s">
        <v>466</v>
      </c>
      <c r="X4" s="36" t="s">
        <v>454</v>
      </c>
      <c r="Y4" s="36" t="s">
        <v>481</v>
      </c>
      <c r="Z4" s="36" t="s">
        <v>454</v>
      </c>
      <c r="AA4" s="141"/>
    </row>
    <row r="5" spans="1:27" ht="11.25" customHeight="1" x14ac:dyDescent="0.25">
      <c r="A5" s="138" t="s">
        <v>33</v>
      </c>
      <c r="B5" s="138" t="s">
        <v>70</v>
      </c>
      <c r="C5" s="138" t="s">
        <v>25</v>
      </c>
      <c r="D5" s="138" t="s">
        <v>25</v>
      </c>
      <c r="E5" s="138" t="s">
        <v>25</v>
      </c>
      <c r="F5" s="138" t="s">
        <v>25</v>
      </c>
      <c r="G5" s="32" t="s">
        <v>72</v>
      </c>
      <c r="H5" s="32" t="s">
        <v>71</v>
      </c>
      <c r="I5" s="32">
        <f>'MERCADO TE'!$U$2</f>
        <v>119.02</v>
      </c>
      <c r="J5" s="17"/>
      <c r="L5" s="30">
        <f>'TE BE'!$L$5*'TE BE'!$L$49</f>
        <v>0</v>
      </c>
      <c r="M5" s="30">
        <f>'TE BE'!$M$5*'TE BE'!$M$49</f>
        <v>0</v>
      </c>
      <c r="N5" s="30">
        <f>'TE BE'!$N$5*'TE BE'!$N$49</f>
        <v>0</v>
      </c>
      <c r="O5" s="30">
        <f>'TE BE'!$O$5*'TE BE'!$O$49</f>
        <v>0</v>
      </c>
      <c r="P5" s="30">
        <f>SUM($L$5:$O$5)</f>
        <v>0</v>
      </c>
      <c r="Q5" s="30">
        <f>'TE BE'!$Q$5*'TE BE'!$Q$49</f>
        <v>57.637494249978339</v>
      </c>
      <c r="R5" s="30">
        <f>SUM($Q$5:$Q$5)</f>
        <v>57.637494249978339</v>
      </c>
      <c r="S5" s="30">
        <f>'TE BE'!$S$5*'TE BE'!$S$49</f>
        <v>0</v>
      </c>
      <c r="T5" s="30">
        <f>'TE BE'!$T$5*'TE BE'!$T$49</f>
        <v>0</v>
      </c>
      <c r="U5" s="30">
        <f>'TE BE'!$U$5*'TE BE'!$U$49</f>
        <v>0</v>
      </c>
      <c r="V5" s="30">
        <f>SUM($S$5:$U$5)</f>
        <v>0</v>
      </c>
      <c r="W5" s="30">
        <f>'TE BE'!$AA$5*'TE BE'!$W$49</f>
        <v>0</v>
      </c>
      <c r="X5" s="30">
        <f>SUM($W$5:$W$5)</f>
        <v>0</v>
      </c>
      <c r="Y5" s="30">
        <f>'TE BE'!$Y$5*'TE BE'!$Y$49</f>
        <v>0</v>
      </c>
      <c r="Z5" s="30">
        <f>SUM($Y$5:$Y$5)</f>
        <v>0</v>
      </c>
      <c r="AA5" s="30">
        <f>SUMIF($L$4:$Z$4,"SUBTOTAL",$L$5:$Z$5)</f>
        <v>57.637494249978339</v>
      </c>
    </row>
    <row r="6" spans="1:27" ht="11.25" customHeight="1" x14ac:dyDescent="0.25">
      <c r="A6" s="138"/>
      <c r="B6" s="138"/>
      <c r="C6" s="138"/>
      <c r="D6" s="138"/>
      <c r="E6" s="138"/>
      <c r="F6" s="138"/>
      <c r="G6" s="32" t="s">
        <v>73</v>
      </c>
      <c r="H6" s="32" t="s">
        <v>71</v>
      </c>
      <c r="I6" s="32">
        <f>'MERCADO TE'!$U$3</f>
        <v>3902.4649999999997</v>
      </c>
      <c r="J6" s="17"/>
      <c r="L6" s="30">
        <f>'TE BE'!$L$6*'TE BE'!$L$49</f>
        <v>0</v>
      </c>
      <c r="M6" s="30">
        <f>'TE BE'!$M$6*'TE BE'!$M$49</f>
        <v>0</v>
      </c>
      <c r="N6" s="30">
        <f>'TE BE'!$N$6*'TE BE'!$N$49</f>
        <v>0</v>
      </c>
      <c r="O6" s="30">
        <f>'TE BE'!$O$6*'TE BE'!$O$49</f>
        <v>0</v>
      </c>
      <c r="P6" s="30">
        <f>SUM($L$6:$O$6)</f>
        <v>0</v>
      </c>
      <c r="Q6" s="30">
        <f>'TE BE'!$Q$6*'TE BE'!$Q$49</f>
        <v>57.637494249978339</v>
      </c>
      <c r="R6" s="30">
        <f>SUM($Q$6:$Q$6)</f>
        <v>57.637494249978339</v>
      </c>
      <c r="S6" s="30">
        <f>'TE BE'!$S$6*'TE BE'!$S$49</f>
        <v>0</v>
      </c>
      <c r="T6" s="30">
        <f>'TE BE'!$T$6*'TE BE'!$T$49</f>
        <v>0</v>
      </c>
      <c r="U6" s="30">
        <f>'TE BE'!$U$6*'TE BE'!$U$49</f>
        <v>0</v>
      </c>
      <c r="V6" s="30">
        <f>SUM($S$6:$U$6)</f>
        <v>0</v>
      </c>
      <c r="W6" s="30">
        <f>'TE BE'!$AA$6*'TE BE'!$W$49</f>
        <v>0</v>
      </c>
      <c r="X6" s="30">
        <f>SUM($W$6:$W$6)</f>
        <v>0</v>
      </c>
      <c r="Y6" s="30">
        <f>'TE BE'!$Y$6*'TE BE'!$Y$49</f>
        <v>0</v>
      </c>
      <c r="Z6" s="30">
        <f>SUM($Y$6:$Y$6)</f>
        <v>0</v>
      </c>
      <c r="AA6" s="30">
        <f>SUMIF($L$4:$Z$4,"SUBTOTAL",$L$6:$Z$6)</f>
        <v>57.637494249978339</v>
      </c>
    </row>
    <row r="7" spans="1:27" ht="11.25" customHeight="1" x14ac:dyDescent="0.25">
      <c r="A7" s="138"/>
      <c r="B7" s="38" t="s">
        <v>74</v>
      </c>
      <c r="C7" s="38" t="s">
        <v>25</v>
      </c>
      <c r="D7" s="38" t="s">
        <v>25</v>
      </c>
      <c r="E7" s="38" t="s">
        <v>25</v>
      </c>
      <c r="F7" s="38" t="s">
        <v>25</v>
      </c>
      <c r="G7" s="32" t="s">
        <v>75</v>
      </c>
      <c r="H7" s="32" t="s">
        <v>71</v>
      </c>
      <c r="I7" s="32">
        <f>'MERCADO TE'!$U$4</f>
        <v>0</v>
      </c>
      <c r="J7" s="17"/>
      <c r="L7" s="30">
        <f>'TE BE'!$L$7*'TE BE'!$L$49</f>
        <v>0</v>
      </c>
      <c r="M7" s="30">
        <f>'TE BE'!$M$7*'TE BE'!$M$49</f>
        <v>0</v>
      </c>
      <c r="N7" s="30">
        <f>'TE BE'!$N$7*'TE BE'!$N$49</f>
        <v>0</v>
      </c>
      <c r="O7" s="30">
        <f>'TE BE'!$O$7*'TE BE'!$O$49</f>
        <v>0</v>
      </c>
      <c r="P7" s="30">
        <f>SUM($L$7:$O$7)</f>
        <v>0</v>
      </c>
      <c r="Q7" s="30">
        <f>'TE BE'!$Q$7*'TE BE'!$Q$49</f>
        <v>57.637494249978339</v>
      </c>
      <c r="R7" s="30">
        <f>SUM($Q$7:$Q$7)</f>
        <v>57.637494249978339</v>
      </c>
      <c r="S7" s="30">
        <f>'TE BE'!$S$7*'TE BE'!$S$49</f>
        <v>0</v>
      </c>
      <c r="T7" s="30">
        <f>'TE BE'!$T$7*'TE BE'!$T$49</f>
        <v>0</v>
      </c>
      <c r="U7" s="30">
        <f>'TE BE'!$U$7*'TE BE'!$U$49</f>
        <v>0</v>
      </c>
      <c r="V7" s="30">
        <f>SUM($S$7:$U$7)</f>
        <v>0</v>
      </c>
      <c r="W7" s="30">
        <f>'TE BE'!$AA$7*'TE BE'!$W$49</f>
        <v>0</v>
      </c>
      <c r="X7" s="30">
        <f>SUM($W$7:$W$7)</f>
        <v>0</v>
      </c>
      <c r="Y7" s="30">
        <f>'TE BE'!$Y$7*'TE BE'!$Y$49</f>
        <v>0</v>
      </c>
      <c r="Z7" s="30">
        <f>SUM($Y$7:$Y$7)</f>
        <v>0</v>
      </c>
      <c r="AA7" s="30">
        <f>SUMIF($L$4:$Z$4,"SUBTOTAL",$L$7:$Z$7)</f>
        <v>57.637494249978339</v>
      </c>
    </row>
    <row r="8" spans="1:27" ht="11.25" customHeight="1" x14ac:dyDescent="0.25">
      <c r="A8" s="138" t="s">
        <v>22</v>
      </c>
      <c r="B8" s="138" t="s">
        <v>70</v>
      </c>
      <c r="C8" s="138" t="s">
        <v>24</v>
      </c>
      <c r="D8" s="138" t="s">
        <v>24</v>
      </c>
      <c r="E8" s="138" t="s">
        <v>25</v>
      </c>
      <c r="F8" s="138" t="s">
        <v>25</v>
      </c>
      <c r="G8" s="32" t="s">
        <v>72</v>
      </c>
      <c r="H8" s="32" t="s">
        <v>71</v>
      </c>
      <c r="I8" s="32">
        <f>'MERCADO TE'!$U$5</f>
        <v>2.3139999999999996</v>
      </c>
      <c r="J8" s="17"/>
      <c r="L8" s="30">
        <f>'TE BE'!$L$8*'TE BE'!$L$49</f>
        <v>0</v>
      </c>
      <c r="M8" s="30">
        <f>'TE BE'!$M$8*'TE BE'!$M$49</f>
        <v>0</v>
      </c>
      <c r="N8" s="30">
        <f>'TE BE'!$N$8*'TE BE'!$N$49</f>
        <v>0</v>
      </c>
      <c r="O8" s="30">
        <f>'TE BE'!$O$8*'TE BE'!$O$49</f>
        <v>0</v>
      </c>
      <c r="P8" s="30">
        <f>SUM($L$8:$O$8)</f>
        <v>0</v>
      </c>
      <c r="Q8" s="30">
        <f>'TE BE'!$Q$8*'TE BE'!$Q$49</f>
        <v>57.637494249978339</v>
      </c>
      <c r="R8" s="30">
        <f>SUM($Q$8:$Q$8)</f>
        <v>57.637494249978339</v>
      </c>
      <c r="S8" s="30">
        <f>'TE BE'!$S$8*'TE BE'!$S$49</f>
        <v>0</v>
      </c>
      <c r="T8" s="30">
        <f>'TE BE'!$T$8*'TE BE'!$T$49</f>
        <v>0</v>
      </c>
      <c r="U8" s="30">
        <f>'TE BE'!$U$8*'TE BE'!$U$49</f>
        <v>0</v>
      </c>
      <c r="V8" s="30">
        <f>SUM($S$8:$U$8)</f>
        <v>0</v>
      </c>
      <c r="W8" s="30">
        <f>'TE BE'!$AA$8*'TE BE'!$W$49</f>
        <v>0</v>
      </c>
      <c r="X8" s="30">
        <f>SUM($W$8:$W$8)</f>
        <v>0</v>
      </c>
      <c r="Y8" s="30">
        <f>'TE BE'!$Y$8*'TE BE'!$Y$49</f>
        <v>0</v>
      </c>
      <c r="Z8" s="30">
        <f>SUM($Y$8:$Y$8)</f>
        <v>0</v>
      </c>
      <c r="AA8" s="30">
        <f>SUMIF($L$4:$Z$4,"SUBTOTAL",$L$8:$Z$8)</f>
        <v>57.637494249978339</v>
      </c>
    </row>
    <row r="9" spans="1:27" ht="11.25" customHeight="1" x14ac:dyDescent="0.25">
      <c r="A9" s="138"/>
      <c r="B9" s="138"/>
      <c r="C9" s="138"/>
      <c r="D9" s="138"/>
      <c r="E9" s="138"/>
      <c r="F9" s="138"/>
      <c r="G9" s="32" t="s">
        <v>84</v>
      </c>
      <c r="H9" s="32" t="s">
        <v>71</v>
      </c>
      <c r="I9" s="32">
        <f>'MERCADO TE'!$U$6</f>
        <v>1.2229999999999999</v>
      </c>
      <c r="J9" s="17"/>
      <c r="L9" s="30">
        <f>'TE BE'!$L$9*'TE BE'!$L$49</f>
        <v>0</v>
      </c>
      <c r="M9" s="30">
        <f>'TE BE'!$M$9*'TE BE'!$M$49</f>
        <v>0</v>
      </c>
      <c r="N9" s="30">
        <f>'TE BE'!$N$9*'TE BE'!$N$49</f>
        <v>0</v>
      </c>
      <c r="O9" s="30">
        <f>'TE BE'!$O$9*'TE BE'!$O$49</f>
        <v>0</v>
      </c>
      <c r="P9" s="30">
        <f>SUM($L$9:$O$9)</f>
        <v>0</v>
      </c>
      <c r="Q9" s="30">
        <f>'TE BE'!$Q$9*'TE BE'!$Q$49</f>
        <v>57.637494249978339</v>
      </c>
      <c r="R9" s="30">
        <f>SUM($Q$9:$Q$9)</f>
        <v>57.637494249978339</v>
      </c>
      <c r="S9" s="30">
        <f>'TE BE'!$S$9*'TE BE'!$S$49</f>
        <v>0</v>
      </c>
      <c r="T9" s="30">
        <f>'TE BE'!$T$9*'TE BE'!$T$49</f>
        <v>0</v>
      </c>
      <c r="U9" s="30">
        <f>'TE BE'!$U$9*'TE BE'!$U$49</f>
        <v>0</v>
      </c>
      <c r="V9" s="30">
        <f>SUM($S$9:$U$9)</f>
        <v>0</v>
      </c>
      <c r="W9" s="30">
        <f>'TE BE'!$AA$9*'TE BE'!$W$49</f>
        <v>0</v>
      </c>
      <c r="X9" s="30">
        <f>SUM($W$9:$W$9)</f>
        <v>0</v>
      </c>
      <c r="Y9" s="30">
        <f>'TE BE'!$Y$9*'TE BE'!$Y$49</f>
        <v>0</v>
      </c>
      <c r="Z9" s="30">
        <f>SUM($Y$9:$Y$9)</f>
        <v>0</v>
      </c>
      <c r="AA9" s="30">
        <f>SUMIF($L$4:$Z$4,"SUBTOTAL",$L$9:$Z$9)</f>
        <v>57.637494249978339</v>
      </c>
    </row>
    <row r="10" spans="1:27" ht="11.25" customHeight="1" x14ac:dyDescent="0.25">
      <c r="A10" s="138"/>
      <c r="B10" s="138"/>
      <c r="C10" s="138"/>
      <c r="D10" s="138"/>
      <c r="E10" s="138"/>
      <c r="F10" s="138"/>
      <c r="G10" s="32" t="s">
        <v>73</v>
      </c>
      <c r="H10" s="32" t="s">
        <v>71</v>
      </c>
      <c r="I10" s="32">
        <f>'MERCADO TE'!$U$7</f>
        <v>15.786</v>
      </c>
      <c r="J10" s="17"/>
      <c r="L10" s="30">
        <f>'TE BE'!$L$10*'TE BE'!$L$49</f>
        <v>0</v>
      </c>
      <c r="M10" s="30">
        <f>'TE BE'!$M$10*'TE BE'!$M$49</f>
        <v>0</v>
      </c>
      <c r="N10" s="30">
        <f>'TE BE'!$N$10*'TE BE'!$N$49</f>
        <v>0</v>
      </c>
      <c r="O10" s="30">
        <f>'TE BE'!$O$10*'TE BE'!$O$49</f>
        <v>0</v>
      </c>
      <c r="P10" s="30">
        <f>SUM($L$10:$O$10)</f>
        <v>0</v>
      </c>
      <c r="Q10" s="30">
        <f>'TE BE'!$Q$10*'TE BE'!$Q$49</f>
        <v>57.637494249978339</v>
      </c>
      <c r="R10" s="30">
        <f>SUM($Q$10:$Q$10)</f>
        <v>57.637494249978339</v>
      </c>
      <c r="S10" s="30">
        <f>'TE BE'!$S$10*'TE BE'!$S$49</f>
        <v>0</v>
      </c>
      <c r="T10" s="30">
        <f>'TE BE'!$T$10*'TE BE'!$T$49</f>
        <v>0</v>
      </c>
      <c r="U10" s="30">
        <f>'TE BE'!$U$10*'TE BE'!$U$49</f>
        <v>0</v>
      </c>
      <c r="V10" s="30">
        <f>SUM($S$10:$U$10)</f>
        <v>0</v>
      </c>
      <c r="W10" s="30">
        <f>'TE BE'!$AA$10*'TE BE'!$W$49</f>
        <v>0</v>
      </c>
      <c r="X10" s="30">
        <f>SUM($W$10:$W$10)</f>
        <v>0</v>
      </c>
      <c r="Y10" s="30">
        <f>'TE BE'!$Y$10*'TE BE'!$Y$49</f>
        <v>0</v>
      </c>
      <c r="Z10" s="30">
        <f>SUM($Y$10:$Y$10)</f>
        <v>0</v>
      </c>
      <c r="AA10" s="30">
        <f>SUMIF($L$4:$Z$4,"SUBTOTAL",$L$10:$Z$10)</f>
        <v>57.637494249978339</v>
      </c>
    </row>
    <row r="11" spans="1:27" ht="11.25" customHeight="1" x14ac:dyDescent="0.25">
      <c r="A11" s="138"/>
      <c r="B11" s="138" t="s">
        <v>74</v>
      </c>
      <c r="C11" s="138" t="s">
        <v>24</v>
      </c>
      <c r="D11" s="38" t="s">
        <v>24</v>
      </c>
      <c r="E11" s="38" t="s">
        <v>25</v>
      </c>
      <c r="F11" s="38" t="s">
        <v>25</v>
      </c>
      <c r="G11" s="32" t="s">
        <v>75</v>
      </c>
      <c r="H11" s="32" t="s">
        <v>71</v>
      </c>
      <c r="I11" s="32">
        <f>'MERCADO TE'!$U$8</f>
        <v>26510.091</v>
      </c>
      <c r="J11" s="17"/>
      <c r="L11" s="30">
        <f>'TE BE'!$L$11*'TE BE'!$L$49</f>
        <v>0</v>
      </c>
      <c r="M11" s="30">
        <f>'TE BE'!$M$11*'TE BE'!$M$49</f>
        <v>0</v>
      </c>
      <c r="N11" s="30">
        <f>'TE BE'!$N$11*'TE BE'!$N$49</f>
        <v>0</v>
      </c>
      <c r="O11" s="30">
        <f>'TE BE'!$O$11*'TE BE'!$O$49</f>
        <v>0</v>
      </c>
      <c r="P11" s="30">
        <f>SUM($L$11:$O$11)</f>
        <v>0</v>
      </c>
      <c r="Q11" s="30">
        <f>'TE BE'!$Q$11*'TE BE'!$Q$49</f>
        <v>57.637494249978339</v>
      </c>
      <c r="R11" s="30">
        <f>SUM($Q$11:$Q$11)</f>
        <v>57.637494249978339</v>
      </c>
      <c r="S11" s="30">
        <f>'TE BE'!$S$11*'TE BE'!$S$49</f>
        <v>0</v>
      </c>
      <c r="T11" s="30">
        <f>'TE BE'!$T$11*'TE BE'!$T$49</f>
        <v>0</v>
      </c>
      <c r="U11" s="30">
        <f>'TE BE'!$U$11*'TE BE'!$U$49</f>
        <v>0</v>
      </c>
      <c r="V11" s="30">
        <f>SUM($S$11:$U$11)</f>
        <v>0</v>
      </c>
      <c r="W11" s="30">
        <f>'TE BE'!$AA$11*'TE BE'!$W$49</f>
        <v>0</v>
      </c>
      <c r="X11" s="30">
        <f>SUM($W$11:$W$11)</f>
        <v>0</v>
      </c>
      <c r="Y11" s="30">
        <f>'TE BE'!$Y$11*'TE BE'!$Y$49</f>
        <v>0</v>
      </c>
      <c r="Z11" s="30">
        <f>SUM($Y$11:$Y$11)</f>
        <v>0</v>
      </c>
      <c r="AA11" s="30">
        <f>SUMIF($L$4:$Z$4,"SUBTOTAL",$L$11:$Z$11)</f>
        <v>57.637494249978339</v>
      </c>
    </row>
    <row r="12" spans="1:27" ht="11.25" customHeight="1" x14ac:dyDescent="0.25">
      <c r="A12" s="138"/>
      <c r="B12" s="138"/>
      <c r="C12" s="138"/>
      <c r="D12" s="38" t="s">
        <v>29</v>
      </c>
      <c r="E12" s="38" t="s">
        <v>25</v>
      </c>
      <c r="F12" s="38" t="s">
        <v>25</v>
      </c>
      <c r="G12" s="32" t="s">
        <v>75</v>
      </c>
      <c r="H12" s="32" t="s">
        <v>71</v>
      </c>
      <c r="I12" s="32">
        <f>'MERCADO TE'!$U$9</f>
        <v>224.727</v>
      </c>
      <c r="J12" s="17"/>
      <c r="L12" s="30">
        <f>'TE BE'!$L$12*'TE BE'!$L$49</f>
        <v>0</v>
      </c>
      <c r="M12" s="30">
        <f>'TE BE'!$M$12*'TE BE'!$M$49</f>
        <v>0</v>
      </c>
      <c r="N12" s="30">
        <f>'TE BE'!$N$12*'TE BE'!$N$49</f>
        <v>0</v>
      </c>
      <c r="O12" s="30">
        <f>'TE BE'!$O$12*'TE BE'!$O$49</f>
        <v>0</v>
      </c>
      <c r="P12" s="30">
        <f>SUM($L$12:$O$12)</f>
        <v>0</v>
      </c>
      <c r="Q12" s="30">
        <f>'TE BE'!$Q$12*'TE BE'!$Q$49</f>
        <v>57.637494249978339</v>
      </c>
      <c r="R12" s="30">
        <f>SUM($Q$12:$Q$12)</f>
        <v>57.637494249978339</v>
      </c>
      <c r="S12" s="30">
        <f>'TE BE'!$S$12*'TE BE'!$S$49</f>
        <v>0</v>
      </c>
      <c r="T12" s="30">
        <f>'TE BE'!$T$12*'TE BE'!$T$49</f>
        <v>0</v>
      </c>
      <c r="U12" s="30">
        <f>'TE BE'!$U$12*'TE BE'!$U$49</f>
        <v>0</v>
      </c>
      <c r="V12" s="30">
        <f>SUM($S$12:$U$12)</f>
        <v>0</v>
      </c>
      <c r="W12" s="30">
        <f>'TE BE'!$AA$12*'TE BE'!$W$49</f>
        <v>0</v>
      </c>
      <c r="X12" s="30">
        <f>SUM($W$12:$W$12)</f>
        <v>0</v>
      </c>
      <c r="Y12" s="30">
        <f>'TE BE'!$Y$12*'TE BE'!$Y$49</f>
        <v>0</v>
      </c>
      <c r="Z12" s="30">
        <f>SUM($Y$12:$Y$12)</f>
        <v>0</v>
      </c>
      <c r="AA12" s="30">
        <f>SUMIF($L$4:$Z$4,"SUBTOTAL",$L$12:$Z$12)</f>
        <v>57.637494249978339</v>
      </c>
    </row>
    <row r="13" spans="1:27" ht="11.25" customHeight="1" x14ac:dyDescent="0.25">
      <c r="A13" s="138"/>
      <c r="B13" s="138"/>
      <c r="C13" s="138"/>
      <c r="D13" s="38" t="s">
        <v>30</v>
      </c>
      <c r="E13" s="38" t="s">
        <v>25</v>
      </c>
      <c r="F13" s="38" t="s">
        <v>25</v>
      </c>
      <c r="G13" s="32" t="s">
        <v>75</v>
      </c>
      <c r="H13" s="32" t="s">
        <v>71</v>
      </c>
      <c r="I13" s="32">
        <f>'MERCADO TE'!$U$10</f>
        <v>457.44400000000002</v>
      </c>
      <c r="J13" s="17"/>
      <c r="L13" s="30">
        <f>'TE BE'!$L$13*'TE BE'!$L$49</f>
        <v>0</v>
      </c>
      <c r="M13" s="30">
        <f>'TE BE'!$M$13*'TE BE'!$M$49</f>
        <v>0</v>
      </c>
      <c r="N13" s="30">
        <f>'TE BE'!$N$13*'TE BE'!$N$49</f>
        <v>0</v>
      </c>
      <c r="O13" s="30">
        <f>'TE BE'!$O$13*'TE BE'!$O$49</f>
        <v>0</v>
      </c>
      <c r="P13" s="30">
        <f>SUM($L$13:$O$13)</f>
        <v>0</v>
      </c>
      <c r="Q13" s="30">
        <f>'TE BE'!$Q$13*'TE BE'!$Q$49</f>
        <v>57.637494249978339</v>
      </c>
      <c r="R13" s="30">
        <f>SUM($Q$13:$Q$13)</f>
        <v>57.637494249978339</v>
      </c>
      <c r="S13" s="30">
        <f>'TE BE'!$S$13*'TE BE'!$S$49</f>
        <v>0</v>
      </c>
      <c r="T13" s="30">
        <f>'TE BE'!$T$13*'TE BE'!$T$49</f>
        <v>0</v>
      </c>
      <c r="U13" s="30">
        <f>'TE BE'!$U$13*'TE BE'!$U$49</f>
        <v>0</v>
      </c>
      <c r="V13" s="30">
        <f>SUM($S$13:$U$13)</f>
        <v>0</v>
      </c>
      <c r="W13" s="30">
        <f>'TE BE'!$AA$13*'TE BE'!$W$49</f>
        <v>0</v>
      </c>
      <c r="X13" s="30">
        <f>SUM($W$13:$W$13)</f>
        <v>0</v>
      </c>
      <c r="Y13" s="30">
        <f>'TE BE'!$Y$13*'TE BE'!$Y$49</f>
        <v>0</v>
      </c>
      <c r="Z13" s="30">
        <f>SUM($Y$13:$Y$13)</f>
        <v>0</v>
      </c>
      <c r="AA13" s="30">
        <f>SUMIF($L$4:$Z$4,"SUBTOTAL",$L$13:$Z$13)</f>
        <v>57.637494249978339</v>
      </c>
    </row>
    <row r="14" spans="1:27" ht="11.25" customHeight="1" x14ac:dyDescent="0.25">
      <c r="A14" s="138"/>
      <c r="B14" s="138"/>
      <c r="C14" s="138"/>
      <c r="D14" s="38" t="s">
        <v>31</v>
      </c>
      <c r="E14" s="38" t="s">
        <v>25</v>
      </c>
      <c r="F14" s="38" t="s">
        <v>25</v>
      </c>
      <c r="G14" s="32" t="s">
        <v>75</v>
      </c>
      <c r="H14" s="32" t="s">
        <v>71</v>
      </c>
      <c r="I14" s="32">
        <f>'MERCADO TE'!$U$11</f>
        <v>365.92600000000004</v>
      </c>
      <c r="J14" s="17"/>
      <c r="L14" s="30">
        <f>'TE BE'!$L$14*'TE BE'!$L$49</f>
        <v>0</v>
      </c>
      <c r="M14" s="30">
        <f>'TE BE'!$M$14*'TE BE'!$M$49</f>
        <v>0</v>
      </c>
      <c r="N14" s="30">
        <f>'TE BE'!$N$14*'TE BE'!$N$49</f>
        <v>0</v>
      </c>
      <c r="O14" s="30">
        <f>'TE BE'!$O$14*'TE BE'!$O$49</f>
        <v>0</v>
      </c>
      <c r="P14" s="30">
        <f>SUM($L$14:$O$14)</f>
        <v>0</v>
      </c>
      <c r="Q14" s="30">
        <f>'TE BE'!$Q$14*'TE BE'!$Q$49</f>
        <v>57.637494249978339</v>
      </c>
      <c r="R14" s="30">
        <f>SUM($Q$14:$Q$14)</f>
        <v>57.637494249978339</v>
      </c>
      <c r="S14" s="30">
        <f>'TE BE'!$S$14*'TE BE'!$S$49</f>
        <v>0</v>
      </c>
      <c r="T14" s="30">
        <f>'TE BE'!$T$14*'TE BE'!$T$49</f>
        <v>0</v>
      </c>
      <c r="U14" s="30">
        <f>'TE BE'!$U$14*'TE BE'!$U$49</f>
        <v>0</v>
      </c>
      <c r="V14" s="30">
        <f>SUM($S$14:$U$14)</f>
        <v>0</v>
      </c>
      <c r="W14" s="30">
        <f>'TE BE'!$AA$14*'TE BE'!$W$49</f>
        <v>0</v>
      </c>
      <c r="X14" s="30">
        <f>SUM($W$14:$W$14)</f>
        <v>0</v>
      </c>
      <c r="Y14" s="30">
        <f>'TE BE'!$Y$14*'TE BE'!$Y$49</f>
        <v>0</v>
      </c>
      <c r="Z14" s="30">
        <f>SUM($Y$14:$Y$14)</f>
        <v>0</v>
      </c>
      <c r="AA14" s="30">
        <f>SUMIF($L$4:$Z$4,"SUBTOTAL",$L$14:$Z$14)</f>
        <v>57.637494249978339</v>
      </c>
    </row>
    <row r="15" spans="1:27" ht="11.25" customHeight="1" x14ac:dyDescent="0.25">
      <c r="A15" s="138"/>
      <c r="B15" s="138"/>
      <c r="C15" s="138"/>
      <c r="D15" s="38" t="s">
        <v>32</v>
      </c>
      <c r="E15" s="38" t="s">
        <v>25</v>
      </c>
      <c r="F15" s="38" t="s">
        <v>25</v>
      </c>
      <c r="G15" s="32" t="s">
        <v>75</v>
      </c>
      <c r="H15" s="32" t="s">
        <v>71</v>
      </c>
      <c r="I15" s="32">
        <f>'MERCADO TE'!$U$12</f>
        <v>81.745999999999995</v>
      </c>
      <c r="J15" s="17"/>
      <c r="L15" s="30">
        <f>'TE BE'!$L$15*'TE BE'!$L$49</f>
        <v>0</v>
      </c>
      <c r="M15" s="30">
        <f>'TE BE'!$M$15*'TE BE'!$M$49</f>
        <v>0</v>
      </c>
      <c r="N15" s="30">
        <f>'TE BE'!$N$15*'TE BE'!$N$49</f>
        <v>0</v>
      </c>
      <c r="O15" s="30">
        <f>'TE BE'!$O$15*'TE BE'!$O$49</f>
        <v>0</v>
      </c>
      <c r="P15" s="30">
        <f>SUM($L$15:$O$15)</f>
        <v>0</v>
      </c>
      <c r="Q15" s="30">
        <f>'TE BE'!$Q$15*'TE BE'!$Q$49</f>
        <v>57.637494249978339</v>
      </c>
      <c r="R15" s="30">
        <f>SUM($Q$15:$Q$15)</f>
        <v>57.637494249978339</v>
      </c>
      <c r="S15" s="30">
        <f>'TE BE'!$S$15*'TE BE'!$S$49</f>
        <v>0</v>
      </c>
      <c r="T15" s="30">
        <f>'TE BE'!$T$15*'TE BE'!$T$49</f>
        <v>0</v>
      </c>
      <c r="U15" s="30">
        <f>'TE BE'!$U$15*'TE BE'!$U$49</f>
        <v>0</v>
      </c>
      <c r="V15" s="30">
        <f>SUM($S$15:$U$15)</f>
        <v>0</v>
      </c>
      <c r="W15" s="30">
        <f>'TE BE'!$AA$15*'TE BE'!$W$49</f>
        <v>0</v>
      </c>
      <c r="X15" s="30">
        <f>SUM($W$15:$W$15)</f>
        <v>0</v>
      </c>
      <c r="Y15" s="30">
        <f>'TE BE'!$Y$15*'TE BE'!$Y$49</f>
        <v>0</v>
      </c>
      <c r="Z15" s="30">
        <f>SUM($Y$15:$Y$15)</f>
        <v>0</v>
      </c>
      <c r="AA15" s="30">
        <f>SUMIF($L$4:$Z$4,"SUBTOTAL",$L$15:$Z$15)</f>
        <v>57.637494249978339</v>
      </c>
    </row>
    <row r="16" spans="1:27" ht="11.25" customHeight="1" x14ac:dyDescent="0.25">
      <c r="A16" s="138"/>
      <c r="B16" s="138" t="s">
        <v>85</v>
      </c>
      <c r="C16" s="138" t="s">
        <v>24</v>
      </c>
      <c r="D16" s="38" t="s">
        <v>24</v>
      </c>
      <c r="E16" s="38" t="s">
        <v>25</v>
      </c>
      <c r="F16" s="38" t="s">
        <v>25</v>
      </c>
      <c r="G16" s="32" t="s">
        <v>75</v>
      </c>
      <c r="H16" s="32" t="s">
        <v>71</v>
      </c>
      <c r="I16" s="32">
        <f>'MERCADO TE'!$U$13</f>
        <v>0</v>
      </c>
      <c r="J16" s="17"/>
      <c r="L16" s="30">
        <f>'TE BE'!$L$16*'TE BE'!$L$49</f>
        <v>0</v>
      </c>
      <c r="M16" s="30">
        <f>'TE BE'!$M$16*'TE BE'!$M$49</f>
        <v>0</v>
      </c>
      <c r="N16" s="30">
        <f>'TE BE'!$N$16*'TE BE'!$N$49</f>
        <v>0</v>
      </c>
      <c r="O16" s="30">
        <f>'TE BE'!$O$16*'TE BE'!$O$49</f>
        <v>0</v>
      </c>
      <c r="P16" s="30">
        <f>SUM($L$16:$O$16)</f>
        <v>0</v>
      </c>
      <c r="Q16" s="30">
        <f>'TE BE'!$Q$16*'TE BE'!$Q$49</f>
        <v>57.637494249978339</v>
      </c>
      <c r="R16" s="30">
        <f>SUM($Q$16:$Q$16)</f>
        <v>57.637494249978339</v>
      </c>
      <c r="S16" s="30">
        <f>'TE BE'!$S$16*'TE BE'!$S$49</f>
        <v>0</v>
      </c>
      <c r="T16" s="30">
        <f>'TE BE'!$T$16*'TE BE'!$T$49</f>
        <v>0</v>
      </c>
      <c r="U16" s="30">
        <f>'TE BE'!$U$16*'TE BE'!$U$49</f>
        <v>0</v>
      </c>
      <c r="V16" s="30">
        <f>SUM($S$16:$U$16)</f>
        <v>0</v>
      </c>
      <c r="W16" s="30">
        <f>'TE BE'!$AA$16*'TE BE'!$W$49</f>
        <v>0</v>
      </c>
      <c r="X16" s="30">
        <f>SUM($W$16:$W$16)</f>
        <v>0</v>
      </c>
      <c r="Y16" s="30">
        <f>'TE BE'!$Y$16*'TE BE'!$Y$49</f>
        <v>0</v>
      </c>
      <c r="Z16" s="30">
        <f>SUM($Y$16:$Y$16)</f>
        <v>0</v>
      </c>
      <c r="AA16" s="30">
        <f>SUMIF($L$4:$Z$4,"SUBTOTAL",$L$16:$Z$16)</f>
        <v>57.637494249978339</v>
      </c>
    </row>
    <row r="17" spans="1:27" ht="11.25" customHeight="1" x14ac:dyDescent="0.25">
      <c r="A17" s="138"/>
      <c r="B17" s="138"/>
      <c r="C17" s="138"/>
      <c r="D17" s="38" t="s">
        <v>29</v>
      </c>
      <c r="E17" s="38" t="s">
        <v>25</v>
      </c>
      <c r="F17" s="38" t="s">
        <v>25</v>
      </c>
      <c r="G17" s="32" t="s">
        <v>75</v>
      </c>
      <c r="H17" s="32" t="s">
        <v>71</v>
      </c>
      <c r="I17" s="32">
        <f>'MERCADO TE'!$U$14</f>
        <v>0</v>
      </c>
      <c r="J17" s="17"/>
      <c r="L17" s="30">
        <f>'TE BE'!$L$17*'TE BE'!$L$49</f>
        <v>0</v>
      </c>
      <c r="M17" s="30">
        <f>'TE BE'!$M$17*'TE BE'!$M$49</f>
        <v>0</v>
      </c>
      <c r="N17" s="30">
        <f>'TE BE'!$N$17*'TE BE'!$N$49</f>
        <v>0</v>
      </c>
      <c r="O17" s="30">
        <f>'TE BE'!$O$17*'TE BE'!$O$49</f>
        <v>0</v>
      </c>
      <c r="P17" s="30">
        <f>SUM($L$17:$O$17)</f>
        <v>0</v>
      </c>
      <c r="Q17" s="30">
        <f>'TE BE'!$Q$17*'TE BE'!$Q$49</f>
        <v>57.637494249978339</v>
      </c>
      <c r="R17" s="30">
        <f>SUM($Q$17:$Q$17)</f>
        <v>57.637494249978339</v>
      </c>
      <c r="S17" s="30">
        <f>'TE BE'!$S$17*'TE BE'!$S$49</f>
        <v>0</v>
      </c>
      <c r="T17" s="30">
        <f>'TE BE'!$T$17*'TE BE'!$T$49</f>
        <v>0</v>
      </c>
      <c r="U17" s="30">
        <f>'TE BE'!$U$17*'TE BE'!$U$49</f>
        <v>0</v>
      </c>
      <c r="V17" s="30">
        <f>SUM($S$17:$U$17)</f>
        <v>0</v>
      </c>
      <c r="W17" s="30">
        <f>'TE BE'!$AA$17*'TE BE'!$W$49</f>
        <v>0</v>
      </c>
      <c r="X17" s="30">
        <f>SUM($W$17:$W$17)</f>
        <v>0</v>
      </c>
      <c r="Y17" s="30">
        <f>'TE BE'!$Y$17*'TE BE'!$Y$49</f>
        <v>0</v>
      </c>
      <c r="Z17" s="30">
        <f>SUM($Y$17:$Y$17)</f>
        <v>0</v>
      </c>
      <c r="AA17" s="30">
        <f>SUMIF($L$4:$Z$4,"SUBTOTAL",$L$17:$Z$17)</f>
        <v>57.637494249978339</v>
      </c>
    </row>
    <row r="18" spans="1:27" ht="11.25" customHeight="1" x14ac:dyDescent="0.25">
      <c r="A18" s="138"/>
      <c r="B18" s="138"/>
      <c r="C18" s="138"/>
      <c r="D18" s="38" t="s">
        <v>30</v>
      </c>
      <c r="E18" s="38" t="s">
        <v>25</v>
      </c>
      <c r="F18" s="38" t="s">
        <v>25</v>
      </c>
      <c r="G18" s="32" t="s">
        <v>75</v>
      </c>
      <c r="H18" s="32" t="s">
        <v>71</v>
      </c>
      <c r="I18" s="32">
        <f>'MERCADO TE'!$U$15</f>
        <v>0</v>
      </c>
      <c r="J18" s="17"/>
      <c r="L18" s="30">
        <f>'TE BE'!$L$18*'TE BE'!$L$49</f>
        <v>0</v>
      </c>
      <c r="M18" s="30">
        <f>'TE BE'!$M$18*'TE BE'!$M$49</f>
        <v>0</v>
      </c>
      <c r="N18" s="30">
        <f>'TE BE'!$N$18*'TE BE'!$N$49</f>
        <v>0</v>
      </c>
      <c r="O18" s="30">
        <f>'TE BE'!$O$18*'TE BE'!$O$49</f>
        <v>0</v>
      </c>
      <c r="P18" s="30">
        <f>SUM($L$18:$O$18)</f>
        <v>0</v>
      </c>
      <c r="Q18" s="30">
        <f>'TE BE'!$Q$18*'TE BE'!$Q$49</f>
        <v>57.637494249978339</v>
      </c>
      <c r="R18" s="30">
        <f>SUM($Q$18:$Q$18)</f>
        <v>57.637494249978339</v>
      </c>
      <c r="S18" s="30">
        <f>'TE BE'!$S$18*'TE BE'!$S$49</f>
        <v>0</v>
      </c>
      <c r="T18" s="30">
        <f>'TE BE'!$T$18*'TE BE'!$T$49</f>
        <v>0</v>
      </c>
      <c r="U18" s="30">
        <f>'TE BE'!$U$18*'TE BE'!$U$49</f>
        <v>0</v>
      </c>
      <c r="V18" s="30">
        <f>SUM($S$18:$U$18)</f>
        <v>0</v>
      </c>
      <c r="W18" s="30">
        <f>'TE BE'!$AA$18*'TE BE'!$W$49</f>
        <v>0</v>
      </c>
      <c r="X18" s="30">
        <f>SUM($W$18:$W$18)</f>
        <v>0</v>
      </c>
      <c r="Y18" s="30">
        <f>'TE BE'!$Y$18*'TE BE'!$Y$49</f>
        <v>0</v>
      </c>
      <c r="Z18" s="30">
        <f>SUM($Y$18:$Y$18)</f>
        <v>0</v>
      </c>
      <c r="AA18" s="30">
        <f>SUMIF($L$4:$Z$4,"SUBTOTAL",$L$18:$Z$18)</f>
        <v>57.637494249978339</v>
      </c>
    </row>
    <row r="19" spans="1:27" ht="11.25" customHeight="1" x14ac:dyDescent="0.25">
      <c r="A19" s="138"/>
      <c r="B19" s="138"/>
      <c r="C19" s="138"/>
      <c r="D19" s="38" t="s">
        <v>31</v>
      </c>
      <c r="E19" s="38" t="s">
        <v>25</v>
      </c>
      <c r="F19" s="38" t="s">
        <v>25</v>
      </c>
      <c r="G19" s="32" t="s">
        <v>75</v>
      </c>
      <c r="H19" s="32" t="s">
        <v>71</v>
      </c>
      <c r="I19" s="32">
        <f>'MERCADO TE'!$U$16</f>
        <v>0</v>
      </c>
      <c r="J19" s="17"/>
      <c r="L19" s="30">
        <f>'TE BE'!$L$19*'TE BE'!$L$49</f>
        <v>0</v>
      </c>
      <c r="M19" s="30">
        <f>'TE BE'!$M$19*'TE BE'!$M$49</f>
        <v>0</v>
      </c>
      <c r="N19" s="30">
        <f>'TE BE'!$N$19*'TE BE'!$N$49</f>
        <v>0</v>
      </c>
      <c r="O19" s="30">
        <f>'TE BE'!$O$19*'TE BE'!$O$49</f>
        <v>0</v>
      </c>
      <c r="P19" s="30">
        <f>SUM($L$19:$O$19)</f>
        <v>0</v>
      </c>
      <c r="Q19" s="30">
        <f>'TE BE'!$Q$19*'TE BE'!$Q$49</f>
        <v>57.637494249978339</v>
      </c>
      <c r="R19" s="30">
        <f>SUM($Q$19:$Q$19)</f>
        <v>57.637494249978339</v>
      </c>
      <c r="S19" s="30">
        <f>'TE BE'!$S$19*'TE BE'!$S$49</f>
        <v>0</v>
      </c>
      <c r="T19" s="30">
        <f>'TE BE'!$T$19*'TE BE'!$T$49</f>
        <v>0</v>
      </c>
      <c r="U19" s="30">
        <f>'TE BE'!$U$19*'TE BE'!$U$49</f>
        <v>0</v>
      </c>
      <c r="V19" s="30">
        <f>SUM($S$19:$U$19)</f>
        <v>0</v>
      </c>
      <c r="W19" s="30">
        <f>'TE BE'!$AA$19*'TE BE'!$W$49</f>
        <v>0</v>
      </c>
      <c r="X19" s="30">
        <f>SUM($W$19:$W$19)</f>
        <v>0</v>
      </c>
      <c r="Y19" s="30">
        <f>'TE BE'!$Y$19*'TE BE'!$Y$49</f>
        <v>0</v>
      </c>
      <c r="Z19" s="30">
        <f>SUM($Y$19:$Y$19)</f>
        <v>0</v>
      </c>
      <c r="AA19" s="30">
        <f>SUMIF($L$4:$Z$4,"SUBTOTAL",$L$19:$Z$19)</f>
        <v>57.637494249978339</v>
      </c>
    </row>
    <row r="20" spans="1:27" ht="11.25" customHeight="1" x14ac:dyDescent="0.25">
      <c r="A20" s="138"/>
      <c r="B20" s="138"/>
      <c r="C20" s="138"/>
      <c r="D20" s="38" t="s">
        <v>32</v>
      </c>
      <c r="E20" s="38" t="s">
        <v>25</v>
      </c>
      <c r="F20" s="38" t="s">
        <v>25</v>
      </c>
      <c r="G20" s="32" t="s">
        <v>75</v>
      </c>
      <c r="H20" s="32" t="s">
        <v>71</v>
      </c>
      <c r="I20" s="32">
        <f>'MERCADO TE'!$U$17</f>
        <v>0</v>
      </c>
      <c r="J20" s="17"/>
      <c r="L20" s="30">
        <f>'TE BE'!$L$20*'TE BE'!$L$49</f>
        <v>0</v>
      </c>
      <c r="M20" s="30">
        <f>'TE BE'!$M$20*'TE BE'!$M$49</f>
        <v>0</v>
      </c>
      <c r="N20" s="30">
        <f>'TE BE'!$N$20*'TE BE'!$N$49</f>
        <v>0</v>
      </c>
      <c r="O20" s="30">
        <f>'TE BE'!$O$20*'TE BE'!$O$49</f>
        <v>0</v>
      </c>
      <c r="P20" s="30">
        <f>SUM($L$20:$O$20)</f>
        <v>0</v>
      </c>
      <c r="Q20" s="30">
        <f>'TE BE'!$Q$20*'TE BE'!$Q$49</f>
        <v>57.637494249978339</v>
      </c>
      <c r="R20" s="30">
        <f>SUM($Q$20:$Q$20)</f>
        <v>57.637494249978339</v>
      </c>
      <c r="S20" s="30">
        <f>'TE BE'!$S$20*'TE BE'!$S$49</f>
        <v>0</v>
      </c>
      <c r="T20" s="30">
        <f>'TE BE'!$T$20*'TE BE'!$T$49</f>
        <v>0</v>
      </c>
      <c r="U20" s="30">
        <f>'TE BE'!$U$20*'TE BE'!$U$49</f>
        <v>0</v>
      </c>
      <c r="V20" s="30">
        <f>SUM($S$20:$U$20)</f>
        <v>0</v>
      </c>
      <c r="W20" s="30">
        <f>'TE BE'!$AA$20*'TE BE'!$W$49</f>
        <v>0</v>
      </c>
      <c r="X20" s="30">
        <f>SUM($W$20:$W$20)</f>
        <v>0</v>
      </c>
      <c r="Y20" s="30">
        <f>'TE BE'!$Y$20*'TE BE'!$Y$49</f>
        <v>0</v>
      </c>
      <c r="Z20" s="30">
        <f>SUM($Y$20:$Y$20)</f>
        <v>0</v>
      </c>
      <c r="AA20" s="30">
        <f>SUMIF($L$4:$Z$4,"SUBTOTAL",$L$20:$Z$20)</f>
        <v>57.637494249978339</v>
      </c>
    </row>
    <row r="21" spans="1:27" ht="11.25" customHeight="1" x14ac:dyDescent="0.25">
      <c r="A21" s="138" t="s">
        <v>43</v>
      </c>
      <c r="B21" s="138" t="s">
        <v>70</v>
      </c>
      <c r="C21" s="138" t="s">
        <v>44</v>
      </c>
      <c r="D21" s="138" t="s">
        <v>25</v>
      </c>
      <c r="E21" s="138" t="s">
        <v>25</v>
      </c>
      <c r="F21" s="138" t="s">
        <v>25</v>
      </c>
      <c r="G21" s="32" t="s">
        <v>72</v>
      </c>
      <c r="H21" s="32" t="s">
        <v>71</v>
      </c>
      <c r="I21" s="32">
        <f>'MERCADO TE'!$U$18</f>
        <v>0</v>
      </c>
      <c r="J21" s="17"/>
      <c r="L21" s="30">
        <f>'TE BE'!$L$21*'TE BE'!$L$49</f>
        <v>0</v>
      </c>
      <c r="M21" s="30">
        <f>'TE BE'!$M$21*'TE BE'!$M$49</f>
        <v>0</v>
      </c>
      <c r="N21" s="30">
        <f>'TE BE'!$N$21*'TE BE'!$N$49</f>
        <v>0</v>
      </c>
      <c r="O21" s="30">
        <f>'TE BE'!$O$21*'TE BE'!$O$49</f>
        <v>0</v>
      </c>
      <c r="P21" s="30">
        <f>SUM($L$21:$O$21)</f>
        <v>0</v>
      </c>
      <c r="Q21" s="30">
        <f>'TE BE'!$Q$21*'TE BE'!$Q$49</f>
        <v>57.637494249978339</v>
      </c>
      <c r="R21" s="30">
        <f>SUM($Q$21:$Q$21)</f>
        <v>57.637494249978339</v>
      </c>
      <c r="S21" s="30">
        <f>'TE BE'!$S$21*'TE BE'!$S$49</f>
        <v>0</v>
      </c>
      <c r="T21" s="30">
        <f>'TE BE'!$T$21*'TE BE'!$T$49</f>
        <v>0</v>
      </c>
      <c r="U21" s="30">
        <f>'TE BE'!$U$21*'TE BE'!$U$49</f>
        <v>0</v>
      </c>
      <c r="V21" s="30">
        <f>SUM($S$21:$U$21)</f>
        <v>0</v>
      </c>
      <c r="W21" s="30">
        <f>'TE BE'!$AA$21*'TE BE'!$W$49</f>
        <v>0</v>
      </c>
      <c r="X21" s="30">
        <f>SUM($W$21:$W$21)</f>
        <v>0</v>
      </c>
      <c r="Y21" s="30">
        <f>'TE BE'!$Y$21*'TE BE'!$Y$49</f>
        <v>0</v>
      </c>
      <c r="Z21" s="30">
        <f>SUM($Y$21:$Y$21)</f>
        <v>0</v>
      </c>
      <c r="AA21" s="30">
        <f>SUMIF($L$4:$Z$4,"SUBTOTAL",$L$21:$Z$21)</f>
        <v>57.637494249978339</v>
      </c>
    </row>
    <row r="22" spans="1:27" ht="11.25" customHeight="1" x14ac:dyDescent="0.25">
      <c r="A22" s="138"/>
      <c r="B22" s="138"/>
      <c r="C22" s="138"/>
      <c r="D22" s="138"/>
      <c r="E22" s="138"/>
      <c r="F22" s="138"/>
      <c r="G22" s="32" t="s">
        <v>84</v>
      </c>
      <c r="H22" s="32" t="s">
        <v>71</v>
      </c>
      <c r="I22" s="32">
        <f>'MERCADO TE'!$U$19</f>
        <v>0</v>
      </c>
      <c r="J22" s="17"/>
      <c r="L22" s="30">
        <f>'TE BE'!$L$22*'TE BE'!$L$49</f>
        <v>0</v>
      </c>
      <c r="M22" s="30">
        <f>'TE BE'!$M$22*'TE BE'!$M$49</f>
        <v>0</v>
      </c>
      <c r="N22" s="30">
        <f>'TE BE'!$N$22*'TE BE'!$N$49</f>
        <v>0</v>
      </c>
      <c r="O22" s="30">
        <f>'TE BE'!$O$22*'TE BE'!$O$49</f>
        <v>0</v>
      </c>
      <c r="P22" s="30">
        <f>SUM($L$22:$O$22)</f>
        <v>0</v>
      </c>
      <c r="Q22" s="30">
        <f>'TE BE'!$Q$22*'TE BE'!$Q$49</f>
        <v>57.637494249978339</v>
      </c>
      <c r="R22" s="30">
        <f>SUM($Q$22:$Q$22)</f>
        <v>57.637494249978339</v>
      </c>
      <c r="S22" s="30">
        <f>'TE BE'!$S$22*'TE BE'!$S$49</f>
        <v>0</v>
      </c>
      <c r="T22" s="30">
        <f>'TE BE'!$T$22*'TE BE'!$T$49</f>
        <v>0</v>
      </c>
      <c r="U22" s="30">
        <f>'TE BE'!$U$22*'TE BE'!$U$49</f>
        <v>0</v>
      </c>
      <c r="V22" s="30">
        <f>SUM($S$22:$U$22)</f>
        <v>0</v>
      </c>
      <c r="W22" s="30">
        <f>'TE BE'!$AA$22*'TE BE'!$W$49</f>
        <v>0</v>
      </c>
      <c r="X22" s="30">
        <f>SUM($W$22:$W$22)</f>
        <v>0</v>
      </c>
      <c r="Y22" s="30">
        <f>'TE BE'!$Y$22*'TE BE'!$Y$49</f>
        <v>0</v>
      </c>
      <c r="Z22" s="30">
        <f>SUM($Y$22:$Y$22)</f>
        <v>0</v>
      </c>
      <c r="AA22" s="30">
        <f>SUMIF($L$4:$Z$4,"SUBTOTAL",$L$22:$Z$22)</f>
        <v>57.637494249978339</v>
      </c>
    </row>
    <row r="23" spans="1:27" ht="11.25" customHeight="1" x14ac:dyDescent="0.25">
      <c r="A23" s="138"/>
      <c r="B23" s="138"/>
      <c r="C23" s="138"/>
      <c r="D23" s="138"/>
      <c r="E23" s="138"/>
      <c r="F23" s="138"/>
      <c r="G23" s="32" t="s">
        <v>73</v>
      </c>
      <c r="H23" s="32" t="s">
        <v>71</v>
      </c>
      <c r="I23" s="32">
        <f>'MERCADO TE'!$U$20</f>
        <v>0</v>
      </c>
      <c r="J23" s="17"/>
      <c r="L23" s="30">
        <f>'TE BE'!$L$23*'TE BE'!$L$49</f>
        <v>0</v>
      </c>
      <c r="M23" s="30">
        <f>'TE BE'!$M$23*'TE BE'!$M$49</f>
        <v>0</v>
      </c>
      <c r="N23" s="30">
        <f>'TE BE'!$N$23*'TE BE'!$N$49</f>
        <v>0</v>
      </c>
      <c r="O23" s="30">
        <f>'TE BE'!$O$23*'TE BE'!$O$49</f>
        <v>0</v>
      </c>
      <c r="P23" s="30">
        <f>SUM($L$23:$O$23)</f>
        <v>0</v>
      </c>
      <c r="Q23" s="30">
        <f>'TE BE'!$Q$23*'TE BE'!$Q$49</f>
        <v>57.637494249978339</v>
      </c>
      <c r="R23" s="30">
        <f>SUM($Q$23:$Q$23)</f>
        <v>57.637494249978339</v>
      </c>
      <c r="S23" s="30">
        <f>'TE BE'!$S$23*'TE BE'!$S$49</f>
        <v>0</v>
      </c>
      <c r="T23" s="30">
        <f>'TE BE'!$T$23*'TE BE'!$T$49</f>
        <v>0</v>
      </c>
      <c r="U23" s="30">
        <f>'TE BE'!$U$23*'TE BE'!$U$49</f>
        <v>0</v>
      </c>
      <c r="V23" s="30">
        <f>SUM($S$23:$U$23)</f>
        <v>0</v>
      </c>
      <c r="W23" s="30">
        <f>'TE BE'!$AA$23*'TE BE'!$W$49</f>
        <v>0</v>
      </c>
      <c r="X23" s="30">
        <f>SUM($W$23:$W$23)</f>
        <v>0</v>
      </c>
      <c r="Y23" s="30">
        <f>'TE BE'!$Y$23*'TE BE'!$Y$49</f>
        <v>0</v>
      </c>
      <c r="Z23" s="30">
        <f>SUM($Y$23:$Y$23)</f>
        <v>0</v>
      </c>
      <c r="AA23" s="30">
        <f>SUMIF($L$4:$Z$4,"SUBTOTAL",$L$23:$Z$23)</f>
        <v>57.637494249978339</v>
      </c>
    </row>
    <row r="24" spans="1:27" ht="11.25" customHeight="1" x14ac:dyDescent="0.25">
      <c r="A24" s="138"/>
      <c r="B24" s="38" t="s">
        <v>74</v>
      </c>
      <c r="C24" s="38" t="s">
        <v>44</v>
      </c>
      <c r="D24" s="38" t="s">
        <v>25</v>
      </c>
      <c r="E24" s="38" t="s">
        <v>25</v>
      </c>
      <c r="F24" s="38" t="s">
        <v>25</v>
      </c>
      <c r="G24" s="32" t="s">
        <v>75</v>
      </c>
      <c r="H24" s="32" t="s">
        <v>71</v>
      </c>
      <c r="I24" s="32">
        <f>'MERCADO TE'!$U$21</f>
        <v>3313.4050000000002</v>
      </c>
      <c r="J24" s="17"/>
      <c r="L24" s="30">
        <f>'TE BE'!$L$24*'TE BE'!$L$49</f>
        <v>0</v>
      </c>
      <c r="M24" s="30">
        <f>'TE BE'!$M$24*'TE BE'!$M$49</f>
        <v>0</v>
      </c>
      <c r="N24" s="30">
        <f>'TE BE'!$N$24*'TE BE'!$N$49</f>
        <v>0</v>
      </c>
      <c r="O24" s="30">
        <f>'TE BE'!$O$24*'TE BE'!$O$49</f>
        <v>0</v>
      </c>
      <c r="P24" s="30">
        <f>SUM($L$24:$O$24)</f>
        <v>0</v>
      </c>
      <c r="Q24" s="30">
        <f>'TE BE'!$Q$24*'TE BE'!$Q$49</f>
        <v>57.637494249978339</v>
      </c>
      <c r="R24" s="30">
        <f>SUM($Q$24:$Q$24)</f>
        <v>57.637494249978339</v>
      </c>
      <c r="S24" s="30">
        <f>'TE BE'!$S$24*'TE BE'!$S$49</f>
        <v>0</v>
      </c>
      <c r="T24" s="30">
        <f>'TE BE'!$T$24*'TE BE'!$T$49</f>
        <v>0</v>
      </c>
      <c r="U24" s="30">
        <f>'TE BE'!$U$24*'TE BE'!$U$49</f>
        <v>0</v>
      </c>
      <c r="V24" s="30">
        <f>SUM($S$24:$U$24)</f>
        <v>0</v>
      </c>
      <c r="W24" s="30">
        <f>'TE BE'!$AA$24*'TE BE'!$W$49</f>
        <v>0</v>
      </c>
      <c r="X24" s="30">
        <f>SUM($W$24:$W$24)</f>
        <v>0</v>
      </c>
      <c r="Y24" s="30">
        <f>'TE BE'!$Y$24*'TE BE'!$Y$49</f>
        <v>0</v>
      </c>
      <c r="Z24" s="30">
        <f>SUM($Y$24:$Y$24)</f>
        <v>0</v>
      </c>
      <c r="AA24" s="30">
        <f>SUMIF($L$4:$Z$4,"SUBTOTAL",$L$24:$Z$24)</f>
        <v>57.637494249978339</v>
      </c>
    </row>
    <row r="25" spans="1:27" ht="11.25" customHeight="1" x14ac:dyDescent="0.25">
      <c r="A25" s="138"/>
      <c r="B25" s="138" t="s">
        <v>70</v>
      </c>
      <c r="C25" s="138" t="s">
        <v>44</v>
      </c>
      <c r="D25" s="138" t="s">
        <v>87</v>
      </c>
      <c r="E25" s="138" t="s">
        <v>25</v>
      </c>
      <c r="F25" s="138" t="s">
        <v>25</v>
      </c>
      <c r="G25" s="32" t="s">
        <v>72</v>
      </c>
      <c r="H25" s="32" t="s">
        <v>71</v>
      </c>
      <c r="I25" s="32">
        <f>'MERCADO TE'!$U$22</f>
        <v>0</v>
      </c>
      <c r="J25" s="17"/>
      <c r="L25" s="30">
        <f>'TE BE'!$L$25*'TE BE'!$L$49</f>
        <v>0</v>
      </c>
      <c r="M25" s="30">
        <f>'TE BE'!$M$25*'TE BE'!$M$49</f>
        <v>0</v>
      </c>
      <c r="N25" s="30">
        <f>'TE BE'!$N$25*'TE BE'!$N$49</f>
        <v>0</v>
      </c>
      <c r="O25" s="30">
        <f>'TE BE'!$O$25*'TE BE'!$O$49</f>
        <v>0</v>
      </c>
      <c r="P25" s="30">
        <f>SUM($L$25:$O$25)</f>
        <v>0</v>
      </c>
      <c r="Q25" s="30">
        <f>'TE BE'!$Q$25*'TE BE'!$Q$49</f>
        <v>57.637494249978339</v>
      </c>
      <c r="R25" s="30">
        <f>SUM($Q$25:$Q$25)</f>
        <v>57.637494249978339</v>
      </c>
      <c r="S25" s="30">
        <f>'TE BE'!$S$25*'TE BE'!$S$49</f>
        <v>0</v>
      </c>
      <c r="T25" s="30">
        <f>'TE BE'!$T$25*'TE BE'!$T$49</f>
        <v>0</v>
      </c>
      <c r="U25" s="30">
        <f>'TE BE'!$U$25*'TE BE'!$U$49</f>
        <v>0</v>
      </c>
      <c r="V25" s="30">
        <f>SUM($S$25:$U$25)</f>
        <v>0</v>
      </c>
      <c r="W25" s="30">
        <f>'TE BE'!$AA$25*'TE BE'!$W$49</f>
        <v>0</v>
      </c>
      <c r="X25" s="30">
        <f>SUM($W$25:$W$25)</f>
        <v>0</v>
      </c>
      <c r="Y25" s="30">
        <f>'TE BE'!$Y$25*'TE BE'!$Y$49</f>
        <v>0</v>
      </c>
      <c r="Z25" s="30">
        <f>SUM($Y$25:$Y$25)</f>
        <v>0</v>
      </c>
      <c r="AA25" s="30">
        <f>SUMIF($L$4:$Z$4,"SUBTOTAL",$L$25:$Z$25)</f>
        <v>57.637494249978339</v>
      </c>
    </row>
    <row r="26" spans="1:27" ht="11.25" customHeight="1" x14ac:dyDescent="0.25">
      <c r="A26" s="138"/>
      <c r="B26" s="138"/>
      <c r="C26" s="138"/>
      <c r="D26" s="138"/>
      <c r="E26" s="138"/>
      <c r="F26" s="138"/>
      <c r="G26" s="32" t="s">
        <v>84</v>
      </c>
      <c r="H26" s="32" t="s">
        <v>71</v>
      </c>
      <c r="I26" s="32">
        <f>'MERCADO TE'!$U$23</f>
        <v>0</v>
      </c>
      <c r="J26" s="17"/>
      <c r="L26" s="30">
        <f>'TE BE'!$L$26*'TE BE'!$L$49</f>
        <v>0</v>
      </c>
      <c r="M26" s="30">
        <f>'TE BE'!$M$26*'TE BE'!$M$49</f>
        <v>0</v>
      </c>
      <c r="N26" s="30">
        <f>'TE BE'!$N$26*'TE BE'!$N$49</f>
        <v>0</v>
      </c>
      <c r="O26" s="30">
        <f>'TE BE'!$O$26*'TE BE'!$O$49</f>
        <v>0</v>
      </c>
      <c r="P26" s="30">
        <f>SUM($L$26:$O$26)</f>
        <v>0</v>
      </c>
      <c r="Q26" s="30">
        <f>'TE BE'!$Q$26*'TE BE'!$Q$49</f>
        <v>57.637494249978339</v>
      </c>
      <c r="R26" s="30">
        <f>SUM($Q$26:$Q$26)</f>
        <v>57.637494249978339</v>
      </c>
      <c r="S26" s="30">
        <f>'TE BE'!$S$26*'TE BE'!$S$49</f>
        <v>0</v>
      </c>
      <c r="T26" s="30">
        <f>'TE BE'!$T$26*'TE BE'!$T$49</f>
        <v>0</v>
      </c>
      <c r="U26" s="30">
        <f>'TE BE'!$U$26*'TE BE'!$U$49</f>
        <v>0</v>
      </c>
      <c r="V26" s="30">
        <f>SUM($S$26:$U$26)</f>
        <v>0</v>
      </c>
      <c r="W26" s="30">
        <f>'TE BE'!$AA$26*'TE BE'!$W$49</f>
        <v>0</v>
      </c>
      <c r="X26" s="30">
        <f>SUM($W$26:$W$26)</f>
        <v>0</v>
      </c>
      <c r="Y26" s="30">
        <f>'TE BE'!$Y$26*'TE BE'!$Y$49</f>
        <v>0</v>
      </c>
      <c r="Z26" s="30">
        <f>SUM($Y$26:$Y$26)</f>
        <v>0</v>
      </c>
      <c r="AA26" s="30">
        <f>SUMIF($L$4:$Z$4,"SUBTOTAL",$L$26:$Z$26)</f>
        <v>57.637494249978339</v>
      </c>
    </row>
    <row r="27" spans="1:27" ht="11.25" customHeight="1" x14ac:dyDescent="0.25">
      <c r="A27" s="138"/>
      <c r="B27" s="138"/>
      <c r="C27" s="138"/>
      <c r="D27" s="138"/>
      <c r="E27" s="138"/>
      <c r="F27" s="138"/>
      <c r="G27" s="32" t="s">
        <v>73</v>
      </c>
      <c r="H27" s="32" t="s">
        <v>71</v>
      </c>
      <c r="I27" s="32">
        <f>'MERCADO TE'!$U$24</f>
        <v>0</v>
      </c>
      <c r="J27" s="17"/>
      <c r="L27" s="30">
        <f>'TE BE'!$L$27*'TE BE'!$L$49</f>
        <v>0</v>
      </c>
      <c r="M27" s="30">
        <f>'TE BE'!$M$27*'TE BE'!$M$49</f>
        <v>0</v>
      </c>
      <c r="N27" s="30">
        <f>'TE BE'!$N$27*'TE BE'!$N$49</f>
        <v>0</v>
      </c>
      <c r="O27" s="30">
        <f>'TE BE'!$O$27*'TE BE'!$O$49</f>
        <v>0</v>
      </c>
      <c r="P27" s="30">
        <f>SUM($L$27:$O$27)</f>
        <v>0</v>
      </c>
      <c r="Q27" s="30">
        <f>'TE BE'!$Q$27*'TE BE'!$Q$49</f>
        <v>57.637494249978339</v>
      </c>
      <c r="R27" s="30">
        <f>SUM($Q$27:$Q$27)</f>
        <v>57.637494249978339</v>
      </c>
      <c r="S27" s="30">
        <f>'TE BE'!$S$27*'TE BE'!$S$49</f>
        <v>0</v>
      </c>
      <c r="T27" s="30">
        <f>'TE BE'!$T$27*'TE BE'!$T$49</f>
        <v>0</v>
      </c>
      <c r="U27" s="30">
        <f>'TE BE'!$U$27*'TE BE'!$U$49</f>
        <v>0</v>
      </c>
      <c r="V27" s="30">
        <f>SUM($S$27:$U$27)</f>
        <v>0</v>
      </c>
      <c r="W27" s="30">
        <f>'TE BE'!$AA$27*'TE BE'!$W$49</f>
        <v>0</v>
      </c>
      <c r="X27" s="30">
        <f>SUM($W$27:$W$27)</f>
        <v>0</v>
      </c>
      <c r="Y27" s="30">
        <f>'TE BE'!$Y$27*'TE BE'!$Y$49</f>
        <v>0</v>
      </c>
      <c r="Z27" s="30">
        <f>SUM($Y$27:$Y$27)</f>
        <v>0</v>
      </c>
      <c r="AA27" s="30">
        <f>SUMIF($L$4:$Z$4,"SUBTOTAL",$L$27:$Z$27)</f>
        <v>57.637494249978339</v>
      </c>
    </row>
    <row r="28" spans="1:27" ht="11.25" customHeight="1" x14ac:dyDescent="0.25">
      <c r="A28" s="138"/>
      <c r="B28" s="38" t="s">
        <v>74</v>
      </c>
      <c r="C28" s="38" t="s">
        <v>44</v>
      </c>
      <c r="D28" s="38" t="s">
        <v>87</v>
      </c>
      <c r="E28" s="38" t="s">
        <v>25</v>
      </c>
      <c r="F28" s="38" t="s">
        <v>25</v>
      </c>
      <c r="G28" s="32" t="s">
        <v>75</v>
      </c>
      <c r="H28" s="32" t="s">
        <v>71</v>
      </c>
      <c r="I28" s="32">
        <f>'MERCADO TE'!$U$25</f>
        <v>0</v>
      </c>
      <c r="J28" s="17"/>
      <c r="L28" s="30">
        <f>'TE BE'!$L$28*'TE BE'!$L$49</f>
        <v>0</v>
      </c>
      <c r="M28" s="30">
        <f>'TE BE'!$M$28*'TE BE'!$M$49</f>
        <v>0</v>
      </c>
      <c r="N28" s="30">
        <f>'TE BE'!$N$28*'TE BE'!$N$49</f>
        <v>0</v>
      </c>
      <c r="O28" s="30">
        <f>'TE BE'!$O$28*'TE BE'!$O$49</f>
        <v>0</v>
      </c>
      <c r="P28" s="30">
        <f>SUM($L$28:$O$28)</f>
        <v>0</v>
      </c>
      <c r="Q28" s="30">
        <f>'TE BE'!$Q$28*'TE BE'!$Q$49</f>
        <v>57.637494249978339</v>
      </c>
      <c r="R28" s="30">
        <f>SUM($Q$28:$Q$28)</f>
        <v>57.637494249978339</v>
      </c>
      <c r="S28" s="30">
        <f>'TE BE'!$S$28*'TE BE'!$S$49</f>
        <v>0</v>
      </c>
      <c r="T28" s="30">
        <f>'TE BE'!$T$28*'TE BE'!$T$49</f>
        <v>0</v>
      </c>
      <c r="U28" s="30">
        <f>'TE BE'!$U$28*'TE BE'!$U$49</f>
        <v>0</v>
      </c>
      <c r="V28" s="30">
        <f>SUM($S$28:$U$28)</f>
        <v>0</v>
      </c>
      <c r="W28" s="30">
        <f>'TE BE'!$AA$28*'TE BE'!$W$49</f>
        <v>0</v>
      </c>
      <c r="X28" s="30">
        <f>SUM($W$28:$W$28)</f>
        <v>0</v>
      </c>
      <c r="Y28" s="30">
        <f>'TE BE'!$Y$28*'TE BE'!$Y$49</f>
        <v>0</v>
      </c>
      <c r="Z28" s="30">
        <f>SUM($Y$28:$Y$28)</f>
        <v>0</v>
      </c>
      <c r="AA28" s="30">
        <f>SUMIF($L$4:$Z$4,"SUBTOTAL",$L$28:$Z$28)</f>
        <v>57.637494249978339</v>
      </c>
    </row>
    <row r="29" spans="1:27" ht="11.25" customHeight="1" x14ac:dyDescent="0.25">
      <c r="A29" s="138"/>
      <c r="B29" s="138" t="s">
        <v>70</v>
      </c>
      <c r="C29" s="138" t="s">
        <v>44</v>
      </c>
      <c r="D29" s="138" t="s">
        <v>88</v>
      </c>
      <c r="E29" s="138" t="s">
        <v>25</v>
      </c>
      <c r="F29" s="138" t="s">
        <v>25</v>
      </c>
      <c r="G29" s="32" t="s">
        <v>72</v>
      </c>
      <c r="H29" s="32" t="s">
        <v>71</v>
      </c>
      <c r="I29" s="32">
        <f>'MERCADO TE'!$U$26</f>
        <v>0</v>
      </c>
      <c r="J29" s="17"/>
      <c r="L29" s="30">
        <f>'TE BE'!$L$29*'TE BE'!$L$49</f>
        <v>0</v>
      </c>
      <c r="M29" s="30">
        <f>'TE BE'!$M$29*'TE BE'!$M$49</f>
        <v>0</v>
      </c>
      <c r="N29" s="30">
        <f>'TE BE'!$N$29*'TE BE'!$N$49</f>
        <v>0</v>
      </c>
      <c r="O29" s="30">
        <f>'TE BE'!$O$29*'TE BE'!$O$49</f>
        <v>0</v>
      </c>
      <c r="P29" s="30">
        <f>SUM($L$29:$O$29)</f>
        <v>0</v>
      </c>
      <c r="Q29" s="30">
        <f>'TE BE'!$Q$29*'TE BE'!$Q$49</f>
        <v>57.637494249978339</v>
      </c>
      <c r="R29" s="30">
        <f>SUM($Q$29:$Q$29)</f>
        <v>57.637494249978339</v>
      </c>
      <c r="S29" s="30">
        <f>'TE BE'!$S$29*'TE BE'!$S$49</f>
        <v>0</v>
      </c>
      <c r="T29" s="30">
        <f>'TE BE'!$T$29*'TE BE'!$T$49</f>
        <v>0</v>
      </c>
      <c r="U29" s="30">
        <f>'TE BE'!$U$29*'TE BE'!$U$49</f>
        <v>0</v>
      </c>
      <c r="V29" s="30">
        <f>SUM($S$29:$U$29)</f>
        <v>0</v>
      </c>
      <c r="W29" s="30">
        <f>'TE BE'!$AA$29*'TE BE'!$W$49</f>
        <v>0</v>
      </c>
      <c r="X29" s="30">
        <f>SUM($W$29:$W$29)</f>
        <v>0</v>
      </c>
      <c r="Y29" s="30">
        <f>'TE BE'!$Y$29*'TE BE'!$Y$49</f>
        <v>0</v>
      </c>
      <c r="Z29" s="30">
        <f>SUM($Y$29:$Y$29)</f>
        <v>0</v>
      </c>
      <c r="AA29" s="30">
        <f>SUMIF($L$4:$Z$4,"SUBTOTAL",$L$29:$Z$29)</f>
        <v>57.637494249978339</v>
      </c>
    </row>
    <row r="30" spans="1:27" ht="11.25" customHeight="1" x14ac:dyDescent="0.25">
      <c r="A30" s="138"/>
      <c r="B30" s="138"/>
      <c r="C30" s="138"/>
      <c r="D30" s="138"/>
      <c r="E30" s="138"/>
      <c r="F30" s="138"/>
      <c r="G30" s="32" t="s">
        <v>84</v>
      </c>
      <c r="H30" s="32" t="s">
        <v>71</v>
      </c>
      <c r="I30" s="32">
        <f>'MERCADO TE'!$U$27</f>
        <v>0</v>
      </c>
      <c r="J30" s="17"/>
      <c r="L30" s="30">
        <f>'TE BE'!$L$30*'TE BE'!$L$49</f>
        <v>0</v>
      </c>
      <c r="M30" s="30">
        <f>'TE BE'!$M$30*'TE BE'!$M$49</f>
        <v>0</v>
      </c>
      <c r="N30" s="30">
        <f>'TE BE'!$N$30*'TE BE'!$N$49</f>
        <v>0</v>
      </c>
      <c r="O30" s="30">
        <f>'TE BE'!$O$30*'TE BE'!$O$49</f>
        <v>0</v>
      </c>
      <c r="P30" s="30">
        <f>SUM($L$30:$O$30)</f>
        <v>0</v>
      </c>
      <c r="Q30" s="30">
        <f>'TE BE'!$Q$30*'TE BE'!$Q$49</f>
        <v>57.637494249978339</v>
      </c>
      <c r="R30" s="30">
        <f>SUM($Q$30:$Q$30)</f>
        <v>57.637494249978339</v>
      </c>
      <c r="S30" s="30">
        <f>'TE BE'!$S$30*'TE BE'!$S$49</f>
        <v>0</v>
      </c>
      <c r="T30" s="30">
        <f>'TE BE'!$T$30*'TE BE'!$T$49</f>
        <v>0</v>
      </c>
      <c r="U30" s="30">
        <f>'TE BE'!$U$30*'TE BE'!$U$49</f>
        <v>0</v>
      </c>
      <c r="V30" s="30">
        <f>SUM($S$30:$U$30)</f>
        <v>0</v>
      </c>
      <c r="W30" s="30">
        <f>'TE BE'!$AA$30*'TE BE'!$W$49</f>
        <v>0</v>
      </c>
      <c r="X30" s="30">
        <f>SUM($W$30:$W$30)</f>
        <v>0</v>
      </c>
      <c r="Y30" s="30">
        <f>'TE BE'!$Y$30*'TE BE'!$Y$49</f>
        <v>0</v>
      </c>
      <c r="Z30" s="30">
        <f>SUM($Y$30:$Y$30)</f>
        <v>0</v>
      </c>
      <c r="AA30" s="30">
        <f>SUMIF($L$4:$Z$4,"SUBTOTAL",$L$30:$Z$30)</f>
        <v>57.637494249978339</v>
      </c>
    </row>
    <row r="31" spans="1:27" ht="11.25" customHeight="1" x14ac:dyDescent="0.25">
      <c r="A31" s="138"/>
      <c r="B31" s="138"/>
      <c r="C31" s="138"/>
      <c r="D31" s="138"/>
      <c r="E31" s="138"/>
      <c r="F31" s="138"/>
      <c r="G31" s="32" t="s">
        <v>73</v>
      </c>
      <c r="H31" s="32" t="s">
        <v>71</v>
      </c>
      <c r="I31" s="32">
        <f>'MERCADO TE'!$U$28</f>
        <v>0</v>
      </c>
      <c r="J31" s="17"/>
      <c r="L31" s="30">
        <f>'TE BE'!$L$31*'TE BE'!$L$49</f>
        <v>0</v>
      </c>
      <c r="M31" s="30">
        <f>'TE BE'!$M$31*'TE BE'!$M$49</f>
        <v>0</v>
      </c>
      <c r="N31" s="30">
        <f>'TE BE'!$N$31*'TE BE'!$N$49</f>
        <v>0</v>
      </c>
      <c r="O31" s="30">
        <f>'TE BE'!$O$31*'TE BE'!$O$49</f>
        <v>0</v>
      </c>
      <c r="P31" s="30">
        <f>SUM($L$31:$O$31)</f>
        <v>0</v>
      </c>
      <c r="Q31" s="30">
        <f>'TE BE'!$Q$31*'TE BE'!$Q$49</f>
        <v>57.637494249978339</v>
      </c>
      <c r="R31" s="30">
        <f>SUM($Q$31:$Q$31)</f>
        <v>57.637494249978339</v>
      </c>
      <c r="S31" s="30">
        <f>'TE BE'!$S$31*'TE BE'!$S$49</f>
        <v>0</v>
      </c>
      <c r="T31" s="30">
        <f>'TE BE'!$T$31*'TE BE'!$T$49</f>
        <v>0</v>
      </c>
      <c r="U31" s="30">
        <f>'TE BE'!$U$31*'TE BE'!$U$49</f>
        <v>0</v>
      </c>
      <c r="V31" s="30">
        <f>SUM($S$31:$U$31)</f>
        <v>0</v>
      </c>
      <c r="W31" s="30">
        <f>'TE BE'!$AA$31*'TE BE'!$W$49</f>
        <v>0</v>
      </c>
      <c r="X31" s="30">
        <f>SUM($W$31:$W$31)</f>
        <v>0</v>
      </c>
      <c r="Y31" s="30">
        <f>'TE BE'!$Y$31*'TE BE'!$Y$49</f>
        <v>0</v>
      </c>
      <c r="Z31" s="30">
        <f>SUM($Y$31:$Y$31)</f>
        <v>0</v>
      </c>
      <c r="AA31" s="30">
        <f>SUMIF($L$4:$Z$4,"SUBTOTAL",$L$31:$Z$31)</f>
        <v>57.637494249978339</v>
      </c>
    </row>
    <row r="32" spans="1:27" ht="11.25" customHeight="1" x14ac:dyDescent="0.25">
      <c r="A32" s="138"/>
      <c r="B32" s="38" t="s">
        <v>74</v>
      </c>
      <c r="C32" s="38" t="s">
        <v>44</v>
      </c>
      <c r="D32" s="38" t="s">
        <v>88</v>
      </c>
      <c r="E32" s="38" t="s">
        <v>25</v>
      </c>
      <c r="F32" s="38" t="s">
        <v>25</v>
      </c>
      <c r="G32" s="32" t="s">
        <v>75</v>
      </c>
      <c r="H32" s="32" t="s">
        <v>71</v>
      </c>
      <c r="I32" s="32">
        <f>'MERCADO TE'!$U$29</f>
        <v>0</v>
      </c>
      <c r="J32" s="17"/>
      <c r="L32" s="30">
        <f>'TE BE'!$L$32*'TE BE'!$L$49</f>
        <v>0</v>
      </c>
      <c r="M32" s="30">
        <f>'TE BE'!$M$32*'TE BE'!$M$49</f>
        <v>0</v>
      </c>
      <c r="N32" s="30">
        <f>'TE BE'!$N$32*'TE BE'!$N$49</f>
        <v>0</v>
      </c>
      <c r="O32" s="30">
        <f>'TE BE'!$O$32*'TE BE'!$O$49</f>
        <v>0</v>
      </c>
      <c r="P32" s="30">
        <f>SUM($L$32:$O$32)</f>
        <v>0</v>
      </c>
      <c r="Q32" s="30">
        <f>'TE BE'!$Q$32*'TE BE'!$Q$49</f>
        <v>57.637494249978339</v>
      </c>
      <c r="R32" s="30">
        <f>SUM($Q$32:$Q$32)</f>
        <v>57.637494249978339</v>
      </c>
      <c r="S32" s="30">
        <f>'TE BE'!$S$32*'TE BE'!$S$49</f>
        <v>0</v>
      </c>
      <c r="T32" s="30">
        <f>'TE BE'!$T$32*'TE BE'!$T$49</f>
        <v>0</v>
      </c>
      <c r="U32" s="30">
        <f>'TE BE'!$U$32*'TE BE'!$U$49</f>
        <v>0</v>
      </c>
      <c r="V32" s="30">
        <f>SUM($S$32:$U$32)</f>
        <v>0</v>
      </c>
      <c r="W32" s="30">
        <f>'TE BE'!$AA$32*'TE BE'!$W$49</f>
        <v>0</v>
      </c>
      <c r="X32" s="30">
        <f>SUM($W$32:$W$32)</f>
        <v>0</v>
      </c>
      <c r="Y32" s="30">
        <f>'TE BE'!$Y$32*'TE BE'!$Y$49</f>
        <v>0</v>
      </c>
      <c r="Z32" s="30">
        <f>SUM($Y$32:$Y$32)</f>
        <v>0</v>
      </c>
      <c r="AA32" s="30">
        <f>SUMIF($L$4:$Z$4,"SUBTOTAL",$L$32:$Z$32)</f>
        <v>57.637494249978339</v>
      </c>
    </row>
    <row r="33" spans="1:27" ht="11.25" customHeight="1" x14ac:dyDescent="0.25">
      <c r="A33" s="138"/>
      <c r="B33" s="138" t="s">
        <v>85</v>
      </c>
      <c r="C33" s="138" t="s">
        <v>44</v>
      </c>
      <c r="D33" s="38" t="s">
        <v>25</v>
      </c>
      <c r="E33" s="38" t="s">
        <v>25</v>
      </c>
      <c r="F33" s="38" t="s">
        <v>25</v>
      </c>
      <c r="G33" s="32" t="s">
        <v>75</v>
      </c>
      <c r="H33" s="32" t="s">
        <v>71</v>
      </c>
      <c r="I33" s="32">
        <f>'MERCADO TE'!$U$30</f>
        <v>0</v>
      </c>
      <c r="J33" s="17"/>
      <c r="L33" s="30">
        <f>'TE BE'!$L$33*'TE BE'!$L$49</f>
        <v>0</v>
      </c>
      <c r="M33" s="30">
        <f>'TE BE'!$M$33*'TE BE'!$M$49</f>
        <v>0</v>
      </c>
      <c r="N33" s="30">
        <f>'TE BE'!$N$33*'TE BE'!$N$49</f>
        <v>0</v>
      </c>
      <c r="O33" s="30">
        <f>'TE BE'!$O$33*'TE BE'!$O$49</f>
        <v>0</v>
      </c>
      <c r="P33" s="30">
        <f>SUM($L$33:$O$33)</f>
        <v>0</v>
      </c>
      <c r="Q33" s="30">
        <f>'TE BE'!$Q$33*'TE BE'!$Q$49</f>
        <v>57.637494249978339</v>
      </c>
      <c r="R33" s="30">
        <f>SUM($Q$33:$Q$33)</f>
        <v>57.637494249978339</v>
      </c>
      <c r="S33" s="30">
        <f>'TE BE'!$S$33*'TE BE'!$S$49</f>
        <v>0</v>
      </c>
      <c r="T33" s="30">
        <f>'TE BE'!$T$33*'TE BE'!$T$49</f>
        <v>0</v>
      </c>
      <c r="U33" s="30">
        <f>'TE BE'!$U$33*'TE BE'!$U$49</f>
        <v>0</v>
      </c>
      <c r="V33" s="30">
        <f>SUM($S$33:$U$33)</f>
        <v>0</v>
      </c>
      <c r="W33" s="30">
        <f>'TE BE'!$AA$33*'TE BE'!$W$49</f>
        <v>0</v>
      </c>
      <c r="X33" s="30">
        <f>SUM($W$33:$W$33)</f>
        <v>0</v>
      </c>
      <c r="Y33" s="30">
        <f>'TE BE'!$Y$33*'TE BE'!$Y$49</f>
        <v>0</v>
      </c>
      <c r="Z33" s="30">
        <f>SUM($Y$33:$Y$33)</f>
        <v>0</v>
      </c>
      <c r="AA33" s="30">
        <f>SUMIF($L$4:$Z$4,"SUBTOTAL",$L$33:$Z$33)</f>
        <v>57.637494249978339</v>
      </c>
    </row>
    <row r="34" spans="1:27" ht="11.25" customHeight="1" x14ac:dyDescent="0.25">
      <c r="A34" s="138"/>
      <c r="B34" s="138"/>
      <c r="C34" s="138"/>
      <c r="D34" s="38" t="s">
        <v>87</v>
      </c>
      <c r="E34" s="38" t="s">
        <v>25</v>
      </c>
      <c r="F34" s="38" t="s">
        <v>25</v>
      </c>
      <c r="G34" s="32" t="s">
        <v>75</v>
      </c>
      <c r="H34" s="32" t="s">
        <v>71</v>
      </c>
      <c r="I34" s="32">
        <f>'MERCADO TE'!$U$31</f>
        <v>0</v>
      </c>
      <c r="J34" s="17"/>
      <c r="L34" s="30">
        <f>'TE BE'!$L$34*'TE BE'!$L$49</f>
        <v>0</v>
      </c>
      <c r="M34" s="30">
        <f>'TE BE'!$M$34*'TE BE'!$M$49</f>
        <v>0</v>
      </c>
      <c r="N34" s="30">
        <f>'TE BE'!$N$34*'TE BE'!$N$49</f>
        <v>0</v>
      </c>
      <c r="O34" s="30">
        <f>'TE BE'!$O$34*'TE BE'!$O$49</f>
        <v>0</v>
      </c>
      <c r="P34" s="30">
        <f>SUM($L$34:$O$34)</f>
        <v>0</v>
      </c>
      <c r="Q34" s="30">
        <f>'TE BE'!$Q$34*'TE BE'!$Q$49</f>
        <v>57.637494249978339</v>
      </c>
      <c r="R34" s="30">
        <f>SUM($Q$34:$Q$34)</f>
        <v>57.637494249978339</v>
      </c>
      <c r="S34" s="30">
        <f>'TE BE'!$S$34*'TE BE'!$S$49</f>
        <v>0</v>
      </c>
      <c r="T34" s="30">
        <f>'TE BE'!$T$34*'TE BE'!$T$49</f>
        <v>0</v>
      </c>
      <c r="U34" s="30">
        <f>'TE BE'!$U$34*'TE BE'!$U$49</f>
        <v>0</v>
      </c>
      <c r="V34" s="30">
        <f>SUM($S$34:$U$34)</f>
        <v>0</v>
      </c>
      <c r="W34" s="30">
        <f>'TE BE'!$AA$34*'TE BE'!$W$49</f>
        <v>0</v>
      </c>
      <c r="X34" s="30">
        <f>SUM($W$34:$W$34)</f>
        <v>0</v>
      </c>
      <c r="Y34" s="30">
        <f>'TE BE'!$Y$34*'TE BE'!$Y$49</f>
        <v>0</v>
      </c>
      <c r="Z34" s="30">
        <f>SUM($Y$34:$Y$34)</f>
        <v>0</v>
      </c>
      <c r="AA34" s="30">
        <f>SUMIF($L$4:$Z$4,"SUBTOTAL",$L$34:$Z$34)</f>
        <v>57.637494249978339</v>
      </c>
    </row>
    <row r="35" spans="1:27" ht="11.25" customHeight="1" x14ac:dyDescent="0.25">
      <c r="A35" s="138"/>
      <c r="B35" s="138"/>
      <c r="C35" s="138"/>
      <c r="D35" s="38" t="s">
        <v>88</v>
      </c>
      <c r="E35" s="38" t="s">
        <v>25</v>
      </c>
      <c r="F35" s="38" t="s">
        <v>25</v>
      </c>
      <c r="G35" s="32" t="s">
        <v>75</v>
      </c>
      <c r="H35" s="32" t="s">
        <v>71</v>
      </c>
      <c r="I35" s="32">
        <f>'MERCADO TE'!$U$32</f>
        <v>0</v>
      </c>
      <c r="J35" s="17"/>
      <c r="L35" s="30">
        <f>'TE BE'!$L$35*'TE BE'!$L$49</f>
        <v>0</v>
      </c>
      <c r="M35" s="30">
        <f>'TE BE'!$M$35*'TE BE'!$M$49</f>
        <v>0</v>
      </c>
      <c r="N35" s="30">
        <f>'TE BE'!$N$35*'TE BE'!$N$49</f>
        <v>0</v>
      </c>
      <c r="O35" s="30">
        <f>'TE BE'!$O$35*'TE BE'!$O$49</f>
        <v>0</v>
      </c>
      <c r="P35" s="30">
        <f>SUM($L$35:$O$35)</f>
        <v>0</v>
      </c>
      <c r="Q35" s="30">
        <f>'TE BE'!$Q$35*'TE BE'!$Q$49</f>
        <v>57.637494249978339</v>
      </c>
      <c r="R35" s="30">
        <f>SUM($Q$35:$Q$35)</f>
        <v>57.637494249978339</v>
      </c>
      <c r="S35" s="30">
        <f>'TE BE'!$S$35*'TE BE'!$S$49</f>
        <v>0</v>
      </c>
      <c r="T35" s="30">
        <f>'TE BE'!$T$35*'TE BE'!$T$49</f>
        <v>0</v>
      </c>
      <c r="U35" s="30">
        <f>'TE BE'!$U$35*'TE BE'!$U$49</f>
        <v>0</v>
      </c>
      <c r="V35" s="30">
        <f>SUM($S$35:$U$35)</f>
        <v>0</v>
      </c>
      <c r="W35" s="30">
        <f>'TE BE'!$AA$35*'TE BE'!$W$49</f>
        <v>0</v>
      </c>
      <c r="X35" s="30">
        <f>SUM($W$35:$W$35)</f>
        <v>0</v>
      </c>
      <c r="Y35" s="30">
        <f>'TE BE'!$Y$35*'TE BE'!$Y$49</f>
        <v>0</v>
      </c>
      <c r="Z35" s="30">
        <f>SUM($Y$35:$Y$35)</f>
        <v>0</v>
      </c>
      <c r="AA35" s="30">
        <f>SUMIF($L$4:$Z$4,"SUBTOTAL",$L$35:$Z$35)</f>
        <v>57.637494249978339</v>
      </c>
    </row>
    <row r="36" spans="1:27" ht="11.25" customHeight="1" x14ac:dyDescent="0.25">
      <c r="A36" s="138" t="s">
        <v>39</v>
      </c>
      <c r="B36" s="138" t="s">
        <v>70</v>
      </c>
      <c r="C36" s="138" t="s">
        <v>25</v>
      </c>
      <c r="D36" s="138" t="s">
        <v>25</v>
      </c>
      <c r="E36" s="138" t="s">
        <v>25</v>
      </c>
      <c r="F36" s="138" t="s">
        <v>25</v>
      </c>
      <c r="G36" s="32" t="s">
        <v>72</v>
      </c>
      <c r="H36" s="32" t="s">
        <v>71</v>
      </c>
      <c r="I36" s="32">
        <f>'MERCADO TE'!$U$33</f>
        <v>0</v>
      </c>
      <c r="J36" s="17"/>
      <c r="L36" s="30">
        <f>'TE BE'!$L$36*'TE BE'!$L$49</f>
        <v>0</v>
      </c>
      <c r="M36" s="30">
        <f>'TE BE'!$M$36*'TE BE'!$M$49</f>
        <v>0</v>
      </c>
      <c r="N36" s="30">
        <f>'TE BE'!$N$36*'TE BE'!$N$49</f>
        <v>0</v>
      </c>
      <c r="O36" s="30">
        <f>'TE BE'!$O$36*'TE BE'!$O$49</f>
        <v>0</v>
      </c>
      <c r="P36" s="30">
        <f>SUM($L$36:$O$36)</f>
        <v>0</v>
      </c>
      <c r="Q36" s="30">
        <f>'TE BE'!$Q$36*'TE BE'!$Q$49</f>
        <v>57.637494249978339</v>
      </c>
      <c r="R36" s="30">
        <f>SUM($Q$36:$Q$36)</f>
        <v>57.637494249978339</v>
      </c>
      <c r="S36" s="30">
        <f>'TE BE'!$S$36*'TE BE'!$S$49</f>
        <v>0</v>
      </c>
      <c r="T36" s="30">
        <f>'TE BE'!$T$36*'TE BE'!$T$49</f>
        <v>0</v>
      </c>
      <c r="U36" s="30">
        <f>'TE BE'!$U$36*'TE BE'!$U$49</f>
        <v>0</v>
      </c>
      <c r="V36" s="30">
        <f>SUM($S$36:$U$36)</f>
        <v>0</v>
      </c>
      <c r="W36" s="30">
        <f>'TE BE'!$AA$36*'TE BE'!$W$49</f>
        <v>0</v>
      </c>
      <c r="X36" s="30">
        <f>SUM($W$36:$W$36)</f>
        <v>0</v>
      </c>
      <c r="Y36" s="30">
        <f>'TE BE'!$Y$36*'TE BE'!$Y$49</f>
        <v>0</v>
      </c>
      <c r="Z36" s="30">
        <f>SUM($Y$36:$Y$36)</f>
        <v>0</v>
      </c>
      <c r="AA36" s="30">
        <f>SUMIF($L$4:$Z$4,"SUBTOTAL",$L$36:$Z$36)</f>
        <v>57.637494249978339</v>
      </c>
    </row>
    <row r="37" spans="1:27" ht="11.25" customHeight="1" x14ac:dyDescent="0.25">
      <c r="A37" s="138"/>
      <c r="B37" s="138"/>
      <c r="C37" s="138"/>
      <c r="D37" s="138"/>
      <c r="E37" s="138"/>
      <c r="F37" s="138"/>
      <c r="G37" s="32" t="s">
        <v>84</v>
      </c>
      <c r="H37" s="32" t="s">
        <v>71</v>
      </c>
      <c r="I37" s="32">
        <f>'MERCADO TE'!$U$34</f>
        <v>0</v>
      </c>
      <c r="J37" s="17"/>
      <c r="L37" s="30">
        <f>'TE BE'!$L$37*'TE BE'!$L$49</f>
        <v>0</v>
      </c>
      <c r="M37" s="30">
        <f>'TE BE'!$M$37*'TE BE'!$M$49</f>
        <v>0</v>
      </c>
      <c r="N37" s="30">
        <f>'TE BE'!$N$37*'TE BE'!$N$49</f>
        <v>0</v>
      </c>
      <c r="O37" s="30">
        <f>'TE BE'!$O$37*'TE BE'!$O$49</f>
        <v>0</v>
      </c>
      <c r="P37" s="30">
        <f>SUM($L$37:$O$37)</f>
        <v>0</v>
      </c>
      <c r="Q37" s="30">
        <f>'TE BE'!$Q$37*'TE BE'!$Q$49</f>
        <v>57.637494249978339</v>
      </c>
      <c r="R37" s="30">
        <f>SUM($Q$37:$Q$37)</f>
        <v>57.637494249978339</v>
      </c>
      <c r="S37" s="30">
        <f>'TE BE'!$S$37*'TE BE'!$S$49</f>
        <v>0</v>
      </c>
      <c r="T37" s="30">
        <f>'TE BE'!$T$37*'TE BE'!$T$49</f>
        <v>0</v>
      </c>
      <c r="U37" s="30">
        <f>'TE BE'!$U$37*'TE BE'!$U$49</f>
        <v>0</v>
      </c>
      <c r="V37" s="30">
        <f>SUM($S$37:$U$37)</f>
        <v>0</v>
      </c>
      <c r="W37" s="30">
        <f>'TE BE'!$AA$37*'TE BE'!$W$49</f>
        <v>0</v>
      </c>
      <c r="X37" s="30">
        <f>SUM($W$37:$W$37)</f>
        <v>0</v>
      </c>
      <c r="Y37" s="30">
        <f>'TE BE'!$Y$37*'TE BE'!$Y$49</f>
        <v>0</v>
      </c>
      <c r="Z37" s="30">
        <f>SUM($Y$37:$Y$37)</f>
        <v>0</v>
      </c>
      <c r="AA37" s="30">
        <f>SUMIF($L$4:$Z$4,"SUBTOTAL",$L$37:$Z$37)</f>
        <v>57.637494249978339</v>
      </c>
    </row>
    <row r="38" spans="1:27" ht="11.25" customHeight="1" x14ac:dyDescent="0.25">
      <c r="A38" s="138"/>
      <c r="B38" s="138"/>
      <c r="C38" s="138"/>
      <c r="D38" s="138"/>
      <c r="E38" s="138"/>
      <c r="F38" s="138"/>
      <c r="G38" s="32" t="s">
        <v>73</v>
      </c>
      <c r="H38" s="32" t="s">
        <v>71</v>
      </c>
      <c r="I38" s="32">
        <f>'MERCADO TE'!$U$35</f>
        <v>0</v>
      </c>
      <c r="J38" s="17"/>
      <c r="L38" s="30">
        <f>'TE BE'!$L$38*'TE BE'!$L$49</f>
        <v>0</v>
      </c>
      <c r="M38" s="30">
        <f>'TE BE'!$M$38*'TE BE'!$M$49</f>
        <v>0</v>
      </c>
      <c r="N38" s="30">
        <f>'TE BE'!$N$38*'TE BE'!$N$49</f>
        <v>0</v>
      </c>
      <c r="O38" s="30">
        <f>'TE BE'!$O$38*'TE BE'!$O$49</f>
        <v>0</v>
      </c>
      <c r="P38" s="30">
        <f>SUM($L$38:$O$38)</f>
        <v>0</v>
      </c>
      <c r="Q38" s="30">
        <f>'TE BE'!$Q$38*'TE BE'!$Q$49</f>
        <v>57.637494249978339</v>
      </c>
      <c r="R38" s="30">
        <f>SUM($Q$38:$Q$38)</f>
        <v>57.637494249978339</v>
      </c>
      <c r="S38" s="30">
        <f>'TE BE'!$S$38*'TE BE'!$S$49</f>
        <v>0</v>
      </c>
      <c r="T38" s="30">
        <f>'TE BE'!$T$38*'TE BE'!$T$49</f>
        <v>0</v>
      </c>
      <c r="U38" s="30">
        <f>'TE BE'!$U$38*'TE BE'!$U$49</f>
        <v>0</v>
      </c>
      <c r="V38" s="30">
        <f>SUM($S$38:$U$38)</f>
        <v>0</v>
      </c>
      <c r="W38" s="30">
        <f>'TE BE'!$AA$38*'TE BE'!$W$49</f>
        <v>0</v>
      </c>
      <c r="X38" s="30">
        <f>SUM($W$38:$W$38)</f>
        <v>0</v>
      </c>
      <c r="Y38" s="30">
        <f>'TE BE'!$Y$38*'TE BE'!$Y$49</f>
        <v>0</v>
      </c>
      <c r="Z38" s="30">
        <f>SUM($Y$38:$Y$38)</f>
        <v>0</v>
      </c>
      <c r="AA38" s="30">
        <f>SUMIF($L$4:$Z$4,"SUBTOTAL",$L$38:$Z$38)</f>
        <v>57.637494249978339</v>
      </c>
    </row>
    <row r="39" spans="1:27" ht="11.25" customHeight="1" x14ac:dyDescent="0.25">
      <c r="A39" s="138"/>
      <c r="B39" s="38" t="s">
        <v>74</v>
      </c>
      <c r="C39" s="38" t="s">
        <v>25</v>
      </c>
      <c r="D39" s="38" t="s">
        <v>25</v>
      </c>
      <c r="E39" s="38" t="s">
        <v>25</v>
      </c>
      <c r="F39" s="38" t="s">
        <v>25</v>
      </c>
      <c r="G39" s="32" t="s">
        <v>75</v>
      </c>
      <c r="H39" s="32" t="s">
        <v>71</v>
      </c>
      <c r="I39" s="32">
        <f>'MERCADO TE'!$U$36</f>
        <v>4622.2640000000001</v>
      </c>
      <c r="J39" s="17"/>
      <c r="L39" s="30">
        <f>'TE BE'!$L$39*'TE BE'!$L$49</f>
        <v>0</v>
      </c>
      <c r="M39" s="30">
        <f>'TE BE'!$M$39*'TE BE'!$M$49</f>
        <v>0</v>
      </c>
      <c r="N39" s="30">
        <f>'TE BE'!$N$39*'TE BE'!$N$49</f>
        <v>0</v>
      </c>
      <c r="O39" s="30">
        <f>'TE BE'!$O$39*'TE BE'!$O$49</f>
        <v>0</v>
      </c>
      <c r="P39" s="30">
        <f>SUM($L$39:$O$39)</f>
        <v>0</v>
      </c>
      <c r="Q39" s="30">
        <f>'TE BE'!$Q$39*'TE BE'!$Q$49</f>
        <v>57.637494249978339</v>
      </c>
      <c r="R39" s="30">
        <f>SUM($Q$39:$Q$39)</f>
        <v>57.637494249978339</v>
      </c>
      <c r="S39" s="30">
        <f>'TE BE'!$S$39*'TE BE'!$S$49</f>
        <v>0</v>
      </c>
      <c r="T39" s="30">
        <f>'TE BE'!$T$39*'TE BE'!$T$49</f>
        <v>0</v>
      </c>
      <c r="U39" s="30">
        <f>'TE BE'!$U$39*'TE BE'!$U$49</f>
        <v>0</v>
      </c>
      <c r="V39" s="30">
        <f>SUM($S$39:$U$39)</f>
        <v>0</v>
      </c>
      <c r="W39" s="30">
        <f>'TE BE'!$AA$39*'TE BE'!$W$49</f>
        <v>0</v>
      </c>
      <c r="X39" s="30">
        <f>SUM($W$39:$W$39)</f>
        <v>0</v>
      </c>
      <c r="Y39" s="30">
        <f>'TE BE'!$Y$39*'TE BE'!$Y$49</f>
        <v>0</v>
      </c>
      <c r="Z39" s="30">
        <f>SUM($Y$39:$Y$39)</f>
        <v>0</v>
      </c>
      <c r="AA39" s="30">
        <f>SUMIF($L$4:$Z$4,"SUBTOTAL",$L$39:$Z$39)</f>
        <v>57.637494249978339</v>
      </c>
    </row>
    <row r="40" spans="1:27" ht="11.25" customHeight="1" x14ac:dyDescent="0.25">
      <c r="A40" s="138"/>
      <c r="B40" s="38" t="s">
        <v>85</v>
      </c>
      <c r="C40" s="38" t="s">
        <v>25</v>
      </c>
      <c r="D40" s="38" t="s">
        <v>25</v>
      </c>
      <c r="E40" s="38" t="s">
        <v>25</v>
      </c>
      <c r="F40" s="38" t="s">
        <v>25</v>
      </c>
      <c r="G40" s="32" t="s">
        <v>75</v>
      </c>
      <c r="H40" s="32" t="s">
        <v>71</v>
      </c>
      <c r="I40" s="32">
        <f>'MERCADO TE'!$U$37</f>
        <v>0</v>
      </c>
      <c r="J40" s="17"/>
      <c r="L40" s="30">
        <f>'TE BE'!$L$40*'TE BE'!$L$49</f>
        <v>0</v>
      </c>
      <c r="M40" s="30">
        <f>'TE BE'!$M$40*'TE BE'!$M$49</f>
        <v>0</v>
      </c>
      <c r="N40" s="30">
        <f>'TE BE'!$N$40*'TE BE'!$N$49</f>
        <v>0</v>
      </c>
      <c r="O40" s="30">
        <f>'TE BE'!$O$40*'TE BE'!$O$49</f>
        <v>0</v>
      </c>
      <c r="P40" s="30">
        <f>SUM($L$40:$O$40)</f>
        <v>0</v>
      </c>
      <c r="Q40" s="30">
        <f>'TE BE'!$Q$40*'TE BE'!$Q$49</f>
        <v>57.637494249978339</v>
      </c>
      <c r="R40" s="30">
        <f>SUM($Q$40:$Q$40)</f>
        <v>57.637494249978339</v>
      </c>
      <c r="S40" s="30">
        <f>'TE BE'!$S$40*'TE BE'!$S$49</f>
        <v>0</v>
      </c>
      <c r="T40" s="30">
        <f>'TE BE'!$T$40*'TE BE'!$T$49</f>
        <v>0</v>
      </c>
      <c r="U40" s="30">
        <f>'TE BE'!$U$40*'TE BE'!$U$49</f>
        <v>0</v>
      </c>
      <c r="V40" s="30">
        <f>SUM($S$40:$U$40)</f>
        <v>0</v>
      </c>
      <c r="W40" s="30">
        <f>'TE BE'!$AA$40*'TE BE'!$W$49</f>
        <v>0</v>
      </c>
      <c r="X40" s="30">
        <f>SUM($W$40:$W$40)</f>
        <v>0</v>
      </c>
      <c r="Y40" s="30">
        <f>'TE BE'!$Y$40*'TE BE'!$Y$49</f>
        <v>0</v>
      </c>
      <c r="Z40" s="30">
        <f>SUM($Y$40:$Y$40)</f>
        <v>0</v>
      </c>
      <c r="AA40" s="30">
        <f>SUMIF($L$4:$Z$4,"SUBTOTAL",$L$40:$Z$40)</f>
        <v>57.637494249978339</v>
      </c>
    </row>
    <row r="41" spans="1:27" ht="11.25" customHeight="1" x14ac:dyDescent="0.25">
      <c r="A41" s="138" t="s">
        <v>46</v>
      </c>
      <c r="B41" s="138" t="s">
        <v>74</v>
      </c>
      <c r="C41" s="138" t="s">
        <v>47</v>
      </c>
      <c r="D41" s="38" t="s">
        <v>48</v>
      </c>
      <c r="E41" s="38" t="s">
        <v>25</v>
      </c>
      <c r="F41" s="38" t="s">
        <v>25</v>
      </c>
      <c r="G41" s="32" t="s">
        <v>75</v>
      </c>
      <c r="H41" s="32" t="s">
        <v>71</v>
      </c>
      <c r="I41" s="32">
        <f>'MERCADO TE'!$U$38</f>
        <v>3347.1679999999992</v>
      </c>
      <c r="J41" s="17"/>
      <c r="L41" s="30">
        <f>'TE BE'!$L$41*'TE BE'!$L$49</f>
        <v>0</v>
      </c>
      <c r="M41" s="30">
        <f>'TE BE'!$M$41*'TE BE'!$M$49</f>
        <v>0</v>
      </c>
      <c r="N41" s="30">
        <f>'TE BE'!$N$41*'TE BE'!$N$49</f>
        <v>0</v>
      </c>
      <c r="O41" s="30">
        <f>'TE BE'!$O$41*'TE BE'!$O$49</f>
        <v>0</v>
      </c>
      <c r="P41" s="30">
        <f>SUM($L$41:$O$41)</f>
        <v>0</v>
      </c>
      <c r="Q41" s="30">
        <f>'TE BE'!$Q$41*'TE BE'!$Q$49</f>
        <v>31.700621837488086</v>
      </c>
      <c r="R41" s="30">
        <f>SUM($Q$41:$Q$41)</f>
        <v>31.700621837488086</v>
      </c>
      <c r="S41" s="30">
        <f>'TE BE'!$S$41*'TE BE'!$S$49</f>
        <v>0</v>
      </c>
      <c r="T41" s="30">
        <f>'TE BE'!$T$41*'TE BE'!$T$49</f>
        <v>0</v>
      </c>
      <c r="U41" s="30">
        <f>'TE BE'!$U$41*'TE BE'!$U$49</f>
        <v>0</v>
      </c>
      <c r="V41" s="30">
        <f>SUM($S$41:$U$41)</f>
        <v>0</v>
      </c>
      <c r="W41" s="30">
        <f>'TE BE'!$AA$41*'TE BE'!$W$49</f>
        <v>0</v>
      </c>
      <c r="X41" s="30">
        <f>SUM($W$41:$W$41)</f>
        <v>0</v>
      </c>
      <c r="Y41" s="30">
        <f>'TE BE'!$Y$41*'TE BE'!$Y$49</f>
        <v>0</v>
      </c>
      <c r="Z41" s="30">
        <f>SUM($Y$41:$Y$41)</f>
        <v>0</v>
      </c>
      <c r="AA41" s="30">
        <f>SUMIF($L$4:$Z$4,"SUBTOTAL",$L$41:$Z$41)</f>
        <v>31.700621837488086</v>
      </c>
    </row>
    <row r="42" spans="1:27" ht="11.25" customHeight="1" x14ac:dyDescent="0.25">
      <c r="A42" s="138"/>
      <c r="B42" s="138"/>
      <c r="C42" s="138"/>
      <c r="D42" s="32" t="s">
        <v>89</v>
      </c>
      <c r="E42" s="32" t="s">
        <v>25</v>
      </c>
      <c r="F42" s="32" t="s">
        <v>25</v>
      </c>
      <c r="G42" s="32" t="s">
        <v>75</v>
      </c>
      <c r="H42" s="32" t="s">
        <v>71</v>
      </c>
      <c r="I42" s="32">
        <f>'MERCADO TE'!$U$39</f>
        <v>0</v>
      </c>
      <c r="J42" s="17"/>
      <c r="L42" s="30">
        <f>'TE BE'!$L$42*'TE BE'!$L$49</f>
        <v>0</v>
      </c>
      <c r="M42" s="30">
        <f>'TE BE'!$M$42*'TE BE'!$M$49</f>
        <v>0</v>
      </c>
      <c r="N42" s="30">
        <f>'TE BE'!$N$42*'TE BE'!$N$49</f>
        <v>0</v>
      </c>
      <c r="O42" s="30">
        <f>'TE BE'!$O$42*'TE BE'!$O$49</f>
        <v>0</v>
      </c>
      <c r="P42" s="30">
        <f>SUM($L$42:$O$42)</f>
        <v>0</v>
      </c>
      <c r="Q42" s="30">
        <f>'TE BE'!$Q$42*'TE BE'!$Q$49</f>
        <v>34.582496549986999</v>
      </c>
      <c r="R42" s="30">
        <f>SUM($Q$42:$Q$42)</f>
        <v>34.582496549986999</v>
      </c>
      <c r="S42" s="30">
        <f>'TE BE'!$S$42*'TE BE'!$S$49</f>
        <v>0</v>
      </c>
      <c r="T42" s="30">
        <f>'TE BE'!$T$42*'TE BE'!$T$49</f>
        <v>0</v>
      </c>
      <c r="U42" s="30">
        <f>'TE BE'!$U$42*'TE BE'!$U$49</f>
        <v>0</v>
      </c>
      <c r="V42" s="30">
        <f>SUM($S$42:$U$42)</f>
        <v>0</v>
      </c>
      <c r="W42" s="30">
        <f>'TE BE'!$AA$42*'TE BE'!$W$49</f>
        <v>0</v>
      </c>
      <c r="X42" s="30">
        <f>SUM($W$42:$W$42)</f>
        <v>0</v>
      </c>
      <c r="Y42" s="30">
        <f>'TE BE'!$Y$42*'TE BE'!$Y$49</f>
        <v>0</v>
      </c>
      <c r="Z42" s="30">
        <f>SUM($Y$42:$Y$42)</f>
        <v>0</v>
      </c>
      <c r="AA42" s="30">
        <f>SUMIF($L$4:$Z$4,"SUBTOTAL",$L$42:$Z$42)</f>
        <v>34.582496549986999</v>
      </c>
    </row>
    <row r="44" spans="1:27" ht="11.25" customHeight="1" x14ac:dyDescent="0.25">
      <c r="K44" s="37" t="s">
        <v>567</v>
      </c>
      <c r="L44" s="30">
        <f t="shared" ref="L44:AA44" si="0">SUMPRODUCT($I$5:$I$42,L$5:L$42)</f>
        <v>0</v>
      </c>
      <c r="M44" s="30">
        <f t="shared" si="0"/>
        <v>0</v>
      </c>
      <c r="N44" s="30">
        <f t="shared" si="0"/>
        <v>0</v>
      </c>
      <c r="O44" s="30">
        <f t="shared" si="0"/>
        <v>0</v>
      </c>
      <c r="P44" s="30">
        <f t="shared" si="0"/>
        <v>0</v>
      </c>
      <c r="Q44" s="30">
        <f t="shared" si="0"/>
        <v>2389497.9682118199</v>
      </c>
      <c r="R44" s="30">
        <f t="shared" si="0"/>
        <v>2389497.9682118199</v>
      </c>
      <c r="S44" s="30">
        <f t="shared" si="0"/>
        <v>0</v>
      </c>
      <c r="T44" s="30">
        <f t="shared" si="0"/>
        <v>0</v>
      </c>
      <c r="U44" s="30">
        <f t="shared" si="0"/>
        <v>0</v>
      </c>
      <c r="V44" s="30">
        <f t="shared" si="0"/>
        <v>0</v>
      </c>
      <c r="W44" s="30">
        <f t="shared" si="0"/>
        <v>0</v>
      </c>
      <c r="X44" s="30">
        <f t="shared" si="0"/>
        <v>0</v>
      </c>
      <c r="Y44" s="30">
        <f t="shared" si="0"/>
        <v>0</v>
      </c>
      <c r="Z44" s="30">
        <f t="shared" si="0"/>
        <v>0</v>
      </c>
      <c r="AA44" s="30">
        <f t="shared" si="0"/>
        <v>2389497.9682118199</v>
      </c>
    </row>
    <row r="45" spans="1:27" ht="11.25" customHeight="1" x14ac:dyDescent="0.25">
      <c r="K45" s="37" t="s">
        <v>486</v>
      </c>
      <c r="L45" s="30">
        <f>CUSTOS!$D$30</f>
        <v>0</v>
      </c>
      <c r="M45" s="30">
        <f>CUSTOS!$D$31</f>
        <v>0</v>
      </c>
      <c r="N45" s="30">
        <f>CUSTOS!$D$32</f>
        <v>0</v>
      </c>
      <c r="O45" s="30">
        <f>CUSTOS!$D$33</f>
        <v>0</v>
      </c>
      <c r="P45" s="30">
        <f>CUSTOS!$D$34</f>
        <v>0</v>
      </c>
      <c r="Q45" s="30">
        <f>CUSTOS!$D$35</f>
        <v>8422710.0564853679</v>
      </c>
      <c r="R45" s="30">
        <f>CUSTOS!$D$36</f>
        <v>8422710.0564853679</v>
      </c>
      <c r="S45" s="30">
        <f>CUSTOS!$D$37</f>
        <v>0</v>
      </c>
      <c r="T45" s="30">
        <f>CUSTOS!$D$38</f>
        <v>0</v>
      </c>
      <c r="U45" s="30">
        <f>CUSTOS!$D$39</f>
        <v>0</v>
      </c>
      <c r="V45" s="30">
        <f>CUSTOS!$D$40</f>
        <v>0</v>
      </c>
      <c r="W45" s="30">
        <f>CUSTOS!$D$41</f>
        <v>0</v>
      </c>
      <c r="X45" s="30">
        <f>CUSTOS!$D$42</f>
        <v>0</v>
      </c>
      <c r="Y45" s="30">
        <f>CUSTOS!$D$43</f>
        <v>0</v>
      </c>
      <c r="Z45" s="30">
        <f>CUSTOS!$D$44</f>
        <v>0</v>
      </c>
      <c r="AA45" s="30">
        <f>CUSTOS!$D$45</f>
        <v>8422710.0564853679</v>
      </c>
    </row>
    <row r="46" spans="1:27" ht="11.25" customHeight="1" x14ac:dyDescent="0.25">
      <c r="K46" s="37" t="s">
        <v>487</v>
      </c>
      <c r="L46" s="30">
        <f>CUSTOS!$E$30</f>
        <v>0</v>
      </c>
      <c r="M46" s="30">
        <f>CUSTOS!$E$31</f>
        <v>0</v>
      </c>
      <c r="N46" s="30">
        <f>CUSTOS!$E$32</f>
        <v>0</v>
      </c>
      <c r="O46" s="30">
        <f>CUSTOS!$E$33</f>
        <v>0</v>
      </c>
      <c r="P46" s="30">
        <f>CUSTOS!$E$34</f>
        <v>0</v>
      </c>
      <c r="Q46" s="30">
        <f>CUSTOS!$E$35</f>
        <v>2389497.9682118199</v>
      </c>
      <c r="R46" s="30">
        <f>CUSTOS!$E$36</f>
        <v>2389497.9682118199</v>
      </c>
      <c r="S46" s="30">
        <f>CUSTOS!$E$37</f>
        <v>0</v>
      </c>
      <c r="T46" s="30">
        <f>CUSTOS!$E$38</f>
        <v>0</v>
      </c>
      <c r="U46" s="30">
        <f>CUSTOS!$E$39</f>
        <v>0</v>
      </c>
      <c r="V46" s="30">
        <f>CUSTOS!$E$40</f>
        <v>0</v>
      </c>
      <c r="W46" s="30">
        <f>CUSTOS!$E$41</f>
        <v>0</v>
      </c>
      <c r="X46" s="30">
        <f>CUSTOS!$E$42</f>
        <v>0</v>
      </c>
      <c r="Y46" s="30">
        <f>CUSTOS!$E$43</f>
        <v>0</v>
      </c>
      <c r="Z46" s="30">
        <f>CUSTOS!$E$44</f>
        <v>0</v>
      </c>
      <c r="AA46" s="30">
        <f>CUSTOS!$E$45</f>
        <v>2389497.9682118199</v>
      </c>
    </row>
    <row r="47" spans="1:27" ht="11.25" customHeight="1" x14ac:dyDescent="0.25">
      <c r="K47" s="37" t="s">
        <v>488</v>
      </c>
      <c r="L47" s="30">
        <f>CUSTOS!$F$30</f>
        <v>0</v>
      </c>
      <c r="M47" s="30">
        <f>CUSTOS!$F$31</f>
        <v>0</v>
      </c>
      <c r="N47" s="30">
        <f>CUSTOS!$F$32</f>
        <v>0</v>
      </c>
      <c r="O47" s="30">
        <f>CUSTOS!$F$33</f>
        <v>0</v>
      </c>
      <c r="P47" s="30">
        <f>CUSTOS!$F$34</f>
        <v>0</v>
      </c>
      <c r="Q47" s="30">
        <f>CUSTOS!$F$35</f>
        <v>0</v>
      </c>
      <c r="R47" s="30">
        <f>CUSTOS!$F$36</f>
        <v>0</v>
      </c>
      <c r="S47" s="30">
        <f>CUSTOS!$F$37</f>
        <v>0</v>
      </c>
      <c r="T47" s="30">
        <f>CUSTOS!$F$38</f>
        <v>0</v>
      </c>
      <c r="U47" s="30">
        <f>CUSTOS!$F$39</f>
        <v>0</v>
      </c>
      <c r="V47" s="30">
        <f>CUSTOS!$F$40</f>
        <v>0</v>
      </c>
      <c r="W47" s="30">
        <f>CUSTOS!$F$41</f>
        <v>0</v>
      </c>
      <c r="X47" s="30">
        <f>CUSTOS!$F$42</f>
        <v>0</v>
      </c>
      <c r="Y47" s="30">
        <f>CUSTOS!$F$43</f>
        <v>0</v>
      </c>
      <c r="Z47" s="30">
        <f>CUSTOS!$F$44</f>
        <v>0</v>
      </c>
      <c r="AA47" s="30">
        <f>CUSTOS!$F$45</f>
        <v>0</v>
      </c>
    </row>
    <row r="48" spans="1:27" ht="11.25" customHeight="1" x14ac:dyDescent="0.25">
      <c r="K48" s="37" t="s">
        <v>568</v>
      </c>
      <c r="L48" s="30">
        <f>'TR TE'!$L$48*L49</f>
        <v>0</v>
      </c>
      <c r="M48" s="30">
        <f>'TR TE'!$M$48*M49</f>
        <v>0</v>
      </c>
      <c r="N48" s="30">
        <f>'TR TE'!$N$48*N49</f>
        <v>0</v>
      </c>
      <c r="O48" s="30">
        <f>'TR TE'!$O$48*O49</f>
        <v>0</v>
      </c>
      <c r="P48" s="30"/>
      <c r="Q48" s="30">
        <f>'TR TE'!$Q$48*Q49</f>
        <v>0</v>
      </c>
      <c r="R48" s="30"/>
      <c r="S48" s="30">
        <f>'TR TE'!$S$48*S49</f>
        <v>0</v>
      </c>
      <c r="T48" s="30">
        <f>'TR TE'!$T$48*T49</f>
        <v>0</v>
      </c>
      <c r="U48" s="30">
        <f>'TR TE'!$U$48*U49</f>
        <v>0</v>
      </c>
      <c r="V48" s="30"/>
      <c r="W48" s="30"/>
      <c r="X48" s="30"/>
      <c r="Y48" s="30">
        <f>'TR TE'!$Y$48*Y49</f>
        <v>0</v>
      </c>
      <c r="Z48" s="30"/>
      <c r="AA48" s="30"/>
    </row>
    <row r="49" spans="11:27" ht="11.25" customHeight="1" x14ac:dyDescent="0.25">
      <c r="K49" s="37" t="s">
        <v>563</v>
      </c>
      <c r="L49" s="30">
        <f>IF(L45&lt;&gt;0,L47/L45,0)</f>
        <v>0</v>
      </c>
      <c r="M49" s="30">
        <f>IF(M45&lt;&gt;0,M47/M45,0)</f>
        <v>0</v>
      </c>
      <c r="N49" s="30">
        <f>IF(N45&lt;&gt;0,N47/N45,0)</f>
        <v>0</v>
      </c>
      <c r="O49" s="30">
        <f>IF(O45&lt;&gt;0,O47/O45,0)</f>
        <v>0</v>
      </c>
      <c r="P49" s="30"/>
      <c r="Q49" s="30">
        <f>IF(Q45&lt;&gt;0,Q47/Q45,0)</f>
        <v>0</v>
      </c>
      <c r="R49" s="30"/>
      <c r="S49" s="30">
        <f>IF(S45&lt;&gt;0,S47/S45,0)</f>
        <v>0</v>
      </c>
      <c r="T49" s="30">
        <f>IF(T45&lt;&gt;0,T47/T45,0)</f>
        <v>0</v>
      </c>
      <c r="U49" s="30">
        <f>IF(U45&lt;&gt;0,U47/U45,0)</f>
        <v>0</v>
      </c>
      <c r="V49" s="30"/>
      <c r="W49" s="30">
        <f>IF($AA45&lt;&gt;0,W47/($AA45-SUM('TR TE'!$L48:'TR TE'!$Z48)*0),0)</f>
        <v>0</v>
      </c>
      <c r="X49" s="30"/>
      <c r="Y49" s="30">
        <f>IF(Y45&lt;&gt;0,Y47/Y45,0)</f>
        <v>0</v>
      </c>
      <c r="Z49" s="30"/>
      <c r="AA49" s="30"/>
    </row>
    <row r="50" spans="11:27" ht="11.25" customHeight="1" x14ac:dyDescent="0.25"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</row>
  </sheetData>
  <mergeCells count="61">
    <mergeCell ref="E36:E38"/>
    <mergeCell ref="F36:F38"/>
    <mergeCell ref="A41:A42"/>
    <mergeCell ref="B41:B42"/>
    <mergeCell ref="C41:C42"/>
    <mergeCell ref="D36:D38"/>
    <mergeCell ref="B33:B35"/>
    <mergeCell ref="C33:C35"/>
    <mergeCell ref="A36:A40"/>
    <mergeCell ref="B36:B38"/>
    <mergeCell ref="C36:C38"/>
    <mergeCell ref="A21:A35"/>
    <mergeCell ref="B21:B23"/>
    <mergeCell ref="C21:C23"/>
    <mergeCell ref="B29:B31"/>
    <mergeCell ref="C29:C31"/>
    <mergeCell ref="B25:B27"/>
    <mergeCell ref="C25:C27"/>
    <mergeCell ref="D29:D31"/>
    <mergeCell ref="E29:E31"/>
    <mergeCell ref="F29:F31"/>
    <mergeCell ref="D21:D23"/>
    <mergeCell ref="E21:E23"/>
    <mergeCell ref="F21:F23"/>
    <mergeCell ref="D25:D27"/>
    <mergeCell ref="E25:E27"/>
    <mergeCell ref="F25:F27"/>
    <mergeCell ref="A8:A20"/>
    <mergeCell ref="B8:B10"/>
    <mergeCell ref="C8:C10"/>
    <mergeCell ref="D8:D10"/>
    <mergeCell ref="E8:E10"/>
    <mergeCell ref="F8:F10"/>
    <mergeCell ref="B11:B15"/>
    <mergeCell ref="C11:C15"/>
    <mergeCell ref="B16:B20"/>
    <mergeCell ref="C16:C20"/>
    <mergeCell ref="Y3:Z3"/>
    <mergeCell ref="AA3:AA4"/>
    <mergeCell ref="A5:A7"/>
    <mergeCell ref="B5:B6"/>
    <mergeCell ref="C5:C6"/>
    <mergeCell ref="D5:D6"/>
    <mergeCell ref="E5:E6"/>
    <mergeCell ref="F5:F6"/>
    <mergeCell ref="G1:G4"/>
    <mergeCell ref="H1:H4"/>
    <mergeCell ref="I1:I4"/>
    <mergeCell ref="J1:J4"/>
    <mergeCell ref="L1:AA1"/>
    <mergeCell ref="L2:AA2"/>
    <mergeCell ref="L3:P3"/>
    <mergeCell ref="Q3:R3"/>
    <mergeCell ref="S3:V3"/>
    <mergeCell ref="W3:X3"/>
    <mergeCell ref="A1:A4"/>
    <mergeCell ref="B1:B4"/>
    <mergeCell ref="C1:C4"/>
    <mergeCell ref="D1:D4"/>
    <mergeCell ref="E1:E4"/>
    <mergeCell ref="F1:F4"/>
  </mergeCells>
  <conditionalFormatting sqref="L44">
    <cfRule type="cellIs" dxfId="645" priority="31" operator="notEqual">
      <formula>$L$46</formula>
    </cfRule>
    <cfRule type="cellIs" dxfId="644" priority="32" operator="equal">
      <formula>$L$46</formula>
    </cfRule>
  </conditionalFormatting>
  <conditionalFormatting sqref="M44">
    <cfRule type="cellIs" dxfId="643" priority="29" operator="notEqual">
      <formula>$M$46</formula>
    </cfRule>
    <cfRule type="cellIs" dxfId="642" priority="30" operator="equal">
      <formula>$M$46</formula>
    </cfRule>
  </conditionalFormatting>
  <conditionalFormatting sqref="N44">
    <cfRule type="cellIs" dxfId="641" priority="27" operator="notEqual">
      <formula>$N$46</formula>
    </cfRule>
    <cfRule type="cellIs" dxfId="640" priority="28" operator="equal">
      <formula>$N$46</formula>
    </cfRule>
  </conditionalFormatting>
  <conditionalFormatting sqref="O44">
    <cfRule type="cellIs" dxfId="639" priority="25" operator="notEqual">
      <formula>$O$46</formula>
    </cfRule>
    <cfRule type="cellIs" dxfId="638" priority="26" operator="equal">
      <formula>$O$46</formula>
    </cfRule>
  </conditionalFormatting>
  <conditionalFormatting sqref="P44">
    <cfRule type="cellIs" dxfId="637" priority="23" operator="notEqual">
      <formula>$P$46</formula>
    </cfRule>
    <cfRule type="cellIs" dxfId="636" priority="24" operator="equal">
      <formula>$P$46</formula>
    </cfRule>
  </conditionalFormatting>
  <conditionalFormatting sqref="Q44">
    <cfRule type="cellIs" dxfId="635" priority="21" operator="notEqual">
      <formula>$Q$46</formula>
    </cfRule>
    <cfRule type="cellIs" dxfId="634" priority="22" operator="equal">
      <formula>$Q$46</formula>
    </cfRule>
  </conditionalFormatting>
  <conditionalFormatting sqref="R44">
    <cfRule type="cellIs" dxfId="633" priority="19" operator="notEqual">
      <formula>$R$46</formula>
    </cfRule>
    <cfRule type="cellIs" dxfId="632" priority="20" operator="equal">
      <formula>$R$46</formula>
    </cfRule>
  </conditionalFormatting>
  <conditionalFormatting sqref="S44">
    <cfRule type="cellIs" dxfId="631" priority="17" operator="notEqual">
      <formula>$S$46</formula>
    </cfRule>
    <cfRule type="cellIs" dxfId="630" priority="18" operator="equal">
      <formula>$S$46</formula>
    </cfRule>
  </conditionalFormatting>
  <conditionalFormatting sqref="T44">
    <cfRule type="cellIs" dxfId="629" priority="15" operator="notEqual">
      <formula>$T$46</formula>
    </cfRule>
    <cfRule type="cellIs" dxfId="628" priority="16" operator="equal">
      <formula>$T$46</formula>
    </cfRule>
  </conditionalFormatting>
  <conditionalFormatting sqref="U44">
    <cfRule type="cellIs" dxfId="627" priority="13" operator="notEqual">
      <formula>$U$46</formula>
    </cfRule>
    <cfRule type="cellIs" dxfId="626" priority="14" operator="equal">
      <formula>$U$46</formula>
    </cfRule>
  </conditionalFormatting>
  <conditionalFormatting sqref="V44">
    <cfRule type="cellIs" dxfId="625" priority="11" operator="notEqual">
      <formula>$V$46</formula>
    </cfRule>
    <cfRule type="cellIs" dxfId="624" priority="12" operator="equal">
      <formula>$V$46</formula>
    </cfRule>
  </conditionalFormatting>
  <conditionalFormatting sqref="W44">
    <cfRule type="cellIs" dxfId="623" priority="9" operator="notEqual">
      <formula>$W$46</formula>
    </cfRule>
    <cfRule type="cellIs" dxfId="622" priority="10" operator="equal">
      <formula>$W$46</formula>
    </cfRule>
  </conditionalFormatting>
  <conditionalFormatting sqref="X44">
    <cfRule type="cellIs" dxfId="621" priority="7" operator="notEqual">
      <formula>$X$46</formula>
    </cfRule>
    <cfRule type="cellIs" dxfId="620" priority="8" operator="equal">
      <formula>$X$46</formula>
    </cfRule>
  </conditionalFormatting>
  <conditionalFormatting sqref="Y44">
    <cfRule type="cellIs" dxfId="619" priority="5" operator="notEqual">
      <formula>$Y$46</formula>
    </cfRule>
    <cfRule type="cellIs" dxfId="618" priority="6" operator="equal">
      <formula>$Y$46</formula>
    </cfRule>
  </conditionalFormatting>
  <conditionalFormatting sqref="Z44">
    <cfRule type="cellIs" dxfId="617" priority="3" operator="notEqual">
      <formula>$Z$46</formula>
    </cfRule>
    <cfRule type="cellIs" dxfId="616" priority="4" operator="equal">
      <formula>$Z$46</formula>
    </cfRule>
  </conditionalFormatting>
  <conditionalFormatting sqref="AA44">
    <cfRule type="cellIs" dxfId="615" priority="1" operator="notEqual">
      <formula>$AA$46</formula>
    </cfRule>
    <cfRule type="cellIs" dxfId="614" priority="2" operator="equal">
      <formula>$AA$46</formula>
    </cfRule>
  </conditionalFormatting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C11E75-ED6E-494A-B09E-31D904F728A2}">
  <dimension ref="A1:AA50"/>
  <sheetViews>
    <sheetView showGridLines="0" topLeftCell="K1" workbookViewId="0">
      <selection activeCell="AA44" sqref="AA44"/>
    </sheetView>
  </sheetViews>
  <sheetFormatPr defaultRowHeight="11.25" customHeight="1" x14ac:dyDescent="0.25"/>
  <cols>
    <col min="1" max="1" width="9.28515625" style="9" bestFit="1" customWidth="1"/>
    <col min="2" max="2" width="27.140625" style="9" bestFit="1" customWidth="1"/>
    <col min="3" max="3" width="13.5703125" style="9" bestFit="1" customWidth="1"/>
    <col min="4" max="4" width="25.140625" style="9" bestFit="1" customWidth="1"/>
    <col min="5" max="6" width="10.28515625" style="9" bestFit="1" customWidth="1"/>
    <col min="7" max="7" width="6.28515625" style="9" bestFit="1" customWidth="1"/>
    <col min="8" max="8" width="7.42578125" style="9" bestFit="1" customWidth="1"/>
    <col min="9" max="9" width="7.85546875" style="9" bestFit="1" customWidth="1"/>
    <col min="10" max="10" width="9.140625" style="9"/>
    <col min="11" max="11" width="14.28515625" style="9" bestFit="1" customWidth="1"/>
    <col min="12" max="14" width="7.85546875" style="9" bestFit="1" customWidth="1"/>
    <col min="15" max="15" width="11.140625" style="9" bestFit="1" customWidth="1"/>
    <col min="16" max="16" width="9.28515625" style="9" bestFit="1" customWidth="1"/>
    <col min="17" max="17" width="15" style="9" bestFit="1" customWidth="1"/>
    <col min="18" max="18" width="10" style="9" bestFit="1" customWidth="1"/>
    <col min="19" max="19" width="7.85546875" style="9" bestFit="1" customWidth="1"/>
    <col min="20" max="20" width="10.42578125" style="9" bestFit="1" customWidth="1"/>
    <col min="21" max="21" width="7.85546875" style="9" bestFit="1" customWidth="1"/>
    <col min="22" max="22" width="9.28515625" style="9" bestFit="1" customWidth="1"/>
    <col min="23" max="23" width="8" style="9" bestFit="1" customWidth="1"/>
    <col min="24" max="24" width="9.28515625" style="9" bestFit="1" customWidth="1"/>
    <col min="25" max="25" width="11" style="9" bestFit="1" customWidth="1"/>
    <col min="26" max="26" width="9.28515625" style="9" bestFit="1" customWidth="1"/>
    <col min="27" max="27" width="10" style="9" bestFit="1" customWidth="1"/>
    <col min="28" max="16384" width="9.140625" style="9"/>
  </cols>
  <sheetData>
    <row r="1" spans="1:27" ht="11.25" customHeight="1" x14ac:dyDescent="0.25">
      <c r="A1" s="139" t="s">
        <v>61</v>
      </c>
      <c r="B1" s="139" t="s">
        <v>62</v>
      </c>
      <c r="C1" s="139" t="s">
        <v>63</v>
      </c>
      <c r="D1" s="139" t="s">
        <v>64</v>
      </c>
      <c r="E1" s="139" t="s">
        <v>65</v>
      </c>
      <c r="F1" s="139" t="s">
        <v>15</v>
      </c>
      <c r="G1" s="139" t="s">
        <v>67</v>
      </c>
      <c r="H1" s="139" t="s">
        <v>68</v>
      </c>
      <c r="I1" s="139" t="s">
        <v>545</v>
      </c>
      <c r="J1" s="124"/>
      <c r="L1" s="140" t="s">
        <v>573</v>
      </c>
      <c r="M1" s="140"/>
      <c r="N1" s="140"/>
      <c r="O1" s="140"/>
      <c r="P1" s="140"/>
      <c r="Q1" s="140"/>
      <c r="R1" s="140"/>
      <c r="S1" s="140"/>
      <c r="T1" s="140"/>
      <c r="U1" s="140"/>
      <c r="V1" s="140"/>
      <c r="W1" s="140"/>
      <c r="X1" s="140"/>
      <c r="Y1" s="140"/>
      <c r="Z1" s="140"/>
      <c r="AA1" s="140"/>
    </row>
    <row r="2" spans="1:27" ht="11.25" customHeight="1" x14ac:dyDescent="0.25">
      <c r="A2" s="139"/>
      <c r="B2" s="139"/>
      <c r="C2" s="139"/>
      <c r="D2" s="139"/>
      <c r="E2" s="139"/>
      <c r="F2" s="139"/>
      <c r="G2" s="139"/>
      <c r="H2" s="139"/>
      <c r="I2" s="139"/>
      <c r="J2" s="124"/>
      <c r="L2" s="140" t="s">
        <v>473</v>
      </c>
      <c r="M2" s="140"/>
      <c r="N2" s="140"/>
      <c r="O2" s="140"/>
      <c r="P2" s="140"/>
      <c r="Q2" s="140"/>
      <c r="R2" s="140"/>
      <c r="S2" s="140"/>
      <c r="T2" s="140"/>
      <c r="U2" s="140"/>
      <c r="V2" s="140"/>
      <c r="W2" s="140"/>
      <c r="X2" s="140"/>
      <c r="Y2" s="140"/>
      <c r="Z2" s="140"/>
      <c r="AA2" s="140"/>
    </row>
    <row r="3" spans="1:27" ht="11.25" customHeight="1" x14ac:dyDescent="0.25">
      <c r="A3" s="139"/>
      <c r="B3" s="139"/>
      <c r="C3" s="139"/>
      <c r="D3" s="139"/>
      <c r="E3" s="139"/>
      <c r="F3" s="139"/>
      <c r="G3" s="139"/>
      <c r="H3" s="139"/>
      <c r="I3" s="139"/>
      <c r="J3" s="124"/>
      <c r="L3" s="140" t="s">
        <v>446</v>
      </c>
      <c r="M3" s="140"/>
      <c r="N3" s="140"/>
      <c r="O3" s="140"/>
      <c r="P3" s="140"/>
      <c r="Q3" s="140" t="s">
        <v>476</v>
      </c>
      <c r="R3" s="140"/>
      <c r="S3" s="140" t="s">
        <v>455</v>
      </c>
      <c r="T3" s="140"/>
      <c r="U3" s="140"/>
      <c r="V3" s="140"/>
      <c r="W3" s="140" t="s">
        <v>465</v>
      </c>
      <c r="X3" s="140"/>
      <c r="Y3" s="140" t="s">
        <v>468</v>
      </c>
      <c r="Z3" s="140"/>
      <c r="AA3" s="140" t="s">
        <v>454</v>
      </c>
    </row>
    <row r="4" spans="1:27" ht="11.25" customHeight="1" x14ac:dyDescent="0.25">
      <c r="A4" s="139"/>
      <c r="B4" s="139"/>
      <c r="C4" s="139"/>
      <c r="D4" s="139"/>
      <c r="E4" s="139"/>
      <c r="F4" s="139"/>
      <c r="G4" s="139"/>
      <c r="H4" s="139"/>
      <c r="I4" s="139"/>
      <c r="J4" s="124"/>
      <c r="L4" s="36" t="s">
        <v>448</v>
      </c>
      <c r="M4" s="36" t="s">
        <v>474</v>
      </c>
      <c r="N4" s="36" t="s">
        <v>475</v>
      </c>
      <c r="O4" s="36" t="s">
        <v>533</v>
      </c>
      <c r="P4" s="36" t="s">
        <v>454</v>
      </c>
      <c r="Q4" s="36" t="s">
        <v>477</v>
      </c>
      <c r="R4" s="36" t="s">
        <v>454</v>
      </c>
      <c r="S4" s="36" t="s">
        <v>478</v>
      </c>
      <c r="T4" s="36" t="s">
        <v>479</v>
      </c>
      <c r="U4" s="36" t="s">
        <v>480</v>
      </c>
      <c r="V4" s="36" t="s">
        <v>454</v>
      </c>
      <c r="W4" s="36" t="s">
        <v>466</v>
      </c>
      <c r="X4" s="36" t="s">
        <v>454</v>
      </c>
      <c r="Y4" s="36" t="s">
        <v>481</v>
      </c>
      <c r="Z4" s="36" t="s">
        <v>454</v>
      </c>
      <c r="AA4" s="141"/>
    </row>
    <row r="5" spans="1:27" ht="11.25" customHeight="1" x14ac:dyDescent="0.25">
      <c r="A5" s="138" t="s">
        <v>33</v>
      </c>
      <c r="B5" s="138" t="s">
        <v>70</v>
      </c>
      <c r="C5" s="138" t="s">
        <v>25</v>
      </c>
      <c r="D5" s="138" t="s">
        <v>25</v>
      </c>
      <c r="E5" s="138" t="s">
        <v>25</v>
      </c>
      <c r="F5" s="138" t="s">
        <v>25</v>
      </c>
      <c r="G5" s="32" t="s">
        <v>72</v>
      </c>
      <c r="H5" s="32" t="s">
        <v>71</v>
      </c>
      <c r="I5" s="32">
        <f>'MERCADO TE'!$U$2</f>
        <v>119.02</v>
      </c>
      <c r="J5" s="17"/>
      <c r="L5" s="30">
        <f>'TE BE'!$L$5*'TE BF'!$L$49</f>
        <v>0</v>
      </c>
      <c r="M5" s="30">
        <f>'TE BE'!$M$5*'TE BF'!$M$49</f>
        <v>0</v>
      </c>
      <c r="N5" s="30">
        <f>'TE BE'!$N$5*'TE BF'!$N$49</f>
        <v>0</v>
      </c>
      <c r="O5" s="30">
        <f>'TE BE'!$O$5*'TE BF'!$O$49</f>
        <v>0</v>
      </c>
      <c r="P5" s="30">
        <f>SUM($L$5:$O$5)</f>
        <v>0</v>
      </c>
      <c r="Q5" s="30">
        <f>'TE BE'!$Q$5*'TE BF'!$Q$49</f>
        <v>0</v>
      </c>
      <c r="R5" s="30">
        <f>SUM($Q$5:$Q$5)</f>
        <v>0</v>
      </c>
      <c r="S5" s="30">
        <f>'TE BE'!$S$5*'TE BF'!$S$49</f>
        <v>0</v>
      </c>
      <c r="T5" s="30">
        <f>'TE BE'!$T$5*'TE BF'!$T$49</f>
        <v>0</v>
      </c>
      <c r="U5" s="30">
        <f>'TE BE'!$U$5*'TE BF'!$U$49</f>
        <v>0</v>
      </c>
      <c r="V5" s="30">
        <f>SUM($S$5:$U$5)</f>
        <v>0</v>
      </c>
      <c r="W5" s="30">
        <f>'TE BE'!$AA$5*'TE BF'!$W$49</f>
        <v>0</v>
      </c>
      <c r="X5" s="30">
        <f>SUM($W$5:$W$5)</f>
        <v>0</v>
      </c>
      <c r="Y5" s="30">
        <f>'TE BE'!$Y$5*'TE BF'!$Y$49</f>
        <v>0</v>
      </c>
      <c r="Z5" s="30">
        <f>SUM($Y$5:$Y$5)</f>
        <v>0</v>
      </c>
      <c r="AA5" s="30">
        <f>SUMIF($L$4:$Z$4,"SUBTOTAL",$L$5:$Z$5)</f>
        <v>0</v>
      </c>
    </row>
    <row r="6" spans="1:27" ht="11.25" customHeight="1" x14ac:dyDescent="0.25">
      <c r="A6" s="138"/>
      <c r="B6" s="138"/>
      <c r="C6" s="138"/>
      <c r="D6" s="138"/>
      <c r="E6" s="138"/>
      <c r="F6" s="138"/>
      <c r="G6" s="32" t="s">
        <v>73</v>
      </c>
      <c r="H6" s="32" t="s">
        <v>71</v>
      </c>
      <c r="I6" s="32">
        <f>'MERCADO TE'!$U$3</f>
        <v>3902.4649999999997</v>
      </c>
      <c r="J6" s="17"/>
      <c r="L6" s="30">
        <f>'TE BE'!$L$6*'TE BF'!$L$49</f>
        <v>0</v>
      </c>
      <c r="M6" s="30">
        <f>'TE BE'!$M$6*'TE BF'!$M$49</f>
        <v>0</v>
      </c>
      <c r="N6" s="30">
        <f>'TE BE'!$N$6*'TE BF'!$N$49</f>
        <v>0</v>
      </c>
      <c r="O6" s="30">
        <f>'TE BE'!$O$6*'TE BF'!$O$49</f>
        <v>0</v>
      </c>
      <c r="P6" s="30">
        <f>SUM($L$6:$O$6)</f>
        <v>0</v>
      </c>
      <c r="Q6" s="30">
        <f>'TE BE'!$Q$6*'TE BF'!$Q$49</f>
        <v>0</v>
      </c>
      <c r="R6" s="30">
        <f>SUM($Q$6:$Q$6)</f>
        <v>0</v>
      </c>
      <c r="S6" s="30">
        <f>'TE BE'!$S$6*'TE BF'!$S$49</f>
        <v>0</v>
      </c>
      <c r="T6" s="30">
        <f>'TE BE'!$T$6*'TE BF'!$T$49</f>
        <v>0</v>
      </c>
      <c r="U6" s="30">
        <f>'TE BE'!$U$6*'TE BF'!$U$49</f>
        <v>0</v>
      </c>
      <c r="V6" s="30">
        <f>SUM($S$6:$U$6)</f>
        <v>0</v>
      </c>
      <c r="W6" s="30">
        <f>'TE BE'!$AA$6*'TE BF'!$W$49</f>
        <v>0</v>
      </c>
      <c r="X6" s="30">
        <f>SUM($W$6:$W$6)</f>
        <v>0</v>
      </c>
      <c r="Y6" s="30">
        <f>'TE BE'!$Y$6*'TE BF'!$Y$49</f>
        <v>0</v>
      </c>
      <c r="Z6" s="30">
        <f>SUM($Y$6:$Y$6)</f>
        <v>0</v>
      </c>
      <c r="AA6" s="30">
        <f>SUMIF($L$4:$Z$4,"SUBTOTAL",$L$6:$Z$6)</f>
        <v>0</v>
      </c>
    </row>
    <row r="7" spans="1:27" ht="11.25" customHeight="1" x14ac:dyDescent="0.25">
      <c r="A7" s="138"/>
      <c r="B7" s="38" t="s">
        <v>74</v>
      </c>
      <c r="C7" s="38" t="s">
        <v>25</v>
      </c>
      <c r="D7" s="38" t="s">
        <v>25</v>
      </c>
      <c r="E7" s="38" t="s">
        <v>25</v>
      </c>
      <c r="F7" s="38" t="s">
        <v>25</v>
      </c>
      <c r="G7" s="32" t="s">
        <v>75</v>
      </c>
      <c r="H7" s="32" t="s">
        <v>71</v>
      </c>
      <c r="I7" s="32">
        <f>'MERCADO TE'!$U$4</f>
        <v>0</v>
      </c>
      <c r="J7" s="17"/>
      <c r="L7" s="30">
        <f>'TE BE'!$L$7*'TE BF'!$L$49</f>
        <v>0</v>
      </c>
      <c r="M7" s="30">
        <f>'TE BE'!$M$7*'TE BF'!$M$49</f>
        <v>0</v>
      </c>
      <c r="N7" s="30">
        <f>'TE BE'!$N$7*'TE BF'!$N$49</f>
        <v>0</v>
      </c>
      <c r="O7" s="30">
        <f>'TE BE'!$O$7*'TE BF'!$O$49</f>
        <v>0</v>
      </c>
      <c r="P7" s="30">
        <f>SUM($L$7:$O$7)</f>
        <v>0</v>
      </c>
      <c r="Q7" s="30">
        <f>'TE BE'!$Q$7*'TE BF'!$Q$49</f>
        <v>0</v>
      </c>
      <c r="R7" s="30">
        <f>SUM($Q$7:$Q$7)</f>
        <v>0</v>
      </c>
      <c r="S7" s="30">
        <f>'TE BE'!$S$7*'TE BF'!$S$49</f>
        <v>0</v>
      </c>
      <c r="T7" s="30">
        <f>'TE BE'!$T$7*'TE BF'!$T$49</f>
        <v>0</v>
      </c>
      <c r="U7" s="30">
        <f>'TE BE'!$U$7*'TE BF'!$U$49</f>
        <v>0</v>
      </c>
      <c r="V7" s="30">
        <f>SUM($S$7:$U$7)</f>
        <v>0</v>
      </c>
      <c r="W7" s="30">
        <f>'TE BE'!$AA$7*'TE BF'!$W$49</f>
        <v>0</v>
      </c>
      <c r="X7" s="30">
        <f>SUM($W$7:$W$7)</f>
        <v>0</v>
      </c>
      <c r="Y7" s="30">
        <f>'TE BE'!$Y$7*'TE BF'!$Y$49</f>
        <v>0</v>
      </c>
      <c r="Z7" s="30">
        <f>SUM($Y$7:$Y$7)</f>
        <v>0</v>
      </c>
      <c r="AA7" s="30">
        <f>SUMIF($L$4:$Z$4,"SUBTOTAL",$L$7:$Z$7)</f>
        <v>0</v>
      </c>
    </row>
    <row r="8" spans="1:27" ht="11.25" customHeight="1" x14ac:dyDescent="0.25">
      <c r="A8" s="138" t="s">
        <v>22</v>
      </c>
      <c r="B8" s="138" t="s">
        <v>70</v>
      </c>
      <c r="C8" s="138" t="s">
        <v>24</v>
      </c>
      <c r="D8" s="138" t="s">
        <v>24</v>
      </c>
      <c r="E8" s="138" t="s">
        <v>25</v>
      </c>
      <c r="F8" s="138" t="s">
        <v>25</v>
      </c>
      <c r="G8" s="32" t="s">
        <v>72</v>
      </c>
      <c r="H8" s="32" t="s">
        <v>71</v>
      </c>
      <c r="I8" s="32">
        <f>'MERCADO TE'!$U$5</f>
        <v>2.3139999999999996</v>
      </c>
      <c r="J8" s="17"/>
      <c r="L8" s="30">
        <f>'TE BE'!$L$8*'TE BF'!$L$49</f>
        <v>0</v>
      </c>
      <c r="M8" s="30">
        <f>'TE BE'!$M$8*'TE BF'!$M$49</f>
        <v>0</v>
      </c>
      <c r="N8" s="30">
        <f>'TE BE'!$N$8*'TE BF'!$N$49</f>
        <v>0</v>
      </c>
      <c r="O8" s="30">
        <f>'TE BE'!$O$8*'TE BF'!$O$49</f>
        <v>0</v>
      </c>
      <c r="P8" s="30">
        <f>SUM($L$8:$O$8)</f>
        <v>0</v>
      </c>
      <c r="Q8" s="30">
        <f>'TE BE'!$Q$8*'TE BF'!$Q$49</f>
        <v>0</v>
      </c>
      <c r="R8" s="30">
        <f>SUM($Q$8:$Q$8)</f>
        <v>0</v>
      </c>
      <c r="S8" s="30">
        <f>'TE BE'!$S$8*'TE BF'!$S$49</f>
        <v>0</v>
      </c>
      <c r="T8" s="30">
        <f>'TE BE'!$T$8*'TE BF'!$T$49</f>
        <v>0</v>
      </c>
      <c r="U8" s="30">
        <f>'TE BE'!$U$8*'TE BF'!$U$49</f>
        <v>0</v>
      </c>
      <c r="V8" s="30">
        <f>SUM($S$8:$U$8)</f>
        <v>0</v>
      </c>
      <c r="W8" s="30">
        <f>'TE BE'!$AA$8*'TE BF'!$W$49</f>
        <v>0</v>
      </c>
      <c r="X8" s="30">
        <f>SUM($W$8:$W$8)</f>
        <v>0</v>
      </c>
      <c r="Y8" s="30">
        <f>'TE BE'!$Y$8*'TE BF'!$Y$49</f>
        <v>0</v>
      </c>
      <c r="Z8" s="30">
        <f>SUM($Y$8:$Y$8)</f>
        <v>0</v>
      </c>
      <c r="AA8" s="30">
        <f>SUMIF($L$4:$Z$4,"SUBTOTAL",$L$8:$Z$8)</f>
        <v>0</v>
      </c>
    </row>
    <row r="9" spans="1:27" ht="11.25" customHeight="1" x14ac:dyDescent="0.25">
      <c r="A9" s="138"/>
      <c r="B9" s="138"/>
      <c r="C9" s="138"/>
      <c r="D9" s="138"/>
      <c r="E9" s="138"/>
      <c r="F9" s="138"/>
      <c r="G9" s="32" t="s">
        <v>84</v>
      </c>
      <c r="H9" s="32" t="s">
        <v>71</v>
      </c>
      <c r="I9" s="32">
        <f>'MERCADO TE'!$U$6</f>
        <v>1.2229999999999999</v>
      </c>
      <c r="J9" s="17"/>
      <c r="L9" s="30">
        <f>'TE BE'!$L$9*'TE BF'!$L$49</f>
        <v>0</v>
      </c>
      <c r="M9" s="30">
        <f>'TE BE'!$M$9*'TE BF'!$M$49</f>
        <v>0</v>
      </c>
      <c r="N9" s="30">
        <f>'TE BE'!$N$9*'TE BF'!$N$49</f>
        <v>0</v>
      </c>
      <c r="O9" s="30">
        <f>'TE BE'!$O$9*'TE BF'!$O$49</f>
        <v>0</v>
      </c>
      <c r="P9" s="30">
        <f>SUM($L$9:$O$9)</f>
        <v>0</v>
      </c>
      <c r="Q9" s="30">
        <f>'TE BE'!$Q$9*'TE BF'!$Q$49</f>
        <v>0</v>
      </c>
      <c r="R9" s="30">
        <f>SUM($Q$9:$Q$9)</f>
        <v>0</v>
      </c>
      <c r="S9" s="30">
        <f>'TE BE'!$S$9*'TE BF'!$S$49</f>
        <v>0</v>
      </c>
      <c r="T9" s="30">
        <f>'TE BE'!$T$9*'TE BF'!$T$49</f>
        <v>0</v>
      </c>
      <c r="U9" s="30">
        <f>'TE BE'!$U$9*'TE BF'!$U$49</f>
        <v>0</v>
      </c>
      <c r="V9" s="30">
        <f>SUM($S$9:$U$9)</f>
        <v>0</v>
      </c>
      <c r="W9" s="30">
        <f>'TE BE'!$AA$9*'TE BF'!$W$49</f>
        <v>0</v>
      </c>
      <c r="X9" s="30">
        <f>SUM($W$9:$W$9)</f>
        <v>0</v>
      </c>
      <c r="Y9" s="30">
        <f>'TE BE'!$Y$9*'TE BF'!$Y$49</f>
        <v>0</v>
      </c>
      <c r="Z9" s="30">
        <f>SUM($Y$9:$Y$9)</f>
        <v>0</v>
      </c>
      <c r="AA9" s="30">
        <f>SUMIF($L$4:$Z$4,"SUBTOTAL",$L$9:$Z$9)</f>
        <v>0</v>
      </c>
    </row>
    <row r="10" spans="1:27" ht="11.25" customHeight="1" x14ac:dyDescent="0.25">
      <c r="A10" s="138"/>
      <c r="B10" s="138"/>
      <c r="C10" s="138"/>
      <c r="D10" s="138"/>
      <c r="E10" s="138"/>
      <c r="F10" s="138"/>
      <c r="G10" s="32" t="s">
        <v>73</v>
      </c>
      <c r="H10" s="32" t="s">
        <v>71</v>
      </c>
      <c r="I10" s="32">
        <f>'MERCADO TE'!$U$7</f>
        <v>15.786</v>
      </c>
      <c r="J10" s="17"/>
      <c r="L10" s="30">
        <f>'TE BE'!$L$10*'TE BF'!$L$49</f>
        <v>0</v>
      </c>
      <c r="M10" s="30">
        <f>'TE BE'!$M$10*'TE BF'!$M$49</f>
        <v>0</v>
      </c>
      <c r="N10" s="30">
        <f>'TE BE'!$N$10*'TE BF'!$N$49</f>
        <v>0</v>
      </c>
      <c r="O10" s="30">
        <f>'TE BE'!$O$10*'TE BF'!$O$49</f>
        <v>0</v>
      </c>
      <c r="P10" s="30">
        <f>SUM($L$10:$O$10)</f>
        <v>0</v>
      </c>
      <c r="Q10" s="30">
        <f>'TE BE'!$Q$10*'TE BF'!$Q$49</f>
        <v>0</v>
      </c>
      <c r="R10" s="30">
        <f>SUM($Q$10:$Q$10)</f>
        <v>0</v>
      </c>
      <c r="S10" s="30">
        <f>'TE BE'!$S$10*'TE BF'!$S$49</f>
        <v>0</v>
      </c>
      <c r="T10" s="30">
        <f>'TE BE'!$T$10*'TE BF'!$T$49</f>
        <v>0</v>
      </c>
      <c r="U10" s="30">
        <f>'TE BE'!$U$10*'TE BF'!$U$49</f>
        <v>0</v>
      </c>
      <c r="V10" s="30">
        <f>SUM($S$10:$U$10)</f>
        <v>0</v>
      </c>
      <c r="W10" s="30">
        <f>'TE BE'!$AA$10*'TE BF'!$W$49</f>
        <v>0</v>
      </c>
      <c r="X10" s="30">
        <f>SUM($W$10:$W$10)</f>
        <v>0</v>
      </c>
      <c r="Y10" s="30">
        <f>'TE BE'!$Y$10*'TE BF'!$Y$49</f>
        <v>0</v>
      </c>
      <c r="Z10" s="30">
        <f>SUM($Y$10:$Y$10)</f>
        <v>0</v>
      </c>
      <c r="AA10" s="30">
        <f>SUMIF($L$4:$Z$4,"SUBTOTAL",$L$10:$Z$10)</f>
        <v>0</v>
      </c>
    </row>
    <row r="11" spans="1:27" ht="11.25" customHeight="1" x14ac:dyDescent="0.25">
      <c r="A11" s="138"/>
      <c r="B11" s="138" t="s">
        <v>74</v>
      </c>
      <c r="C11" s="138" t="s">
        <v>24</v>
      </c>
      <c r="D11" s="38" t="s">
        <v>24</v>
      </c>
      <c r="E11" s="38" t="s">
        <v>25</v>
      </c>
      <c r="F11" s="38" t="s">
        <v>25</v>
      </c>
      <c r="G11" s="32" t="s">
        <v>75</v>
      </c>
      <c r="H11" s="32" t="s">
        <v>71</v>
      </c>
      <c r="I11" s="32">
        <f>'MERCADO TE'!$U$8</f>
        <v>26510.091</v>
      </c>
      <c r="J11" s="17"/>
      <c r="L11" s="30">
        <f>'TE BE'!$L$11*'TE BF'!$L$49</f>
        <v>0</v>
      </c>
      <c r="M11" s="30">
        <f>'TE BE'!$M$11*'TE BF'!$M$49</f>
        <v>0</v>
      </c>
      <c r="N11" s="30">
        <f>'TE BE'!$N$11*'TE BF'!$N$49</f>
        <v>0</v>
      </c>
      <c r="O11" s="30">
        <f>'TE BE'!$O$11*'TE BF'!$O$49</f>
        <v>0</v>
      </c>
      <c r="P11" s="30">
        <f>SUM($L$11:$O$11)</f>
        <v>0</v>
      </c>
      <c r="Q11" s="30">
        <f>'TE BE'!$Q$11*'TE BF'!$Q$49</f>
        <v>0</v>
      </c>
      <c r="R11" s="30">
        <f>SUM($Q$11:$Q$11)</f>
        <v>0</v>
      </c>
      <c r="S11" s="30">
        <f>'TE BE'!$S$11*'TE BF'!$S$49</f>
        <v>0</v>
      </c>
      <c r="T11" s="30">
        <f>'TE BE'!$T$11*'TE BF'!$T$49</f>
        <v>0</v>
      </c>
      <c r="U11" s="30">
        <f>'TE BE'!$U$11*'TE BF'!$U$49</f>
        <v>0</v>
      </c>
      <c r="V11" s="30">
        <f>SUM($S$11:$U$11)</f>
        <v>0</v>
      </c>
      <c r="W11" s="30">
        <f>'TE BE'!$AA$11*'TE BF'!$W$49</f>
        <v>0</v>
      </c>
      <c r="X11" s="30">
        <f>SUM($W$11:$W$11)</f>
        <v>0</v>
      </c>
      <c r="Y11" s="30">
        <f>'TE BE'!$Y$11*'TE BF'!$Y$49</f>
        <v>0</v>
      </c>
      <c r="Z11" s="30">
        <f>SUM($Y$11:$Y$11)</f>
        <v>0</v>
      </c>
      <c r="AA11" s="30">
        <f>SUMIF($L$4:$Z$4,"SUBTOTAL",$L$11:$Z$11)</f>
        <v>0</v>
      </c>
    </row>
    <row r="12" spans="1:27" ht="11.25" customHeight="1" x14ac:dyDescent="0.25">
      <c r="A12" s="138"/>
      <c r="B12" s="138"/>
      <c r="C12" s="138"/>
      <c r="D12" s="38" t="s">
        <v>29</v>
      </c>
      <c r="E12" s="38" t="s">
        <v>25</v>
      </c>
      <c r="F12" s="38" t="s">
        <v>25</v>
      </c>
      <c r="G12" s="32" t="s">
        <v>75</v>
      </c>
      <c r="H12" s="32" t="s">
        <v>71</v>
      </c>
      <c r="I12" s="32">
        <f>'MERCADO TE'!$U$9</f>
        <v>224.727</v>
      </c>
      <c r="J12" s="17"/>
      <c r="L12" s="30">
        <f>'TE BE'!$L$12*'TE BF'!$L$49</f>
        <v>0</v>
      </c>
      <c r="M12" s="30">
        <f>'TE BE'!$M$12*'TE BF'!$M$49</f>
        <v>0</v>
      </c>
      <c r="N12" s="30">
        <f>'TE BE'!$N$12*'TE BF'!$N$49</f>
        <v>0</v>
      </c>
      <c r="O12" s="30">
        <f>'TE BE'!$O$12*'TE BF'!$O$49</f>
        <v>0</v>
      </c>
      <c r="P12" s="30">
        <f>SUM($L$12:$O$12)</f>
        <v>0</v>
      </c>
      <c r="Q12" s="30">
        <f>'TE BE'!$Q$12*'TE BF'!$Q$49</f>
        <v>0</v>
      </c>
      <c r="R12" s="30">
        <f>SUM($Q$12:$Q$12)</f>
        <v>0</v>
      </c>
      <c r="S12" s="30">
        <f>'TE BE'!$S$12*'TE BF'!$S$49</f>
        <v>0</v>
      </c>
      <c r="T12" s="30">
        <f>'TE BE'!$T$12*'TE BF'!$T$49</f>
        <v>0</v>
      </c>
      <c r="U12" s="30">
        <f>'TE BE'!$U$12*'TE BF'!$U$49</f>
        <v>0</v>
      </c>
      <c r="V12" s="30">
        <f>SUM($S$12:$U$12)</f>
        <v>0</v>
      </c>
      <c r="W12" s="30">
        <f>'TE BE'!$AA$12*'TE BF'!$W$49</f>
        <v>0</v>
      </c>
      <c r="X12" s="30">
        <f>SUM($W$12:$W$12)</f>
        <v>0</v>
      </c>
      <c r="Y12" s="30">
        <f>'TE BE'!$Y$12*'TE BF'!$Y$49</f>
        <v>0</v>
      </c>
      <c r="Z12" s="30">
        <f>SUM($Y$12:$Y$12)</f>
        <v>0</v>
      </c>
      <c r="AA12" s="30">
        <f>SUMIF($L$4:$Z$4,"SUBTOTAL",$L$12:$Z$12)</f>
        <v>0</v>
      </c>
    </row>
    <row r="13" spans="1:27" ht="11.25" customHeight="1" x14ac:dyDescent="0.25">
      <c r="A13" s="138"/>
      <c r="B13" s="138"/>
      <c r="C13" s="138"/>
      <c r="D13" s="38" t="s">
        <v>30</v>
      </c>
      <c r="E13" s="38" t="s">
        <v>25</v>
      </c>
      <c r="F13" s="38" t="s">
        <v>25</v>
      </c>
      <c r="G13" s="32" t="s">
        <v>75</v>
      </c>
      <c r="H13" s="32" t="s">
        <v>71</v>
      </c>
      <c r="I13" s="32">
        <f>'MERCADO TE'!$U$10</f>
        <v>457.44400000000002</v>
      </c>
      <c r="J13" s="17"/>
      <c r="L13" s="30">
        <f>'TE BE'!$L$13*'TE BF'!$L$49</f>
        <v>0</v>
      </c>
      <c r="M13" s="30">
        <f>'TE BE'!$M$13*'TE BF'!$M$49</f>
        <v>0</v>
      </c>
      <c r="N13" s="30">
        <f>'TE BE'!$N$13*'TE BF'!$N$49</f>
        <v>0</v>
      </c>
      <c r="O13" s="30">
        <f>'TE BE'!$O$13*'TE BF'!$O$49</f>
        <v>0</v>
      </c>
      <c r="P13" s="30">
        <f>SUM($L$13:$O$13)</f>
        <v>0</v>
      </c>
      <c r="Q13" s="30">
        <f>'TE BE'!$Q$13*'TE BF'!$Q$49</f>
        <v>0</v>
      </c>
      <c r="R13" s="30">
        <f>SUM($Q$13:$Q$13)</f>
        <v>0</v>
      </c>
      <c r="S13" s="30">
        <f>'TE BE'!$S$13*'TE BF'!$S$49</f>
        <v>0</v>
      </c>
      <c r="T13" s="30">
        <f>'TE BE'!$T$13*'TE BF'!$T$49</f>
        <v>0</v>
      </c>
      <c r="U13" s="30">
        <f>'TE BE'!$U$13*'TE BF'!$U$49</f>
        <v>0</v>
      </c>
      <c r="V13" s="30">
        <f>SUM($S$13:$U$13)</f>
        <v>0</v>
      </c>
      <c r="W13" s="30">
        <f>'TE BE'!$AA$13*'TE BF'!$W$49</f>
        <v>0</v>
      </c>
      <c r="X13" s="30">
        <f>SUM($W$13:$W$13)</f>
        <v>0</v>
      </c>
      <c r="Y13" s="30">
        <f>'TE BE'!$Y$13*'TE BF'!$Y$49</f>
        <v>0</v>
      </c>
      <c r="Z13" s="30">
        <f>SUM($Y$13:$Y$13)</f>
        <v>0</v>
      </c>
      <c r="AA13" s="30">
        <f>SUMIF($L$4:$Z$4,"SUBTOTAL",$L$13:$Z$13)</f>
        <v>0</v>
      </c>
    </row>
    <row r="14" spans="1:27" ht="11.25" customHeight="1" x14ac:dyDescent="0.25">
      <c r="A14" s="138"/>
      <c r="B14" s="138"/>
      <c r="C14" s="138"/>
      <c r="D14" s="38" t="s">
        <v>31</v>
      </c>
      <c r="E14" s="38" t="s">
        <v>25</v>
      </c>
      <c r="F14" s="38" t="s">
        <v>25</v>
      </c>
      <c r="G14" s="32" t="s">
        <v>75</v>
      </c>
      <c r="H14" s="32" t="s">
        <v>71</v>
      </c>
      <c r="I14" s="32">
        <f>'MERCADO TE'!$U$11</f>
        <v>365.92600000000004</v>
      </c>
      <c r="J14" s="17"/>
      <c r="L14" s="30">
        <f>'TE BE'!$L$14*'TE BF'!$L$49</f>
        <v>0</v>
      </c>
      <c r="M14" s="30">
        <f>'TE BE'!$M$14*'TE BF'!$M$49</f>
        <v>0</v>
      </c>
      <c r="N14" s="30">
        <f>'TE BE'!$N$14*'TE BF'!$N$49</f>
        <v>0</v>
      </c>
      <c r="O14" s="30">
        <f>'TE BE'!$O$14*'TE BF'!$O$49</f>
        <v>0</v>
      </c>
      <c r="P14" s="30">
        <f>SUM($L$14:$O$14)</f>
        <v>0</v>
      </c>
      <c r="Q14" s="30">
        <f>'TE BE'!$Q$14*'TE BF'!$Q$49</f>
        <v>0</v>
      </c>
      <c r="R14" s="30">
        <f>SUM($Q$14:$Q$14)</f>
        <v>0</v>
      </c>
      <c r="S14" s="30">
        <f>'TE BE'!$S$14*'TE BF'!$S$49</f>
        <v>0</v>
      </c>
      <c r="T14" s="30">
        <f>'TE BE'!$T$14*'TE BF'!$T$49</f>
        <v>0</v>
      </c>
      <c r="U14" s="30">
        <f>'TE BE'!$U$14*'TE BF'!$U$49</f>
        <v>0</v>
      </c>
      <c r="V14" s="30">
        <f>SUM($S$14:$U$14)</f>
        <v>0</v>
      </c>
      <c r="W14" s="30">
        <f>'TE BE'!$AA$14*'TE BF'!$W$49</f>
        <v>0</v>
      </c>
      <c r="X14" s="30">
        <f>SUM($W$14:$W$14)</f>
        <v>0</v>
      </c>
      <c r="Y14" s="30">
        <f>'TE BE'!$Y$14*'TE BF'!$Y$49</f>
        <v>0</v>
      </c>
      <c r="Z14" s="30">
        <f>SUM($Y$14:$Y$14)</f>
        <v>0</v>
      </c>
      <c r="AA14" s="30">
        <f>SUMIF($L$4:$Z$4,"SUBTOTAL",$L$14:$Z$14)</f>
        <v>0</v>
      </c>
    </row>
    <row r="15" spans="1:27" ht="11.25" customHeight="1" x14ac:dyDescent="0.25">
      <c r="A15" s="138"/>
      <c r="B15" s="138"/>
      <c r="C15" s="138"/>
      <c r="D15" s="38" t="s">
        <v>32</v>
      </c>
      <c r="E15" s="38" t="s">
        <v>25</v>
      </c>
      <c r="F15" s="38" t="s">
        <v>25</v>
      </c>
      <c r="G15" s="32" t="s">
        <v>75</v>
      </c>
      <c r="H15" s="32" t="s">
        <v>71</v>
      </c>
      <c r="I15" s="32">
        <f>'MERCADO TE'!$U$12</f>
        <v>81.745999999999995</v>
      </c>
      <c r="J15" s="17"/>
      <c r="L15" s="30">
        <f>'TE BE'!$L$15*'TE BF'!$L$49</f>
        <v>0</v>
      </c>
      <c r="M15" s="30">
        <f>'TE BE'!$M$15*'TE BF'!$M$49</f>
        <v>0</v>
      </c>
      <c r="N15" s="30">
        <f>'TE BE'!$N$15*'TE BF'!$N$49</f>
        <v>0</v>
      </c>
      <c r="O15" s="30">
        <f>'TE BE'!$O$15*'TE BF'!$O$49</f>
        <v>0</v>
      </c>
      <c r="P15" s="30">
        <f>SUM($L$15:$O$15)</f>
        <v>0</v>
      </c>
      <c r="Q15" s="30">
        <f>'TE BE'!$Q$15*'TE BF'!$Q$49</f>
        <v>0</v>
      </c>
      <c r="R15" s="30">
        <f>SUM($Q$15:$Q$15)</f>
        <v>0</v>
      </c>
      <c r="S15" s="30">
        <f>'TE BE'!$S$15*'TE BF'!$S$49</f>
        <v>0</v>
      </c>
      <c r="T15" s="30">
        <f>'TE BE'!$T$15*'TE BF'!$T$49</f>
        <v>0</v>
      </c>
      <c r="U15" s="30">
        <f>'TE BE'!$U$15*'TE BF'!$U$49</f>
        <v>0</v>
      </c>
      <c r="V15" s="30">
        <f>SUM($S$15:$U$15)</f>
        <v>0</v>
      </c>
      <c r="W15" s="30">
        <f>'TE BE'!$AA$15*'TE BF'!$W$49</f>
        <v>0</v>
      </c>
      <c r="X15" s="30">
        <f>SUM($W$15:$W$15)</f>
        <v>0</v>
      </c>
      <c r="Y15" s="30">
        <f>'TE BE'!$Y$15*'TE BF'!$Y$49</f>
        <v>0</v>
      </c>
      <c r="Z15" s="30">
        <f>SUM($Y$15:$Y$15)</f>
        <v>0</v>
      </c>
      <c r="AA15" s="30">
        <f>SUMIF($L$4:$Z$4,"SUBTOTAL",$L$15:$Z$15)</f>
        <v>0</v>
      </c>
    </row>
    <row r="16" spans="1:27" ht="11.25" customHeight="1" x14ac:dyDescent="0.25">
      <c r="A16" s="138"/>
      <c r="B16" s="138" t="s">
        <v>85</v>
      </c>
      <c r="C16" s="138" t="s">
        <v>24</v>
      </c>
      <c r="D16" s="38" t="s">
        <v>24</v>
      </c>
      <c r="E16" s="38" t="s">
        <v>25</v>
      </c>
      <c r="F16" s="38" t="s">
        <v>25</v>
      </c>
      <c r="G16" s="32" t="s">
        <v>75</v>
      </c>
      <c r="H16" s="32" t="s">
        <v>71</v>
      </c>
      <c r="I16" s="32">
        <f>'MERCADO TE'!$U$13</f>
        <v>0</v>
      </c>
      <c r="J16" s="17"/>
      <c r="L16" s="30">
        <f>'TE BE'!$L$16*'TE BF'!$L$49</f>
        <v>0</v>
      </c>
      <c r="M16" s="30">
        <f>'TE BE'!$M$16*'TE BF'!$M$49</f>
        <v>0</v>
      </c>
      <c r="N16" s="30">
        <f>'TE BE'!$N$16*'TE BF'!$N$49</f>
        <v>0</v>
      </c>
      <c r="O16" s="30">
        <f>'TE BE'!$O$16*'TE BF'!$O$49</f>
        <v>0</v>
      </c>
      <c r="P16" s="30">
        <f>SUM($L$16:$O$16)</f>
        <v>0</v>
      </c>
      <c r="Q16" s="30">
        <f>'TE BE'!$Q$16*'TE BF'!$Q$49</f>
        <v>0</v>
      </c>
      <c r="R16" s="30">
        <f>SUM($Q$16:$Q$16)</f>
        <v>0</v>
      </c>
      <c r="S16" s="30">
        <f>'TE BE'!$S$16*'TE BF'!$S$49</f>
        <v>0</v>
      </c>
      <c r="T16" s="30">
        <f>'TE BE'!$T$16*'TE BF'!$T$49</f>
        <v>0</v>
      </c>
      <c r="U16" s="30">
        <f>'TE BE'!$U$16*'TE BF'!$U$49</f>
        <v>0</v>
      </c>
      <c r="V16" s="30">
        <f>SUM($S$16:$U$16)</f>
        <v>0</v>
      </c>
      <c r="W16" s="30">
        <f>'TE BE'!$AA$16*'TE BF'!$W$49</f>
        <v>0</v>
      </c>
      <c r="X16" s="30">
        <f>SUM($W$16:$W$16)</f>
        <v>0</v>
      </c>
      <c r="Y16" s="30">
        <f>'TE BE'!$Y$16*'TE BF'!$Y$49</f>
        <v>0</v>
      </c>
      <c r="Z16" s="30">
        <f>SUM($Y$16:$Y$16)</f>
        <v>0</v>
      </c>
      <c r="AA16" s="30">
        <f>SUMIF($L$4:$Z$4,"SUBTOTAL",$L$16:$Z$16)</f>
        <v>0</v>
      </c>
    </row>
    <row r="17" spans="1:27" ht="11.25" customHeight="1" x14ac:dyDescent="0.25">
      <c r="A17" s="138"/>
      <c r="B17" s="138"/>
      <c r="C17" s="138"/>
      <c r="D17" s="38" t="s">
        <v>29</v>
      </c>
      <c r="E17" s="38" t="s">
        <v>25</v>
      </c>
      <c r="F17" s="38" t="s">
        <v>25</v>
      </c>
      <c r="G17" s="32" t="s">
        <v>75</v>
      </c>
      <c r="H17" s="32" t="s">
        <v>71</v>
      </c>
      <c r="I17" s="32">
        <f>'MERCADO TE'!$U$14</f>
        <v>0</v>
      </c>
      <c r="J17" s="17"/>
      <c r="L17" s="30">
        <f>'TE BE'!$L$17*'TE BF'!$L$49</f>
        <v>0</v>
      </c>
      <c r="M17" s="30">
        <f>'TE BE'!$M$17*'TE BF'!$M$49</f>
        <v>0</v>
      </c>
      <c r="N17" s="30">
        <f>'TE BE'!$N$17*'TE BF'!$N$49</f>
        <v>0</v>
      </c>
      <c r="O17" s="30">
        <f>'TE BE'!$O$17*'TE BF'!$O$49</f>
        <v>0</v>
      </c>
      <c r="P17" s="30">
        <f>SUM($L$17:$O$17)</f>
        <v>0</v>
      </c>
      <c r="Q17" s="30">
        <f>'TE BE'!$Q$17*'TE BF'!$Q$49</f>
        <v>0</v>
      </c>
      <c r="R17" s="30">
        <f>SUM($Q$17:$Q$17)</f>
        <v>0</v>
      </c>
      <c r="S17" s="30">
        <f>'TE BE'!$S$17*'TE BF'!$S$49</f>
        <v>0</v>
      </c>
      <c r="T17" s="30">
        <f>'TE BE'!$T$17*'TE BF'!$T$49</f>
        <v>0</v>
      </c>
      <c r="U17" s="30">
        <f>'TE BE'!$U$17*'TE BF'!$U$49</f>
        <v>0</v>
      </c>
      <c r="V17" s="30">
        <f>SUM($S$17:$U$17)</f>
        <v>0</v>
      </c>
      <c r="W17" s="30">
        <f>'TE BE'!$AA$17*'TE BF'!$W$49</f>
        <v>0</v>
      </c>
      <c r="X17" s="30">
        <f>SUM($W$17:$W$17)</f>
        <v>0</v>
      </c>
      <c r="Y17" s="30">
        <f>'TE BE'!$Y$17*'TE BF'!$Y$49</f>
        <v>0</v>
      </c>
      <c r="Z17" s="30">
        <f>SUM($Y$17:$Y$17)</f>
        <v>0</v>
      </c>
      <c r="AA17" s="30">
        <f>SUMIF($L$4:$Z$4,"SUBTOTAL",$L$17:$Z$17)</f>
        <v>0</v>
      </c>
    </row>
    <row r="18" spans="1:27" ht="11.25" customHeight="1" x14ac:dyDescent="0.25">
      <c r="A18" s="138"/>
      <c r="B18" s="138"/>
      <c r="C18" s="138"/>
      <c r="D18" s="38" t="s">
        <v>30</v>
      </c>
      <c r="E18" s="38" t="s">
        <v>25</v>
      </c>
      <c r="F18" s="38" t="s">
        <v>25</v>
      </c>
      <c r="G18" s="32" t="s">
        <v>75</v>
      </c>
      <c r="H18" s="32" t="s">
        <v>71</v>
      </c>
      <c r="I18" s="32">
        <f>'MERCADO TE'!$U$15</f>
        <v>0</v>
      </c>
      <c r="J18" s="17"/>
      <c r="L18" s="30">
        <f>'TE BE'!$L$18*'TE BF'!$L$49</f>
        <v>0</v>
      </c>
      <c r="M18" s="30">
        <f>'TE BE'!$M$18*'TE BF'!$M$49</f>
        <v>0</v>
      </c>
      <c r="N18" s="30">
        <f>'TE BE'!$N$18*'TE BF'!$N$49</f>
        <v>0</v>
      </c>
      <c r="O18" s="30">
        <f>'TE BE'!$O$18*'TE BF'!$O$49</f>
        <v>0</v>
      </c>
      <c r="P18" s="30">
        <f>SUM($L$18:$O$18)</f>
        <v>0</v>
      </c>
      <c r="Q18" s="30">
        <f>'TE BE'!$Q$18*'TE BF'!$Q$49</f>
        <v>0</v>
      </c>
      <c r="R18" s="30">
        <f>SUM($Q$18:$Q$18)</f>
        <v>0</v>
      </c>
      <c r="S18" s="30">
        <f>'TE BE'!$S$18*'TE BF'!$S$49</f>
        <v>0</v>
      </c>
      <c r="T18" s="30">
        <f>'TE BE'!$T$18*'TE BF'!$T$49</f>
        <v>0</v>
      </c>
      <c r="U18" s="30">
        <f>'TE BE'!$U$18*'TE BF'!$U$49</f>
        <v>0</v>
      </c>
      <c r="V18" s="30">
        <f>SUM($S$18:$U$18)</f>
        <v>0</v>
      </c>
      <c r="W18" s="30">
        <f>'TE BE'!$AA$18*'TE BF'!$W$49</f>
        <v>0</v>
      </c>
      <c r="X18" s="30">
        <f>SUM($W$18:$W$18)</f>
        <v>0</v>
      </c>
      <c r="Y18" s="30">
        <f>'TE BE'!$Y$18*'TE BF'!$Y$49</f>
        <v>0</v>
      </c>
      <c r="Z18" s="30">
        <f>SUM($Y$18:$Y$18)</f>
        <v>0</v>
      </c>
      <c r="AA18" s="30">
        <f>SUMIF($L$4:$Z$4,"SUBTOTAL",$L$18:$Z$18)</f>
        <v>0</v>
      </c>
    </row>
    <row r="19" spans="1:27" ht="11.25" customHeight="1" x14ac:dyDescent="0.25">
      <c r="A19" s="138"/>
      <c r="B19" s="138"/>
      <c r="C19" s="138"/>
      <c r="D19" s="38" t="s">
        <v>31</v>
      </c>
      <c r="E19" s="38" t="s">
        <v>25</v>
      </c>
      <c r="F19" s="38" t="s">
        <v>25</v>
      </c>
      <c r="G19" s="32" t="s">
        <v>75</v>
      </c>
      <c r="H19" s="32" t="s">
        <v>71</v>
      </c>
      <c r="I19" s="32">
        <f>'MERCADO TE'!$U$16</f>
        <v>0</v>
      </c>
      <c r="J19" s="17"/>
      <c r="L19" s="30">
        <f>'TE BE'!$L$19*'TE BF'!$L$49</f>
        <v>0</v>
      </c>
      <c r="M19" s="30">
        <f>'TE BE'!$M$19*'TE BF'!$M$49</f>
        <v>0</v>
      </c>
      <c r="N19" s="30">
        <f>'TE BE'!$N$19*'TE BF'!$N$49</f>
        <v>0</v>
      </c>
      <c r="O19" s="30">
        <f>'TE BE'!$O$19*'TE BF'!$O$49</f>
        <v>0</v>
      </c>
      <c r="P19" s="30">
        <f>SUM($L$19:$O$19)</f>
        <v>0</v>
      </c>
      <c r="Q19" s="30">
        <f>'TE BE'!$Q$19*'TE BF'!$Q$49</f>
        <v>0</v>
      </c>
      <c r="R19" s="30">
        <f>SUM($Q$19:$Q$19)</f>
        <v>0</v>
      </c>
      <c r="S19" s="30">
        <f>'TE BE'!$S$19*'TE BF'!$S$49</f>
        <v>0</v>
      </c>
      <c r="T19" s="30">
        <f>'TE BE'!$T$19*'TE BF'!$T$49</f>
        <v>0</v>
      </c>
      <c r="U19" s="30">
        <f>'TE BE'!$U$19*'TE BF'!$U$49</f>
        <v>0</v>
      </c>
      <c r="V19" s="30">
        <f>SUM($S$19:$U$19)</f>
        <v>0</v>
      </c>
      <c r="W19" s="30">
        <f>'TE BE'!$AA$19*'TE BF'!$W$49</f>
        <v>0</v>
      </c>
      <c r="X19" s="30">
        <f>SUM($W$19:$W$19)</f>
        <v>0</v>
      </c>
      <c r="Y19" s="30">
        <f>'TE BE'!$Y$19*'TE BF'!$Y$49</f>
        <v>0</v>
      </c>
      <c r="Z19" s="30">
        <f>SUM($Y$19:$Y$19)</f>
        <v>0</v>
      </c>
      <c r="AA19" s="30">
        <f>SUMIF($L$4:$Z$4,"SUBTOTAL",$L$19:$Z$19)</f>
        <v>0</v>
      </c>
    </row>
    <row r="20" spans="1:27" ht="11.25" customHeight="1" x14ac:dyDescent="0.25">
      <c r="A20" s="138"/>
      <c r="B20" s="138"/>
      <c r="C20" s="138"/>
      <c r="D20" s="38" t="s">
        <v>32</v>
      </c>
      <c r="E20" s="38" t="s">
        <v>25</v>
      </c>
      <c r="F20" s="38" t="s">
        <v>25</v>
      </c>
      <c r="G20" s="32" t="s">
        <v>75</v>
      </c>
      <c r="H20" s="32" t="s">
        <v>71</v>
      </c>
      <c r="I20" s="32">
        <f>'MERCADO TE'!$U$17</f>
        <v>0</v>
      </c>
      <c r="J20" s="17"/>
      <c r="L20" s="30">
        <f>'TE BE'!$L$20*'TE BF'!$L$49</f>
        <v>0</v>
      </c>
      <c r="M20" s="30">
        <f>'TE BE'!$M$20*'TE BF'!$M$49</f>
        <v>0</v>
      </c>
      <c r="N20" s="30">
        <f>'TE BE'!$N$20*'TE BF'!$N$49</f>
        <v>0</v>
      </c>
      <c r="O20" s="30">
        <f>'TE BE'!$O$20*'TE BF'!$O$49</f>
        <v>0</v>
      </c>
      <c r="P20" s="30">
        <f>SUM($L$20:$O$20)</f>
        <v>0</v>
      </c>
      <c r="Q20" s="30">
        <f>'TE BE'!$Q$20*'TE BF'!$Q$49</f>
        <v>0</v>
      </c>
      <c r="R20" s="30">
        <f>SUM($Q$20:$Q$20)</f>
        <v>0</v>
      </c>
      <c r="S20" s="30">
        <f>'TE BE'!$S$20*'TE BF'!$S$49</f>
        <v>0</v>
      </c>
      <c r="T20" s="30">
        <f>'TE BE'!$T$20*'TE BF'!$T$49</f>
        <v>0</v>
      </c>
      <c r="U20" s="30">
        <f>'TE BE'!$U$20*'TE BF'!$U$49</f>
        <v>0</v>
      </c>
      <c r="V20" s="30">
        <f>SUM($S$20:$U$20)</f>
        <v>0</v>
      </c>
      <c r="W20" s="30">
        <f>'TE BE'!$AA$20*'TE BF'!$W$49</f>
        <v>0</v>
      </c>
      <c r="X20" s="30">
        <f>SUM($W$20:$W$20)</f>
        <v>0</v>
      </c>
      <c r="Y20" s="30">
        <f>'TE BE'!$Y$20*'TE BF'!$Y$49</f>
        <v>0</v>
      </c>
      <c r="Z20" s="30">
        <f>SUM($Y$20:$Y$20)</f>
        <v>0</v>
      </c>
      <c r="AA20" s="30">
        <f>SUMIF($L$4:$Z$4,"SUBTOTAL",$L$20:$Z$20)</f>
        <v>0</v>
      </c>
    </row>
    <row r="21" spans="1:27" ht="11.25" customHeight="1" x14ac:dyDescent="0.25">
      <c r="A21" s="138" t="s">
        <v>43</v>
      </c>
      <c r="B21" s="138" t="s">
        <v>70</v>
      </c>
      <c r="C21" s="138" t="s">
        <v>44</v>
      </c>
      <c r="D21" s="138" t="s">
        <v>25</v>
      </c>
      <c r="E21" s="138" t="s">
        <v>25</v>
      </c>
      <c r="F21" s="138" t="s">
        <v>25</v>
      </c>
      <c r="G21" s="32" t="s">
        <v>72</v>
      </c>
      <c r="H21" s="32" t="s">
        <v>71</v>
      </c>
      <c r="I21" s="32">
        <f>'MERCADO TE'!$U$18</f>
        <v>0</v>
      </c>
      <c r="J21" s="17"/>
      <c r="L21" s="30">
        <f>'TE BE'!$L$21*'TE BF'!$L$49</f>
        <v>0</v>
      </c>
      <c r="M21" s="30">
        <f>'TE BE'!$M$21*'TE BF'!$M$49</f>
        <v>0</v>
      </c>
      <c r="N21" s="30">
        <f>'TE BE'!$N$21*'TE BF'!$N$49</f>
        <v>0</v>
      </c>
      <c r="O21" s="30">
        <f>'TE BE'!$O$21*'TE BF'!$O$49</f>
        <v>0</v>
      </c>
      <c r="P21" s="30">
        <f>SUM($L$21:$O$21)</f>
        <v>0</v>
      </c>
      <c r="Q21" s="30">
        <f>'TE BE'!$Q$21*'TE BF'!$Q$49</f>
        <v>0</v>
      </c>
      <c r="R21" s="30">
        <f>SUM($Q$21:$Q$21)</f>
        <v>0</v>
      </c>
      <c r="S21" s="30">
        <f>'TE BE'!$S$21*'TE BF'!$S$49</f>
        <v>0</v>
      </c>
      <c r="T21" s="30">
        <f>'TE BE'!$T$21*'TE BF'!$T$49</f>
        <v>0</v>
      </c>
      <c r="U21" s="30">
        <f>'TE BE'!$U$21*'TE BF'!$U$49</f>
        <v>0</v>
      </c>
      <c r="V21" s="30">
        <f>SUM($S$21:$U$21)</f>
        <v>0</v>
      </c>
      <c r="W21" s="30">
        <f>'TE BE'!$AA$21*'TE BF'!$W$49</f>
        <v>0</v>
      </c>
      <c r="X21" s="30">
        <f>SUM($W$21:$W$21)</f>
        <v>0</v>
      </c>
      <c r="Y21" s="30">
        <f>'TE BE'!$Y$21*'TE BF'!$Y$49</f>
        <v>0</v>
      </c>
      <c r="Z21" s="30">
        <f>SUM($Y$21:$Y$21)</f>
        <v>0</v>
      </c>
      <c r="AA21" s="30">
        <f>SUMIF($L$4:$Z$4,"SUBTOTAL",$L$21:$Z$21)</f>
        <v>0</v>
      </c>
    </row>
    <row r="22" spans="1:27" ht="11.25" customHeight="1" x14ac:dyDescent="0.25">
      <c r="A22" s="138"/>
      <c r="B22" s="138"/>
      <c r="C22" s="138"/>
      <c r="D22" s="138"/>
      <c r="E22" s="138"/>
      <c r="F22" s="138"/>
      <c r="G22" s="32" t="s">
        <v>84</v>
      </c>
      <c r="H22" s="32" t="s">
        <v>71</v>
      </c>
      <c r="I22" s="32">
        <f>'MERCADO TE'!$U$19</f>
        <v>0</v>
      </c>
      <c r="J22" s="17"/>
      <c r="L22" s="30">
        <f>'TE BE'!$L$22*'TE BF'!$L$49</f>
        <v>0</v>
      </c>
      <c r="M22" s="30">
        <f>'TE BE'!$M$22*'TE BF'!$M$49</f>
        <v>0</v>
      </c>
      <c r="N22" s="30">
        <f>'TE BE'!$N$22*'TE BF'!$N$49</f>
        <v>0</v>
      </c>
      <c r="O22" s="30">
        <f>'TE BE'!$O$22*'TE BF'!$O$49</f>
        <v>0</v>
      </c>
      <c r="P22" s="30">
        <f>SUM($L$22:$O$22)</f>
        <v>0</v>
      </c>
      <c r="Q22" s="30">
        <f>'TE BE'!$Q$22*'TE BF'!$Q$49</f>
        <v>0</v>
      </c>
      <c r="R22" s="30">
        <f>SUM($Q$22:$Q$22)</f>
        <v>0</v>
      </c>
      <c r="S22" s="30">
        <f>'TE BE'!$S$22*'TE BF'!$S$49</f>
        <v>0</v>
      </c>
      <c r="T22" s="30">
        <f>'TE BE'!$T$22*'TE BF'!$T$49</f>
        <v>0</v>
      </c>
      <c r="U22" s="30">
        <f>'TE BE'!$U$22*'TE BF'!$U$49</f>
        <v>0</v>
      </c>
      <c r="V22" s="30">
        <f>SUM($S$22:$U$22)</f>
        <v>0</v>
      </c>
      <c r="W22" s="30">
        <f>'TE BE'!$AA$22*'TE BF'!$W$49</f>
        <v>0</v>
      </c>
      <c r="X22" s="30">
        <f>SUM($W$22:$W$22)</f>
        <v>0</v>
      </c>
      <c r="Y22" s="30">
        <f>'TE BE'!$Y$22*'TE BF'!$Y$49</f>
        <v>0</v>
      </c>
      <c r="Z22" s="30">
        <f>SUM($Y$22:$Y$22)</f>
        <v>0</v>
      </c>
      <c r="AA22" s="30">
        <f>SUMIF($L$4:$Z$4,"SUBTOTAL",$L$22:$Z$22)</f>
        <v>0</v>
      </c>
    </row>
    <row r="23" spans="1:27" ht="11.25" customHeight="1" x14ac:dyDescent="0.25">
      <c r="A23" s="138"/>
      <c r="B23" s="138"/>
      <c r="C23" s="138"/>
      <c r="D23" s="138"/>
      <c r="E23" s="138"/>
      <c r="F23" s="138"/>
      <c r="G23" s="32" t="s">
        <v>73</v>
      </c>
      <c r="H23" s="32" t="s">
        <v>71</v>
      </c>
      <c r="I23" s="32">
        <f>'MERCADO TE'!$U$20</f>
        <v>0</v>
      </c>
      <c r="J23" s="17"/>
      <c r="L23" s="30">
        <f>'TE BE'!$L$23*'TE BF'!$L$49</f>
        <v>0</v>
      </c>
      <c r="M23" s="30">
        <f>'TE BE'!$M$23*'TE BF'!$M$49</f>
        <v>0</v>
      </c>
      <c r="N23" s="30">
        <f>'TE BE'!$N$23*'TE BF'!$N$49</f>
        <v>0</v>
      </c>
      <c r="O23" s="30">
        <f>'TE BE'!$O$23*'TE BF'!$O$49</f>
        <v>0</v>
      </c>
      <c r="P23" s="30">
        <f>SUM($L$23:$O$23)</f>
        <v>0</v>
      </c>
      <c r="Q23" s="30">
        <f>'TE BE'!$Q$23*'TE BF'!$Q$49</f>
        <v>0</v>
      </c>
      <c r="R23" s="30">
        <f>SUM($Q$23:$Q$23)</f>
        <v>0</v>
      </c>
      <c r="S23" s="30">
        <f>'TE BE'!$S$23*'TE BF'!$S$49</f>
        <v>0</v>
      </c>
      <c r="T23" s="30">
        <f>'TE BE'!$T$23*'TE BF'!$T$49</f>
        <v>0</v>
      </c>
      <c r="U23" s="30">
        <f>'TE BE'!$U$23*'TE BF'!$U$49</f>
        <v>0</v>
      </c>
      <c r="V23" s="30">
        <f>SUM($S$23:$U$23)</f>
        <v>0</v>
      </c>
      <c r="W23" s="30">
        <f>'TE BE'!$AA$23*'TE BF'!$W$49</f>
        <v>0</v>
      </c>
      <c r="X23" s="30">
        <f>SUM($W$23:$W$23)</f>
        <v>0</v>
      </c>
      <c r="Y23" s="30">
        <f>'TE BE'!$Y$23*'TE BF'!$Y$49</f>
        <v>0</v>
      </c>
      <c r="Z23" s="30">
        <f>SUM($Y$23:$Y$23)</f>
        <v>0</v>
      </c>
      <c r="AA23" s="30">
        <f>SUMIF($L$4:$Z$4,"SUBTOTAL",$L$23:$Z$23)</f>
        <v>0</v>
      </c>
    </row>
    <row r="24" spans="1:27" ht="11.25" customHeight="1" x14ac:dyDescent="0.25">
      <c r="A24" s="138"/>
      <c r="B24" s="38" t="s">
        <v>74</v>
      </c>
      <c r="C24" s="38" t="s">
        <v>44</v>
      </c>
      <c r="D24" s="38" t="s">
        <v>25</v>
      </c>
      <c r="E24" s="38" t="s">
        <v>25</v>
      </c>
      <c r="F24" s="38" t="s">
        <v>25</v>
      </c>
      <c r="G24" s="32" t="s">
        <v>75</v>
      </c>
      <c r="H24" s="32" t="s">
        <v>71</v>
      </c>
      <c r="I24" s="32">
        <f>'MERCADO TE'!$U$21</f>
        <v>3313.4050000000002</v>
      </c>
      <c r="J24" s="17"/>
      <c r="L24" s="30">
        <f>'TE BE'!$L$24*'TE BF'!$L$49</f>
        <v>0</v>
      </c>
      <c r="M24" s="30">
        <f>'TE BE'!$M$24*'TE BF'!$M$49</f>
        <v>0</v>
      </c>
      <c r="N24" s="30">
        <f>'TE BE'!$N$24*'TE BF'!$N$49</f>
        <v>0</v>
      </c>
      <c r="O24" s="30">
        <f>'TE BE'!$O$24*'TE BF'!$O$49</f>
        <v>0</v>
      </c>
      <c r="P24" s="30">
        <f>SUM($L$24:$O$24)</f>
        <v>0</v>
      </c>
      <c r="Q24" s="30">
        <f>'TE BE'!$Q$24*'TE BF'!$Q$49</f>
        <v>0</v>
      </c>
      <c r="R24" s="30">
        <f>SUM($Q$24:$Q$24)</f>
        <v>0</v>
      </c>
      <c r="S24" s="30">
        <f>'TE BE'!$S$24*'TE BF'!$S$49</f>
        <v>0</v>
      </c>
      <c r="T24" s="30">
        <f>'TE BE'!$T$24*'TE BF'!$T$49</f>
        <v>0</v>
      </c>
      <c r="U24" s="30">
        <f>'TE BE'!$U$24*'TE BF'!$U$49</f>
        <v>0</v>
      </c>
      <c r="V24" s="30">
        <f>SUM($S$24:$U$24)</f>
        <v>0</v>
      </c>
      <c r="W24" s="30">
        <f>'TE BE'!$AA$24*'TE BF'!$W$49</f>
        <v>0</v>
      </c>
      <c r="X24" s="30">
        <f>SUM($W$24:$W$24)</f>
        <v>0</v>
      </c>
      <c r="Y24" s="30">
        <f>'TE BE'!$Y$24*'TE BF'!$Y$49</f>
        <v>0</v>
      </c>
      <c r="Z24" s="30">
        <f>SUM($Y$24:$Y$24)</f>
        <v>0</v>
      </c>
      <c r="AA24" s="30">
        <f>SUMIF($L$4:$Z$4,"SUBTOTAL",$L$24:$Z$24)</f>
        <v>0</v>
      </c>
    </row>
    <row r="25" spans="1:27" ht="11.25" customHeight="1" x14ac:dyDescent="0.25">
      <c r="A25" s="138"/>
      <c r="B25" s="138" t="s">
        <v>70</v>
      </c>
      <c r="C25" s="138" t="s">
        <v>44</v>
      </c>
      <c r="D25" s="138" t="s">
        <v>87</v>
      </c>
      <c r="E25" s="138" t="s">
        <v>25</v>
      </c>
      <c r="F25" s="138" t="s">
        <v>25</v>
      </c>
      <c r="G25" s="32" t="s">
        <v>72</v>
      </c>
      <c r="H25" s="32" t="s">
        <v>71</v>
      </c>
      <c r="I25" s="32">
        <f>'MERCADO TE'!$U$22</f>
        <v>0</v>
      </c>
      <c r="J25" s="17"/>
      <c r="L25" s="30">
        <f>'TE BE'!$L$25*'TE BF'!$L$49</f>
        <v>0</v>
      </c>
      <c r="M25" s="30">
        <f>'TE BE'!$M$25*'TE BF'!$M$49</f>
        <v>0</v>
      </c>
      <c r="N25" s="30">
        <f>'TE BE'!$N$25*'TE BF'!$N$49</f>
        <v>0</v>
      </c>
      <c r="O25" s="30">
        <f>'TE BE'!$O$25*'TE BF'!$O$49</f>
        <v>0</v>
      </c>
      <c r="P25" s="30">
        <f>SUM($L$25:$O$25)</f>
        <v>0</v>
      </c>
      <c r="Q25" s="30">
        <f>'TE BE'!$Q$25*'TE BF'!$Q$49</f>
        <v>0</v>
      </c>
      <c r="R25" s="30">
        <f>SUM($Q$25:$Q$25)</f>
        <v>0</v>
      </c>
      <c r="S25" s="30">
        <f>'TE BE'!$S$25*'TE BF'!$S$49</f>
        <v>0</v>
      </c>
      <c r="T25" s="30">
        <f>'TE BE'!$T$25*'TE BF'!$T$49</f>
        <v>0</v>
      </c>
      <c r="U25" s="30">
        <f>'TE BE'!$U$25*'TE BF'!$U$49</f>
        <v>0</v>
      </c>
      <c r="V25" s="30">
        <f>SUM($S$25:$U$25)</f>
        <v>0</v>
      </c>
      <c r="W25" s="30">
        <f>'TE BE'!$AA$25*'TE BF'!$W$49</f>
        <v>0</v>
      </c>
      <c r="X25" s="30">
        <f>SUM($W$25:$W$25)</f>
        <v>0</v>
      </c>
      <c r="Y25" s="30">
        <f>'TE BE'!$Y$25*'TE BF'!$Y$49</f>
        <v>0</v>
      </c>
      <c r="Z25" s="30">
        <f>SUM($Y$25:$Y$25)</f>
        <v>0</v>
      </c>
      <c r="AA25" s="30">
        <f>SUMIF($L$4:$Z$4,"SUBTOTAL",$L$25:$Z$25)</f>
        <v>0</v>
      </c>
    </row>
    <row r="26" spans="1:27" ht="11.25" customHeight="1" x14ac:dyDescent="0.25">
      <c r="A26" s="138"/>
      <c r="B26" s="138"/>
      <c r="C26" s="138"/>
      <c r="D26" s="138"/>
      <c r="E26" s="138"/>
      <c r="F26" s="138"/>
      <c r="G26" s="32" t="s">
        <v>84</v>
      </c>
      <c r="H26" s="32" t="s">
        <v>71</v>
      </c>
      <c r="I26" s="32">
        <f>'MERCADO TE'!$U$23</f>
        <v>0</v>
      </c>
      <c r="J26" s="17"/>
      <c r="L26" s="30">
        <f>'TE BE'!$L$26*'TE BF'!$L$49</f>
        <v>0</v>
      </c>
      <c r="M26" s="30">
        <f>'TE BE'!$M$26*'TE BF'!$M$49</f>
        <v>0</v>
      </c>
      <c r="N26" s="30">
        <f>'TE BE'!$N$26*'TE BF'!$N$49</f>
        <v>0</v>
      </c>
      <c r="O26" s="30">
        <f>'TE BE'!$O$26*'TE BF'!$O$49</f>
        <v>0</v>
      </c>
      <c r="P26" s="30">
        <f>SUM($L$26:$O$26)</f>
        <v>0</v>
      </c>
      <c r="Q26" s="30">
        <f>'TE BE'!$Q$26*'TE BF'!$Q$49</f>
        <v>0</v>
      </c>
      <c r="R26" s="30">
        <f>SUM($Q$26:$Q$26)</f>
        <v>0</v>
      </c>
      <c r="S26" s="30">
        <f>'TE BE'!$S$26*'TE BF'!$S$49</f>
        <v>0</v>
      </c>
      <c r="T26" s="30">
        <f>'TE BE'!$T$26*'TE BF'!$T$49</f>
        <v>0</v>
      </c>
      <c r="U26" s="30">
        <f>'TE BE'!$U$26*'TE BF'!$U$49</f>
        <v>0</v>
      </c>
      <c r="V26" s="30">
        <f>SUM($S$26:$U$26)</f>
        <v>0</v>
      </c>
      <c r="W26" s="30">
        <f>'TE BE'!$AA$26*'TE BF'!$W$49</f>
        <v>0</v>
      </c>
      <c r="X26" s="30">
        <f>SUM($W$26:$W$26)</f>
        <v>0</v>
      </c>
      <c r="Y26" s="30">
        <f>'TE BE'!$Y$26*'TE BF'!$Y$49</f>
        <v>0</v>
      </c>
      <c r="Z26" s="30">
        <f>SUM($Y$26:$Y$26)</f>
        <v>0</v>
      </c>
      <c r="AA26" s="30">
        <f>SUMIF($L$4:$Z$4,"SUBTOTAL",$L$26:$Z$26)</f>
        <v>0</v>
      </c>
    </row>
    <row r="27" spans="1:27" ht="11.25" customHeight="1" x14ac:dyDescent="0.25">
      <c r="A27" s="138"/>
      <c r="B27" s="138"/>
      <c r="C27" s="138"/>
      <c r="D27" s="138"/>
      <c r="E27" s="138"/>
      <c r="F27" s="138"/>
      <c r="G27" s="32" t="s">
        <v>73</v>
      </c>
      <c r="H27" s="32" t="s">
        <v>71</v>
      </c>
      <c r="I27" s="32">
        <f>'MERCADO TE'!$U$24</f>
        <v>0</v>
      </c>
      <c r="J27" s="17"/>
      <c r="L27" s="30">
        <f>'TE BE'!$L$27*'TE BF'!$L$49</f>
        <v>0</v>
      </c>
      <c r="M27" s="30">
        <f>'TE BE'!$M$27*'TE BF'!$M$49</f>
        <v>0</v>
      </c>
      <c r="N27" s="30">
        <f>'TE BE'!$N$27*'TE BF'!$N$49</f>
        <v>0</v>
      </c>
      <c r="O27" s="30">
        <f>'TE BE'!$O$27*'TE BF'!$O$49</f>
        <v>0</v>
      </c>
      <c r="P27" s="30">
        <f>SUM($L$27:$O$27)</f>
        <v>0</v>
      </c>
      <c r="Q27" s="30">
        <f>'TE BE'!$Q$27*'TE BF'!$Q$49</f>
        <v>0</v>
      </c>
      <c r="R27" s="30">
        <f>SUM($Q$27:$Q$27)</f>
        <v>0</v>
      </c>
      <c r="S27" s="30">
        <f>'TE BE'!$S$27*'TE BF'!$S$49</f>
        <v>0</v>
      </c>
      <c r="T27" s="30">
        <f>'TE BE'!$T$27*'TE BF'!$T$49</f>
        <v>0</v>
      </c>
      <c r="U27" s="30">
        <f>'TE BE'!$U$27*'TE BF'!$U$49</f>
        <v>0</v>
      </c>
      <c r="V27" s="30">
        <f>SUM($S$27:$U$27)</f>
        <v>0</v>
      </c>
      <c r="W27" s="30">
        <f>'TE BE'!$AA$27*'TE BF'!$W$49</f>
        <v>0</v>
      </c>
      <c r="X27" s="30">
        <f>SUM($W$27:$W$27)</f>
        <v>0</v>
      </c>
      <c r="Y27" s="30">
        <f>'TE BE'!$Y$27*'TE BF'!$Y$49</f>
        <v>0</v>
      </c>
      <c r="Z27" s="30">
        <f>SUM($Y$27:$Y$27)</f>
        <v>0</v>
      </c>
      <c r="AA27" s="30">
        <f>SUMIF($L$4:$Z$4,"SUBTOTAL",$L$27:$Z$27)</f>
        <v>0</v>
      </c>
    </row>
    <row r="28" spans="1:27" ht="11.25" customHeight="1" x14ac:dyDescent="0.25">
      <c r="A28" s="138"/>
      <c r="B28" s="38" t="s">
        <v>74</v>
      </c>
      <c r="C28" s="38" t="s">
        <v>44</v>
      </c>
      <c r="D28" s="38" t="s">
        <v>87</v>
      </c>
      <c r="E28" s="38" t="s">
        <v>25</v>
      </c>
      <c r="F28" s="38" t="s">
        <v>25</v>
      </c>
      <c r="G28" s="32" t="s">
        <v>75</v>
      </c>
      <c r="H28" s="32" t="s">
        <v>71</v>
      </c>
      <c r="I28" s="32">
        <f>'MERCADO TE'!$U$25</f>
        <v>0</v>
      </c>
      <c r="J28" s="17"/>
      <c r="L28" s="30">
        <f>'TE BE'!$L$28*'TE BF'!$L$49</f>
        <v>0</v>
      </c>
      <c r="M28" s="30">
        <f>'TE BE'!$M$28*'TE BF'!$M$49</f>
        <v>0</v>
      </c>
      <c r="N28" s="30">
        <f>'TE BE'!$N$28*'TE BF'!$N$49</f>
        <v>0</v>
      </c>
      <c r="O28" s="30">
        <f>'TE BE'!$O$28*'TE BF'!$O$49</f>
        <v>0</v>
      </c>
      <c r="P28" s="30">
        <f>SUM($L$28:$O$28)</f>
        <v>0</v>
      </c>
      <c r="Q28" s="30">
        <f>'TE BE'!$Q$28*'TE BF'!$Q$49</f>
        <v>0</v>
      </c>
      <c r="R28" s="30">
        <f>SUM($Q$28:$Q$28)</f>
        <v>0</v>
      </c>
      <c r="S28" s="30">
        <f>'TE BE'!$S$28*'TE BF'!$S$49</f>
        <v>0</v>
      </c>
      <c r="T28" s="30">
        <f>'TE BE'!$T$28*'TE BF'!$T$49</f>
        <v>0</v>
      </c>
      <c r="U28" s="30">
        <f>'TE BE'!$U$28*'TE BF'!$U$49</f>
        <v>0</v>
      </c>
      <c r="V28" s="30">
        <f>SUM($S$28:$U$28)</f>
        <v>0</v>
      </c>
      <c r="W28" s="30">
        <f>'TE BE'!$AA$28*'TE BF'!$W$49</f>
        <v>0</v>
      </c>
      <c r="X28" s="30">
        <f>SUM($W$28:$W$28)</f>
        <v>0</v>
      </c>
      <c r="Y28" s="30">
        <f>'TE BE'!$Y$28*'TE BF'!$Y$49</f>
        <v>0</v>
      </c>
      <c r="Z28" s="30">
        <f>SUM($Y$28:$Y$28)</f>
        <v>0</v>
      </c>
      <c r="AA28" s="30">
        <f>SUMIF($L$4:$Z$4,"SUBTOTAL",$L$28:$Z$28)</f>
        <v>0</v>
      </c>
    </row>
    <row r="29" spans="1:27" ht="11.25" customHeight="1" x14ac:dyDescent="0.25">
      <c r="A29" s="138"/>
      <c r="B29" s="138" t="s">
        <v>70</v>
      </c>
      <c r="C29" s="138" t="s">
        <v>44</v>
      </c>
      <c r="D29" s="138" t="s">
        <v>88</v>
      </c>
      <c r="E29" s="138" t="s">
        <v>25</v>
      </c>
      <c r="F29" s="138" t="s">
        <v>25</v>
      </c>
      <c r="G29" s="32" t="s">
        <v>72</v>
      </c>
      <c r="H29" s="32" t="s">
        <v>71</v>
      </c>
      <c r="I29" s="32">
        <f>'MERCADO TE'!$U$26</f>
        <v>0</v>
      </c>
      <c r="J29" s="17"/>
      <c r="L29" s="30">
        <f>'TE BE'!$L$29*'TE BF'!$L$49</f>
        <v>0</v>
      </c>
      <c r="M29" s="30">
        <f>'TE BE'!$M$29*'TE BF'!$M$49</f>
        <v>0</v>
      </c>
      <c r="N29" s="30">
        <f>'TE BE'!$N$29*'TE BF'!$N$49</f>
        <v>0</v>
      </c>
      <c r="O29" s="30">
        <f>'TE BE'!$O$29*'TE BF'!$O$49</f>
        <v>0</v>
      </c>
      <c r="P29" s="30">
        <f>SUM($L$29:$O$29)</f>
        <v>0</v>
      </c>
      <c r="Q29" s="30">
        <f>'TE BE'!$Q$29*'TE BF'!$Q$49</f>
        <v>0</v>
      </c>
      <c r="R29" s="30">
        <f>SUM($Q$29:$Q$29)</f>
        <v>0</v>
      </c>
      <c r="S29" s="30">
        <f>'TE BE'!$S$29*'TE BF'!$S$49</f>
        <v>0</v>
      </c>
      <c r="T29" s="30">
        <f>'TE BE'!$T$29*'TE BF'!$T$49</f>
        <v>0</v>
      </c>
      <c r="U29" s="30">
        <f>'TE BE'!$U$29*'TE BF'!$U$49</f>
        <v>0</v>
      </c>
      <c r="V29" s="30">
        <f>SUM($S$29:$U$29)</f>
        <v>0</v>
      </c>
      <c r="W29" s="30">
        <f>'TE BE'!$AA$29*'TE BF'!$W$49</f>
        <v>0</v>
      </c>
      <c r="X29" s="30">
        <f>SUM($W$29:$W$29)</f>
        <v>0</v>
      </c>
      <c r="Y29" s="30">
        <f>'TE BE'!$Y$29*'TE BF'!$Y$49</f>
        <v>0</v>
      </c>
      <c r="Z29" s="30">
        <f>SUM($Y$29:$Y$29)</f>
        <v>0</v>
      </c>
      <c r="AA29" s="30">
        <f>SUMIF($L$4:$Z$4,"SUBTOTAL",$L$29:$Z$29)</f>
        <v>0</v>
      </c>
    </row>
    <row r="30" spans="1:27" ht="11.25" customHeight="1" x14ac:dyDescent="0.25">
      <c r="A30" s="138"/>
      <c r="B30" s="138"/>
      <c r="C30" s="138"/>
      <c r="D30" s="138"/>
      <c r="E30" s="138"/>
      <c r="F30" s="138"/>
      <c r="G30" s="32" t="s">
        <v>84</v>
      </c>
      <c r="H30" s="32" t="s">
        <v>71</v>
      </c>
      <c r="I30" s="32">
        <f>'MERCADO TE'!$U$27</f>
        <v>0</v>
      </c>
      <c r="J30" s="17"/>
      <c r="L30" s="30">
        <f>'TE BE'!$L$30*'TE BF'!$L$49</f>
        <v>0</v>
      </c>
      <c r="M30" s="30">
        <f>'TE BE'!$M$30*'TE BF'!$M$49</f>
        <v>0</v>
      </c>
      <c r="N30" s="30">
        <f>'TE BE'!$N$30*'TE BF'!$N$49</f>
        <v>0</v>
      </c>
      <c r="O30" s="30">
        <f>'TE BE'!$O$30*'TE BF'!$O$49</f>
        <v>0</v>
      </c>
      <c r="P30" s="30">
        <f>SUM($L$30:$O$30)</f>
        <v>0</v>
      </c>
      <c r="Q30" s="30">
        <f>'TE BE'!$Q$30*'TE BF'!$Q$49</f>
        <v>0</v>
      </c>
      <c r="R30" s="30">
        <f>SUM($Q$30:$Q$30)</f>
        <v>0</v>
      </c>
      <c r="S30" s="30">
        <f>'TE BE'!$S$30*'TE BF'!$S$49</f>
        <v>0</v>
      </c>
      <c r="T30" s="30">
        <f>'TE BE'!$T$30*'TE BF'!$T$49</f>
        <v>0</v>
      </c>
      <c r="U30" s="30">
        <f>'TE BE'!$U$30*'TE BF'!$U$49</f>
        <v>0</v>
      </c>
      <c r="V30" s="30">
        <f>SUM($S$30:$U$30)</f>
        <v>0</v>
      </c>
      <c r="W30" s="30">
        <f>'TE BE'!$AA$30*'TE BF'!$W$49</f>
        <v>0</v>
      </c>
      <c r="X30" s="30">
        <f>SUM($W$30:$W$30)</f>
        <v>0</v>
      </c>
      <c r="Y30" s="30">
        <f>'TE BE'!$Y$30*'TE BF'!$Y$49</f>
        <v>0</v>
      </c>
      <c r="Z30" s="30">
        <f>SUM($Y$30:$Y$30)</f>
        <v>0</v>
      </c>
      <c r="AA30" s="30">
        <f>SUMIF($L$4:$Z$4,"SUBTOTAL",$L$30:$Z$30)</f>
        <v>0</v>
      </c>
    </row>
    <row r="31" spans="1:27" ht="11.25" customHeight="1" x14ac:dyDescent="0.25">
      <c r="A31" s="138"/>
      <c r="B31" s="138"/>
      <c r="C31" s="138"/>
      <c r="D31" s="138"/>
      <c r="E31" s="138"/>
      <c r="F31" s="138"/>
      <c r="G31" s="32" t="s">
        <v>73</v>
      </c>
      <c r="H31" s="32" t="s">
        <v>71</v>
      </c>
      <c r="I31" s="32">
        <f>'MERCADO TE'!$U$28</f>
        <v>0</v>
      </c>
      <c r="J31" s="17"/>
      <c r="L31" s="30">
        <f>'TE BE'!$L$31*'TE BF'!$L$49</f>
        <v>0</v>
      </c>
      <c r="M31" s="30">
        <f>'TE BE'!$M$31*'TE BF'!$M$49</f>
        <v>0</v>
      </c>
      <c r="N31" s="30">
        <f>'TE BE'!$N$31*'TE BF'!$N$49</f>
        <v>0</v>
      </c>
      <c r="O31" s="30">
        <f>'TE BE'!$O$31*'TE BF'!$O$49</f>
        <v>0</v>
      </c>
      <c r="P31" s="30">
        <f>SUM($L$31:$O$31)</f>
        <v>0</v>
      </c>
      <c r="Q31" s="30">
        <f>'TE BE'!$Q$31*'TE BF'!$Q$49</f>
        <v>0</v>
      </c>
      <c r="R31" s="30">
        <f>SUM($Q$31:$Q$31)</f>
        <v>0</v>
      </c>
      <c r="S31" s="30">
        <f>'TE BE'!$S$31*'TE BF'!$S$49</f>
        <v>0</v>
      </c>
      <c r="T31" s="30">
        <f>'TE BE'!$T$31*'TE BF'!$T$49</f>
        <v>0</v>
      </c>
      <c r="U31" s="30">
        <f>'TE BE'!$U$31*'TE BF'!$U$49</f>
        <v>0</v>
      </c>
      <c r="V31" s="30">
        <f>SUM($S$31:$U$31)</f>
        <v>0</v>
      </c>
      <c r="W31" s="30">
        <f>'TE BE'!$AA$31*'TE BF'!$W$49</f>
        <v>0</v>
      </c>
      <c r="X31" s="30">
        <f>SUM($W$31:$W$31)</f>
        <v>0</v>
      </c>
      <c r="Y31" s="30">
        <f>'TE BE'!$Y$31*'TE BF'!$Y$49</f>
        <v>0</v>
      </c>
      <c r="Z31" s="30">
        <f>SUM($Y$31:$Y$31)</f>
        <v>0</v>
      </c>
      <c r="AA31" s="30">
        <f>SUMIF($L$4:$Z$4,"SUBTOTAL",$L$31:$Z$31)</f>
        <v>0</v>
      </c>
    </row>
    <row r="32" spans="1:27" ht="11.25" customHeight="1" x14ac:dyDescent="0.25">
      <c r="A32" s="138"/>
      <c r="B32" s="38" t="s">
        <v>74</v>
      </c>
      <c r="C32" s="38" t="s">
        <v>44</v>
      </c>
      <c r="D32" s="38" t="s">
        <v>88</v>
      </c>
      <c r="E32" s="38" t="s">
        <v>25</v>
      </c>
      <c r="F32" s="38" t="s">
        <v>25</v>
      </c>
      <c r="G32" s="32" t="s">
        <v>75</v>
      </c>
      <c r="H32" s="32" t="s">
        <v>71</v>
      </c>
      <c r="I32" s="32">
        <f>'MERCADO TE'!$U$29</f>
        <v>0</v>
      </c>
      <c r="J32" s="17"/>
      <c r="L32" s="30">
        <f>'TE BE'!$L$32*'TE BF'!$L$49</f>
        <v>0</v>
      </c>
      <c r="M32" s="30">
        <f>'TE BE'!$M$32*'TE BF'!$M$49</f>
        <v>0</v>
      </c>
      <c r="N32" s="30">
        <f>'TE BE'!$N$32*'TE BF'!$N$49</f>
        <v>0</v>
      </c>
      <c r="O32" s="30">
        <f>'TE BE'!$O$32*'TE BF'!$O$49</f>
        <v>0</v>
      </c>
      <c r="P32" s="30">
        <f>SUM($L$32:$O$32)</f>
        <v>0</v>
      </c>
      <c r="Q32" s="30">
        <f>'TE BE'!$Q$32*'TE BF'!$Q$49</f>
        <v>0</v>
      </c>
      <c r="R32" s="30">
        <f>SUM($Q$32:$Q$32)</f>
        <v>0</v>
      </c>
      <c r="S32" s="30">
        <f>'TE BE'!$S$32*'TE BF'!$S$49</f>
        <v>0</v>
      </c>
      <c r="T32" s="30">
        <f>'TE BE'!$T$32*'TE BF'!$T$49</f>
        <v>0</v>
      </c>
      <c r="U32" s="30">
        <f>'TE BE'!$U$32*'TE BF'!$U$49</f>
        <v>0</v>
      </c>
      <c r="V32" s="30">
        <f>SUM($S$32:$U$32)</f>
        <v>0</v>
      </c>
      <c r="W32" s="30">
        <f>'TE BE'!$AA$32*'TE BF'!$W$49</f>
        <v>0</v>
      </c>
      <c r="X32" s="30">
        <f>SUM($W$32:$W$32)</f>
        <v>0</v>
      </c>
      <c r="Y32" s="30">
        <f>'TE BE'!$Y$32*'TE BF'!$Y$49</f>
        <v>0</v>
      </c>
      <c r="Z32" s="30">
        <f>SUM($Y$32:$Y$32)</f>
        <v>0</v>
      </c>
      <c r="AA32" s="30">
        <f>SUMIF($L$4:$Z$4,"SUBTOTAL",$L$32:$Z$32)</f>
        <v>0</v>
      </c>
    </row>
    <row r="33" spans="1:27" ht="11.25" customHeight="1" x14ac:dyDescent="0.25">
      <c r="A33" s="138"/>
      <c r="B33" s="138" t="s">
        <v>85</v>
      </c>
      <c r="C33" s="138" t="s">
        <v>44</v>
      </c>
      <c r="D33" s="38" t="s">
        <v>25</v>
      </c>
      <c r="E33" s="38" t="s">
        <v>25</v>
      </c>
      <c r="F33" s="38" t="s">
        <v>25</v>
      </c>
      <c r="G33" s="32" t="s">
        <v>75</v>
      </c>
      <c r="H33" s="32" t="s">
        <v>71</v>
      </c>
      <c r="I33" s="32">
        <f>'MERCADO TE'!$U$30</f>
        <v>0</v>
      </c>
      <c r="J33" s="17"/>
      <c r="L33" s="30">
        <f>'TE BE'!$L$33*'TE BF'!$L$49</f>
        <v>0</v>
      </c>
      <c r="M33" s="30">
        <f>'TE BE'!$M$33*'TE BF'!$M$49</f>
        <v>0</v>
      </c>
      <c r="N33" s="30">
        <f>'TE BE'!$N$33*'TE BF'!$N$49</f>
        <v>0</v>
      </c>
      <c r="O33" s="30">
        <f>'TE BE'!$O$33*'TE BF'!$O$49</f>
        <v>0</v>
      </c>
      <c r="P33" s="30">
        <f>SUM($L$33:$O$33)</f>
        <v>0</v>
      </c>
      <c r="Q33" s="30">
        <f>'TE BE'!$Q$33*'TE BF'!$Q$49</f>
        <v>0</v>
      </c>
      <c r="R33" s="30">
        <f>SUM($Q$33:$Q$33)</f>
        <v>0</v>
      </c>
      <c r="S33" s="30">
        <f>'TE BE'!$S$33*'TE BF'!$S$49</f>
        <v>0</v>
      </c>
      <c r="T33" s="30">
        <f>'TE BE'!$T$33*'TE BF'!$T$49</f>
        <v>0</v>
      </c>
      <c r="U33" s="30">
        <f>'TE BE'!$U$33*'TE BF'!$U$49</f>
        <v>0</v>
      </c>
      <c r="V33" s="30">
        <f>SUM($S$33:$U$33)</f>
        <v>0</v>
      </c>
      <c r="W33" s="30">
        <f>'TE BE'!$AA$33*'TE BF'!$W$49</f>
        <v>0</v>
      </c>
      <c r="X33" s="30">
        <f>SUM($W$33:$W$33)</f>
        <v>0</v>
      </c>
      <c r="Y33" s="30">
        <f>'TE BE'!$Y$33*'TE BF'!$Y$49</f>
        <v>0</v>
      </c>
      <c r="Z33" s="30">
        <f>SUM($Y$33:$Y$33)</f>
        <v>0</v>
      </c>
      <c r="AA33" s="30">
        <f>SUMIF($L$4:$Z$4,"SUBTOTAL",$L$33:$Z$33)</f>
        <v>0</v>
      </c>
    </row>
    <row r="34" spans="1:27" ht="11.25" customHeight="1" x14ac:dyDescent="0.25">
      <c r="A34" s="138"/>
      <c r="B34" s="138"/>
      <c r="C34" s="138"/>
      <c r="D34" s="38" t="s">
        <v>87</v>
      </c>
      <c r="E34" s="38" t="s">
        <v>25</v>
      </c>
      <c r="F34" s="38" t="s">
        <v>25</v>
      </c>
      <c r="G34" s="32" t="s">
        <v>75</v>
      </c>
      <c r="H34" s="32" t="s">
        <v>71</v>
      </c>
      <c r="I34" s="32">
        <f>'MERCADO TE'!$U$31</f>
        <v>0</v>
      </c>
      <c r="J34" s="17"/>
      <c r="L34" s="30">
        <f>'TE BE'!$L$34*'TE BF'!$L$49</f>
        <v>0</v>
      </c>
      <c r="M34" s="30">
        <f>'TE BE'!$M$34*'TE BF'!$M$49</f>
        <v>0</v>
      </c>
      <c r="N34" s="30">
        <f>'TE BE'!$N$34*'TE BF'!$N$49</f>
        <v>0</v>
      </c>
      <c r="O34" s="30">
        <f>'TE BE'!$O$34*'TE BF'!$O$49</f>
        <v>0</v>
      </c>
      <c r="P34" s="30">
        <f>SUM($L$34:$O$34)</f>
        <v>0</v>
      </c>
      <c r="Q34" s="30">
        <f>'TE BE'!$Q$34*'TE BF'!$Q$49</f>
        <v>0</v>
      </c>
      <c r="R34" s="30">
        <f>SUM($Q$34:$Q$34)</f>
        <v>0</v>
      </c>
      <c r="S34" s="30">
        <f>'TE BE'!$S$34*'TE BF'!$S$49</f>
        <v>0</v>
      </c>
      <c r="T34" s="30">
        <f>'TE BE'!$T$34*'TE BF'!$T$49</f>
        <v>0</v>
      </c>
      <c r="U34" s="30">
        <f>'TE BE'!$U$34*'TE BF'!$U$49</f>
        <v>0</v>
      </c>
      <c r="V34" s="30">
        <f>SUM($S$34:$U$34)</f>
        <v>0</v>
      </c>
      <c r="W34" s="30">
        <f>'TE BE'!$AA$34*'TE BF'!$W$49</f>
        <v>0</v>
      </c>
      <c r="X34" s="30">
        <f>SUM($W$34:$W$34)</f>
        <v>0</v>
      </c>
      <c r="Y34" s="30">
        <f>'TE BE'!$Y$34*'TE BF'!$Y$49</f>
        <v>0</v>
      </c>
      <c r="Z34" s="30">
        <f>SUM($Y$34:$Y$34)</f>
        <v>0</v>
      </c>
      <c r="AA34" s="30">
        <f>SUMIF($L$4:$Z$4,"SUBTOTAL",$L$34:$Z$34)</f>
        <v>0</v>
      </c>
    </row>
    <row r="35" spans="1:27" ht="11.25" customHeight="1" x14ac:dyDescent="0.25">
      <c r="A35" s="138"/>
      <c r="B35" s="138"/>
      <c r="C35" s="138"/>
      <c r="D35" s="38" t="s">
        <v>88</v>
      </c>
      <c r="E35" s="38" t="s">
        <v>25</v>
      </c>
      <c r="F35" s="38" t="s">
        <v>25</v>
      </c>
      <c r="G35" s="32" t="s">
        <v>75</v>
      </c>
      <c r="H35" s="32" t="s">
        <v>71</v>
      </c>
      <c r="I35" s="32">
        <f>'MERCADO TE'!$U$32</f>
        <v>0</v>
      </c>
      <c r="J35" s="17"/>
      <c r="L35" s="30">
        <f>'TE BE'!$L$35*'TE BF'!$L$49</f>
        <v>0</v>
      </c>
      <c r="M35" s="30">
        <f>'TE BE'!$M$35*'TE BF'!$M$49</f>
        <v>0</v>
      </c>
      <c r="N35" s="30">
        <f>'TE BE'!$N$35*'TE BF'!$N$49</f>
        <v>0</v>
      </c>
      <c r="O35" s="30">
        <f>'TE BE'!$O$35*'TE BF'!$O$49</f>
        <v>0</v>
      </c>
      <c r="P35" s="30">
        <f>SUM($L$35:$O$35)</f>
        <v>0</v>
      </c>
      <c r="Q35" s="30">
        <f>'TE BE'!$Q$35*'TE BF'!$Q$49</f>
        <v>0</v>
      </c>
      <c r="R35" s="30">
        <f>SUM($Q$35:$Q$35)</f>
        <v>0</v>
      </c>
      <c r="S35" s="30">
        <f>'TE BE'!$S$35*'TE BF'!$S$49</f>
        <v>0</v>
      </c>
      <c r="T35" s="30">
        <f>'TE BE'!$T$35*'TE BF'!$T$49</f>
        <v>0</v>
      </c>
      <c r="U35" s="30">
        <f>'TE BE'!$U$35*'TE BF'!$U$49</f>
        <v>0</v>
      </c>
      <c r="V35" s="30">
        <f>SUM($S$35:$U$35)</f>
        <v>0</v>
      </c>
      <c r="W35" s="30">
        <f>'TE BE'!$AA$35*'TE BF'!$W$49</f>
        <v>0</v>
      </c>
      <c r="X35" s="30">
        <f>SUM($W$35:$W$35)</f>
        <v>0</v>
      </c>
      <c r="Y35" s="30">
        <f>'TE BE'!$Y$35*'TE BF'!$Y$49</f>
        <v>0</v>
      </c>
      <c r="Z35" s="30">
        <f>SUM($Y$35:$Y$35)</f>
        <v>0</v>
      </c>
      <c r="AA35" s="30">
        <f>SUMIF($L$4:$Z$4,"SUBTOTAL",$L$35:$Z$35)</f>
        <v>0</v>
      </c>
    </row>
    <row r="36" spans="1:27" ht="11.25" customHeight="1" x14ac:dyDescent="0.25">
      <c r="A36" s="138" t="s">
        <v>39</v>
      </c>
      <c r="B36" s="138" t="s">
        <v>70</v>
      </c>
      <c r="C36" s="138" t="s">
        <v>25</v>
      </c>
      <c r="D36" s="138" t="s">
        <v>25</v>
      </c>
      <c r="E36" s="138" t="s">
        <v>25</v>
      </c>
      <c r="F36" s="138" t="s">
        <v>25</v>
      </c>
      <c r="G36" s="32" t="s">
        <v>72</v>
      </c>
      <c r="H36" s="32" t="s">
        <v>71</v>
      </c>
      <c r="I36" s="32">
        <f>'MERCADO TE'!$U$33</f>
        <v>0</v>
      </c>
      <c r="J36" s="17"/>
      <c r="L36" s="30">
        <f>'TE BE'!$L$36*'TE BF'!$L$49</f>
        <v>0</v>
      </c>
      <c r="M36" s="30">
        <f>'TE BE'!$M$36*'TE BF'!$M$49</f>
        <v>0</v>
      </c>
      <c r="N36" s="30">
        <f>'TE BE'!$N$36*'TE BF'!$N$49</f>
        <v>0</v>
      </c>
      <c r="O36" s="30">
        <f>'TE BE'!$O$36*'TE BF'!$O$49</f>
        <v>0</v>
      </c>
      <c r="P36" s="30">
        <f>SUM($L$36:$O$36)</f>
        <v>0</v>
      </c>
      <c r="Q36" s="30">
        <f>'TE BE'!$Q$36*'TE BF'!$Q$49</f>
        <v>0</v>
      </c>
      <c r="R36" s="30">
        <f>SUM($Q$36:$Q$36)</f>
        <v>0</v>
      </c>
      <c r="S36" s="30">
        <f>'TE BE'!$S$36*'TE BF'!$S$49</f>
        <v>0</v>
      </c>
      <c r="T36" s="30">
        <f>'TE BE'!$T$36*'TE BF'!$T$49</f>
        <v>0</v>
      </c>
      <c r="U36" s="30">
        <f>'TE BE'!$U$36*'TE BF'!$U$49</f>
        <v>0</v>
      </c>
      <c r="V36" s="30">
        <f>SUM($S$36:$U$36)</f>
        <v>0</v>
      </c>
      <c r="W36" s="30">
        <f>'TE BE'!$AA$36*'TE BF'!$W$49</f>
        <v>0</v>
      </c>
      <c r="X36" s="30">
        <f>SUM($W$36:$W$36)</f>
        <v>0</v>
      </c>
      <c r="Y36" s="30">
        <f>'TE BE'!$Y$36*'TE BF'!$Y$49</f>
        <v>0</v>
      </c>
      <c r="Z36" s="30">
        <f>SUM($Y$36:$Y$36)</f>
        <v>0</v>
      </c>
      <c r="AA36" s="30">
        <f>SUMIF($L$4:$Z$4,"SUBTOTAL",$L$36:$Z$36)</f>
        <v>0</v>
      </c>
    </row>
    <row r="37" spans="1:27" ht="11.25" customHeight="1" x14ac:dyDescent="0.25">
      <c r="A37" s="138"/>
      <c r="B37" s="138"/>
      <c r="C37" s="138"/>
      <c r="D37" s="138"/>
      <c r="E37" s="138"/>
      <c r="F37" s="138"/>
      <c r="G37" s="32" t="s">
        <v>84</v>
      </c>
      <c r="H37" s="32" t="s">
        <v>71</v>
      </c>
      <c r="I37" s="32">
        <f>'MERCADO TE'!$U$34</f>
        <v>0</v>
      </c>
      <c r="J37" s="17"/>
      <c r="L37" s="30">
        <f>'TE BE'!$L$37*'TE BF'!$L$49</f>
        <v>0</v>
      </c>
      <c r="M37" s="30">
        <f>'TE BE'!$M$37*'TE BF'!$M$49</f>
        <v>0</v>
      </c>
      <c r="N37" s="30">
        <f>'TE BE'!$N$37*'TE BF'!$N$49</f>
        <v>0</v>
      </c>
      <c r="O37" s="30">
        <f>'TE BE'!$O$37*'TE BF'!$O$49</f>
        <v>0</v>
      </c>
      <c r="P37" s="30">
        <f>SUM($L$37:$O$37)</f>
        <v>0</v>
      </c>
      <c r="Q37" s="30">
        <f>'TE BE'!$Q$37*'TE BF'!$Q$49</f>
        <v>0</v>
      </c>
      <c r="R37" s="30">
        <f>SUM($Q$37:$Q$37)</f>
        <v>0</v>
      </c>
      <c r="S37" s="30">
        <f>'TE BE'!$S$37*'TE BF'!$S$49</f>
        <v>0</v>
      </c>
      <c r="T37" s="30">
        <f>'TE BE'!$T$37*'TE BF'!$T$49</f>
        <v>0</v>
      </c>
      <c r="U37" s="30">
        <f>'TE BE'!$U$37*'TE BF'!$U$49</f>
        <v>0</v>
      </c>
      <c r="V37" s="30">
        <f>SUM($S$37:$U$37)</f>
        <v>0</v>
      </c>
      <c r="W37" s="30">
        <f>'TE BE'!$AA$37*'TE BF'!$W$49</f>
        <v>0</v>
      </c>
      <c r="X37" s="30">
        <f>SUM($W$37:$W$37)</f>
        <v>0</v>
      </c>
      <c r="Y37" s="30">
        <f>'TE BE'!$Y$37*'TE BF'!$Y$49</f>
        <v>0</v>
      </c>
      <c r="Z37" s="30">
        <f>SUM($Y$37:$Y$37)</f>
        <v>0</v>
      </c>
      <c r="AA37" s="30">
        <f>SUMIF($L$4:$Z$4,"SUBTOTAL",$L$37:$Z$37)</f>
        <v>0</v>
      </c>
    </row>
    <row r="38" spans="1:27" ht="11.25" customHeight="1" x14ac:dyDescent="0.25">
      <c r="A38" s="138"/>
      <c r="B38" s="138"/>
      <c r="C38" s="138"/>
      <c r="D38" s="138"/>
      <c r="E38" s="138"/>
      <c r="F38" s="138"/>
      <c r="G38" s="32" t="s">
        <v>73</v>
      </c>
      <c r="H38" s="32" t="s">
        <v>71</v>
      </c>
      <c r="I38" s="32">
        <f>'MERCADO TE'!$U$35</f>
        <v>0</v>
      </c>
      <c r="J38" s="17"/>
      <c r="L38" s="30">
        <f>'TE BE'!$L$38*'TE BF'!$L$49</f>
        <v>0</v>
      </c>
      <c r="M38" s="30">
        <f>'TE BE'!$M$38*'TE BF'!$M$49</f>
        <v>0</v>
      </c>
      <c r="N38" s="30">
        <f>'TE BE'!$N$38*'TE BF'!$N$49</f>
        <v>0</v>
      </c>
      <c r="O38" s="30">
        <f>'TE BE'!$O$38*'TE BF'!$O$49</f>
        <v>0</v>
      </c>
      <c r="P38" s="30">
        <f>SUM($L$38:$O$38)</f>
        <v>0</v>
      </c>
      <c r="Q38" s="30">
        <f>'TE BE'!$Q$38*'TE BF'!$Q$49</f>
        <v>0</v>
      </c>
      <c r="R38" s="30">
        <f>SUM($Q$38:$Q$38)</f>
        <v>0</v>
      </c>
      <c r="S38" s="30">
        <f>'TE BE'!$S$38*'TE BF'!$S$49</f>
        <v>0</v>
      </c>
      <c r="T38" s="30">
        <f>'TE BE'!$T$38*'TE BF'!$T$49</f>
        <v>0</v>
      </c>
      <c r="U38" s="30">
        <f>'TE BE'!$U$38*'TE BF'!$U$49</f>
        <v>0</v>
      </c>
      <c r="V38" s="30">
        <f>SUM($S$38:$U$38)</f>
        <v>0</v>
      </c>
      <c r="W38" s="30">
        <f>'TE BE'!$AA$38*'TE BF'!$W$49</f>
        <v>0</v>
      </c>
      <c r="X38" s="30">
        <f>SUM($W$38:$W$38)</f>
        <v>0</v>
      </c>
      <c r="Y38" s="30">
        <f>'TE BE'!$Y$38*'TE BF'!$Y$49</f>
        <v>0</v>
      </c>
      <c r="Z38" s="30">
        <f>SUM($Y$38:$Y$38)</f>
        <v>0</v>
      </c>
      <c r="AA38" s="30">
        <f>SUMIF($L$4:$Z$4,"SUBTOTAL",$L$38:$Z$38)</f>
        <v>0</v>
      </c>
    </row>
    <row r="39" spans="1:27" ht="11.25" customHeight="1" x14ac:dyDescent="0.25">
      <c r="A39" s="138"/>
      <c r="B39" s="38" t="s">
        <v>74</v>
      </c>
      <c r="C39" s="38" t="s">
        <v>25</v>
      </c>
      <c r="D39" s="38" t="s">
        <v>25</v>
      </c>
      <c r="E39" s="38" t="s">
        <v>25</v>
      </c>
      <c r="F39" s="38" t="s">
        <v>25</v>
      </c>
      <c r="G39" s="32" t="s">
        <v>75</v>
      </c>
      <c r="H39" s="32" t="s">
        <v>71</v>
      </c>
      <c r="I39" s="32">
        <f>'MERCADO TE'!$U$36</f>
        <v>4622.2640000000001</v>
      </c>
      <c r="J39" s="17"/>
      <c r="L39" s="30">
        <f>'TE BE'!$L$39*'TE BF'!$L$49</f>
        <v>0</v>
      </c>
      <c r="M39" s="30">
        <f>'TE BE'!$M$39*'TE BF'!$M$49</f>
        <v>0</v>
      </c>
      <c r="N39" s="30">
        <f>'TE BE'!$N$39*'TE BF'!$N$49</f>
        <v>0</v>
      </c>
      <c r="O39" s="30">
        <f>'TE BE'!$O$39*'TE BF'!$O$49</f>
        <v>0</v>
      </c>
      <c r="P39" s="30">
        <f>SUM($L$39:$O$39)</f>
        <v>0</v>
      </c>
      <c r="Q39" s="30">
        <f>'TE BE'!$Q$39*'TE BF'!$Q$49</f>
        <v>0</v>
      </c>
      <c r="R39" s="30">
        <f>SUM($Q$39:$Q$39)</f>
        <v>0</v>
      </c>
      <c r="S39" s="30">
        <f>'TE BE'!$S$39*'TE BF'!$S$49</f>
        <v>0</v>
      </c>
      <c r="T39" s="30">
        <f>'TE BE'!$T$39*'TE BF'!$T$49</f>
        <v>0</v>
      </c>
      <c r="U39" s="30">
        <f>'TE BE'!$U$39*'TE BF'!$U$49</f>
        <v>0</v>
      </c>
      <c r="V39" s="30">
        <f>SUM($S$39:$U$39)</f>
        <v>0</v>
      </c>
      <c r="W39" s="30">
        <f>'TE BE'!$AA$39*'TE BF'!$W$49</f>
        <v>0</v>
      </c>
      <c r="X39" s="30">
        <f>SUM($W$39:$W$39)</f>
        <v>0</v>
      </c>
      <c r="Y39" s="30">
        <f>'TE BE'!$Y$39*'TE BF'!$Y$49</f>
        <v>0</v>
      </c>
      <c r="Z39" s="30">
        <f>SUM($Y$39:$Y$39)</f>
        <v>0</v>
      </c>
      <c r="AA39" s="30">
        <f>SUMIF($L$4:$Z$4,"SUBTOTAL",$L$39:$Z$39)</f>
        <v>0</v>
      </c>
    </row>
    <row r="40" spans="1:27" ht="11.25" customHeight="1" x14ac:dyDescent="0.25">
      <c r="A40" s="138"/>
      <c r="B40" s="38" t="s">
        <v>85</v>
      </c>
      <c r="C40" s="38" t="s">
        <v>25</v>
      </c>
      <c r="D40" s="38" t="s">
        <v>25</v>
      </c>
      <c r="E40" s="38" t="s">
        <v>25</v>
      </c>
      <c r="F40" s="38" t="s">
        <v>25</v>
      </c>
      <c r="G40" s="32" t="s">
        <v>75</v>
      </c>
      <c r="H40" s="32" t="s">
        <v>71</v>
      </c>
      <c r="I40" s="32">
        <f>'MERCADO TE'!$U$37</f>
        <v>0</v>
      </c>
      <c r="J40" s="17"/>
      <c r="L40" s="30">
        <f>'TE BE'!$L$40*'TE BF'!$L$49</f>
        <v>0</v>
      </c>
      <c r="M40" s="30">
        <f>'TE BE'!$M$40*'TE BF'!$M$49</f>
        <v>0</v>
      </c>
      <c r="N40" s="30">
        <f>'TE BE'!$N$40*'TE BF'!$N$49</f>
        <v>0</v>
      </c>
      <c r="O40" s="30">
        <f>'TE BE'!$O$40*'TE BF'!$O$49</f>
        <v>0</v>
      </c>
      <c r="P40" s="30">
        <f>SUM($L$40:$O$40)</f>
        <v>0</v>
      </c>
      <c r="Q40" s="30">
        <f>'TE BE'!$Q$40*'TE BF'!$Q$49</f>
        <v>0</v>
      </c>
      <c r="R40" s="30">
        <f>SUM($Q$40:$Q$40)</f>
        <v>0</v>
      </c>
      <c r="S40" s="30">
        <f>'TE BE'!$S$40*'TE BF'!$S$49</f>
        <v>0</v>
      </c>
      <c r="T40" s="30">
        <f>'TE BE'!$T$40*'TE BF'!$T$49</f>
        <v>0</v>
      </c>
      <c r="U40" s="30">
        <f>'TE BE'!$U$40*'TE BF'!$U$49</f>
        <v>0</v>
      </c>
      <c r="V40" s="30">
        <f>SUM($S$40:$U$40)</f>
        <v>0</v>
      </c>
      <c r="W40" s="30">
        <f>'TE BE'!$AA$40*'TE BF'!$W$49</f>
        <v>0</v>
      </c>
      <c r="X40" s="30">
        <f>SUM($W$40:$W$40)</f>
        <v>0</v>
      </c>
      <c r="Y40" s="30">
        <f>'TE BE'!$Y$40*'TE BF'!$Y$49</f>
        <v>0</v>
      </c>
      <c r="Z40" s="30">
        <f>SUM($Y$40:$Y$40)</f>
        <v>0</v>
      </c>
      <c r="AA40" s="30">
        <f>SUMIF($L$4:$Z$4,"SUBTOTAL",$L$40:$Z$40)</f>
        <v>0</v>
      </c>
    </row>
    <row r="41" spans="1:27" ht="11.25" customHeight="1" x14ac:dyDescent="0.25">
      <c r="A41" s="138" t="s">
        <v>46</v>
      </c>
      <c r="B41" s="138" t="s">
        <v>74</v>
      </c>
      <c r="C41" s="138" t="s">
        <v>47</v>
      </c>
      <c r="D41" s="38" t="s">
        <v>48</v>
      </c>
      <c r="E41" s="38" t="s">
        <v>25</v>
      </c>
      <c r="F41" s="38" t="s">
        <v>25</v>
      </c>
      <c r="G41" s="32" t="s">
        <v>75</v>
      </c>
      <c r="H41" s="32" t="s">
        <v>71</v>
      </c>
      <c r="I41" s="32">
        <f>'MERCADO TE'!$U$38</f>
        <v>3347.1679999999992</v>
      </c>
      <c r="J41" s="17"/>
      <c r="L41" s="30">
        <f>'TE BE'!$L$41*'TE BF'!$L$49</f>
        <v>0</v>
      </c>
      <c r="M41" s="30">
        <f>'TE BE'!$M$41*'TE BF'!$M$49</f>
        <v>0</v>
      </c>
      <c r="N41" s="30">
        <f>'TE BE'!$N$41*'TE BF'!$N$49</f>
        <v>0</v>
      </c>
      <c r="O41" s="30">
        <f>'TE BE'!$O$41*'TE BF'!$O$49</f>
        <v>0</v>
      </c>
      <c r="P41" s="30">
        <f>SUM($L$41:$O$41)</f>
        <v>0</v>
      </c>
      <c r="Q41" s="30">
        <f>'TE BE'!$Q$41*'TE BF'!$Q$49</f>
        <v>0</v>
      </c>
      <c r="R41" s="30">
        <f>SUM($Q$41:$Q$41)</f>
        <v>0</v>
      </c>
      <c r="S41" s="30">
        <f>'TE BE'!$S$41*'TE BF'!$S$49</f>
        <v>0</v>
      </c>
      <c r="T41" s="30">
        <f>'TE BE'!$T$41*'TE BF'!$T$49</f>
        <v>0</v>
      </c>
      <c r="U41" s="30">
        <f>'TE BE'!$U$41*'TE BF'!$U$49</f>
        <v>0</v>
      </c>
      <c r="V41" s="30">
        <f>SUM($S$41:$U$41)</f>
        <v>0</v>
      </c>
      <c r="W41" s="30">
        <f>'TE BE'!$AA$41*'TE BF'!$W$49</f>
        <v>0</v>
      </c>
      <c r="X41" s="30">
        <f>SUM($W$41:$W$41)</f>
        <v>0</v>
      </c>
      <c r="Y41" s="30">
        <f>'TE BE'!$Y$41*'TE BF'!$Y$49</f>
        <v>0</v>
      </c>
      <c r="Z41" s="30">
        <f>SUM($Y$41:$Y$41)</f>
        <v>0</v>
      </c>
      <c r="AA41" s="30">
        <f>SUMIF($L$4:$Z$4,"SUBTOTAL",$L$41:$Z$41)</f>
        <v>0</v>
      </c>
    </row>
    <row r="42" spans="1:27" ht="11.25" customHeight="1" x14ac:dyDescent="0.25">
      <c r="A42" s="138"/>
      <c r="B42" s="138"/>
      <c r="C42" s="138"/>
      <c r="D42" s="32" t="s">
        <v>89</v>
      </c>
      <c r="E42" s="32" t="s">
        <v>25</v>
      </c>
      <c r="F42" s="32" t="s">
        <v>25</v>
      </c>
      <c r="G42" s="32" t="s">
        <v>75</v>
      </c>
      <c r="H42" s="32" t="s">
        <v>71</v>
      </c>
      <c r="I42" s="32">
        <f>'MERCADO TE'!$U$39</f>
        <v>0</v>
      </c>
      <c r="J42" s="17"/>
      <c r="L42" s="30">
        <f>'TE BE'!$L$42*'TE BF'!$L$49</f>
        <v>0</v>
      </c>
      <c r="M42" s="30">
        <f>'TE BE'!$M$42*'TE BF'!$M$49</f>
        <v>0</v>
      </c>
      <c r="N42" s="30">
        <f>'TE BE'!$N$42*'TE BF'!$N$49</f>
        <v>0</v>
      </c>
      <c r="O42" s="30">
        <f>'TE BE'!$O$42*'TE BF'!$O$49</f>
        <v>0</v>
      </c>
      <c r="P42" s="30">
        <f>SUM($L$42:$O$42)</f>
        <v>0</v>
      </c>
      <c r="Q42" s="30">
        <f>'TE BE'!$Q$42*'TE BF'!$Q$49</f>
        <v>0</v>
      </c>
      <c r="R42" s="30">
        <f>SUM($Q$42:$Q$42)</f>
        <v>0</v>
      </c>
      <c r="S42" s="30">
        <f>'TE BE'!$S$42*'TE BF'!$S$49</f>
        <v>0</v>
      </c>
      <c r="T42" s="30">
        <f>'TE BE'!$T$42*'TE BF'!$T$49</f>
        <v>0</v>
      </c>
      <c r="U42" s="30">
        <f>'TE BE'!$U$42*'TE BF'!$U$49</f>
        <v>0</v>
      </c>
      <c r="V42" s="30">
        <f>SUM($S$42:$U$42)</f>
        <v>0</v>
      </c>
      <c r="W42" s="30">
        <f>'TE BE'!$AA$42*'TE BF'!$W$49</f>
        <v>0</v>
      </c>
      <c r="X42" s="30">
        <f>SUM($W$42:$W$42)</f>
        <v>0</v>
      </c>
      <c r="Y42" s="30">
        <f>'TE BE'!$Y$42*'TE BF'!$Y$49</f>
        <v>0</v>
      </c>
      <c r="Z42" s="30">
        <f>SUM($Y$42:$Y$42)</f>
        <v>0</v>
      </c>
      <c r="AA42" s="30">
        <f>SUMIF($L$4:$Z$4,"SUBTOTAL",$L$42:$Z$42)</f>
        <v>0</v>
      </c>
    </row>
    <row r="44" spans="1:27" ht="11.25" customHeight="1" x14ac:dyDescent="0.25">
      <c r="K44" s="37" t="s">
        <v>567</v>
      </c>
      <c r="L44" s="30">
        <f t="shared" ref="L44:AA44" si="0">SUMPRODUCT($I$5:$I$42,L$5:L$42)</f>
        <v>0</v>
      </c>
      <c r="M44" s="30">
        <f t="shared" si="0"/>
        <v>0</v>
      </c>
      <c r="N44" s="30">
        <f t="shared" si="0"/>
        <v>0</v>
      </c>
      <c r="O44" s="30">
        <f t="shared" si="0"/>
        <v>0</v>
      </c>
      <c r="P44" s="30">
        <f t="shared" si="0"/>
        <v>0</v>
      </c>
      <c r="Q44" s="30">
        <f t="shared" si="0"/>
        <v>0</v>
      </c>
      <c r="R44" s="30">
        <f t="shared" si="0"/>
        <v>0</v>
      </c>
      <c r="S44" s="30">
        <f t="shared" si="0"/>
        <v>0</v>
      </c>
      <c r="T44" s="30">
        <f t="shared" si="0"/>
        <v>0</v>
      </c>
      <c r="U44" s="30">
        <f t="shared" si="0"/>
        <v>0</v>
      </c>
      <c r="V44" s="30">
        <f t="shared" si="0"/>
        <v>0</v>
      </c>
      <c r="W44" s="30">
        <f t="shared" si="0"/>
        <v>0</v>
      </c>
      <c r="X44" s="30">
        <f t="shared" si="0"/>
        <v>0</v>
      </c>
      <c r="Y44" s="30">
        <f t="shared" si="0"/>
        <v>0</v>
      </c>
      <c r="Z44" s="30">
        <f t="shared" si="0"/>
        <v>0</v>
      </c>
      <c r="AA44" s="30">
        <f t="shared" si="0"/>
        <v>0</v>
      </c>
    </row>
    <row r="45" spans="1:27" ht="11.25" customHeight="1" x14ac:dyDescent="0.25">
      <c r="K45" s="37" t="s">
        <v>486</v>
      </c>
      <c r="L45" s="30">
        <f>CUSTOS!$D$30</f>
        <v>0</v>
      </c>
      <c r="M45" s="30">
        <f>CUSTOS!$D$31</f>
        <v>0</v>
      </c>
      <c r="N45" s="30">
        <f>CUSTOS!$D$32</f>
        <v>0</v>
      </c>
      <c r="O45" s="30">
        <f>CUSTOS!$D$33</f>
        <v>0</v>
      </c>
      <c r="P45" s="30">
        <f>CUSTOS!$D$34</f>
        <v>0</v>
      </c>
      <c r="Q45" s="30">
        <f>CUSTOS!$D$35</f>
        <v>8422710.0564853679</v>
      </c>
      <c r="R45" s="30">
        <f>CUSTOS!$D$36</f>
        <v>8422710.0564853679</v>
      </c>
      <c r="S45" s="30">
        <f>CUSTOS!$D$37</f>
        <v>0</v>
      </c>
      <c r="T45" s="30">
        <f>CUSTOS!$D$38</f>
        <v>0</v>
      </c>
      <c r="U45" s="30">
        <f>CUSTOS!$D$39</f>
        <v>0</v>
      </c>
      <c r="V45" s="30">
        <f>CUSTOS!$D$40</f>
        <v>0</v>
      </c>
      <c r="W45" s="30">
        <f>CUSTOS!$D$41</f>
        <v>0</v>
      </c>
      <c r="X45" s="30">
        <f>CUSTOS!$D$42</f>
        <v>0</v>
      </c>
      <c r="Y45" s="30">
        <f>CUSTOS!$D$43</f>
        <v>0</v>
      </c>
      <c r="Z45" s="30">
        <f>CUSTOS!$D$44</f>
        <v>0</v>
      </c>
      <c r="AA45" s="30">
        <f>CUSTOS!$D$45</f>
        <v>8422710.0564853679</v>
      </c>
    </row>
    <row r="46" spans="1:27" ht="11.25" customHeight="1" x14ac:dyDescent="0.25">
      <c r="K46" s="37" t="s">
        <v>487</v>
      </c>
      <c r="L46" s="30">
        <f>CUSTOS!$E$30</f>
        <v>0</v>
      </c>
      <c r="M46" s="30">
        <f>CUSTOS!$E$31</f>
        <v>0</v>
      </c>
      <c r="N46" s="30">
        <f>CUSTOS!$E$32</f>
        <v>0</v>
      </c>
      <c r="O46" s="30">
        <f>CUSTOS!$E$33</f>
        <v>0</v>
      </c>
      <c r="P46" s="30">
        <f>CUSTOS!$E$34</f>
        <v>0</v>
      </c>
      <c r="Q46" s="30">
        <f>CUSTOS!$E$35</f>
        <v>2389497.9682118199</v>
      </c>
      <c r="R46" s="30">
        <f>CUSTOS!$E$36</f>
        <v>2389497.9682118199</v>
      </c>
      <c r="S46" s="30">
        <f>CUSTOS!$E$37</f>
        <v>0</v>
      </c>
      <c r="T46" s="30">
        <f>CUSTOS!$E$38</f>
        <v>0</v>
      </c>
      <c r="U46" s="30">
        <f>CUSTOS!$E$39</f>
        <v>0</v>
      </c>
      <c r="V46" s="30">
        <f>CUSTOS!$E$40</f>
        <v>0</v>
      </c>
      <c r="W46" s="30">
        <f>CUSTOS!$E$41</f>
        <v>0</v>
      </c>
      <c r="X46" s="30">
        <f>CUSTOS!$E$42</f>
        <v>0</v>
      </c>
      <c r="Y46" s="30">
        <f>CUSTOS!$E$43</f>
        <v>0</v>
      </c>
      <c r="Z46" s="30">
        <f>CUSTOS!$E$44</f>
        <v>0</v>
      </c>
      <c r="AA46" s="30">
        <f>CUSTOS!$E$45</f>
        <v>2389497.9682118199</v>
      </c>
    </row>
    <row r="47" spans="1:27" ht="11.25" customHeight="1" x14ac:dyDescent="0.25">
      <c r="K47" s="37" t="s">
        <v>488</v>
      </c>
      <c r="L47" s="30">
        <f>CUSTOS!$F$30</f>
        <v>0</v>
      </c>
      <c r="M47" s="30">
        <f>CUSTOS!$F$31</f>
        <v>0</v>
      </c>
      <c r="N47" s="30">
        <f>CUSTOS!$F$32</f>
        <v>0</v>
      </c>
      <c r="O47" s="30">
        <f>CUSTOS!$F$33</f>
        <v>0</v>
      </c>
      <c r="P47" s="30">
        <f>CUSTOS!$F$34</f>
        <v>0</v>
      </c>
      <c r="Q47" s="30">
        <f>CUSTOS!$F$35</f>
        <v>0</v>
      </c>
      <c r="R47" s="30">
        <f>CUSTOS!$F$36</f>
        <v>0</v>
      </c>
      <c r="S47" s="30">
        <f>CUSTOS!$F$37</f>
        <v>0</v>
      </c>
      <c r="T47" s="30">
        <f>CUSTOS!$F$38</f>
        <v>0</v>
      </c>
      <c r="U47" s="30">
        <f>CUSTOS!$F$39</f>
        <v>0</v>
      </c>
      <c r="V47" s="30">
        <f>CUSTOS!$F$40</f>
        <v>0</v>
      </c>
      <c r="W47" s="30">
        <f>CUSTOS!$F$41</f>
        <v>0</v>
      </c>
      <c r="X47" s="30">
        <f>CUSTOS!$F$42</f>
        <v>0</v>
      </c>
      <c r="Y47" s="30">
        <f>CUSTOS!$F$43</f>
        <v>0</v>
      </c>
      <c r="Z47" s="30">
        <f>CUSTOS!$F$44</f>
        <v>0</v>
      </c>
      <c r="AA47" s="30">
        <f>CUSTOS!$F$45</f>
        <v>0</v>
      </c>
    </row>
    <row r="48" spans="1:27" ht="11.25" customHeight="1" x14ac:dyDescent="0.25"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</row>
    <row r="49" spans="11:27" ht="11.25" customHeight="1" x14ac:dyDescent="0.25"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</row>
    <row r="50" spans="11:27" ht="11.25" customHeight="1" x14ac:dyDescent="0.25"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</row>
  </sheetData>
  <mergeCells count="61">
    <mergeCell ref="E36:E38"/>
    <mergeCell ref="F36:F38"/>
    <mergeCell ref="A41:A42"/>
    <mergeCell ref="B41:B42"/>
    <mergeCell ref="C41:C42"/>
    <mergeCell ref="D36:D38"/>
    <mergeCell ref="B33:B35"/>
    <mergeCell ref="C33:C35"/>
    <mergeCell ref="A36:A40"/>
    <mergeCell ref="B36:B38"/>
    <mergeCell ref="C36:C38"/>
    <mergeCell ref="A21:A35"/>
    <mergeCell ref="B21:B23"/>
    <mergeCell ref="C21:C23"/>
    <mergeCell ref="B29:B31"/>
    <mergeCell ref="C29:C31"/>
    <mergeCell ref="B25:B27"/>
    <mergeCell ref="C25:C27"/>
    <mergeCell ref="D29:D31"/>
    <mergeCell ref="E29:E31"/>
    <mergeCell ref="F29:F31"/>
    <mergeCell ref="D21:D23"/>
    <mergeCell ref="E21:E23"/>
    <mergeCell ref="F21:F23"/>
    <mergeCell ref="D25:D27"/>
    <mergeCell ref="E25:E27"/>
    <mergeCell ref="F25:F27"/>
    <mergeCell ref="A8:A20"/>
    <mergeCell ref="B8:B10"/>
    <mergeCell ref="C8:C10"/>
    <mergeCell ref="D8:D10"/>
    <mergeCell ref="E8:E10"/>
    <mergeCell ref="F8:F10"/>
    <mergeCell ref="B11:B15"/>
    <mergeCell ref="C11:C15"/>
    <mergeCell ref="B16:B20"/>
    <mergeCell ref="C16:C20"/>
    <mergeCell ref="Y3:Z3"/>
    <mergeCell ref="AA3:AA4"/>
    <mergeCell ref="A5:A7"/>
    <mergeCell ref="B5:B6"/>
    <mergeCell ref="C5:C6"/>
    <mergeCell ref="D5:D6"/>
    <mergeCell ref="E5:E6"/>
    <mergeCell ref="F5:F6"/>
    <mergeCell ref="G1:G4"/>
    <mergeCell ref="H1:H4"/>
    <mergeCell ref="I1:I4"/>
    <mergeCell ref="J1:J4"/>
    <mergeCell ref="L1:AA1"/>
    <mergeCell ref="L2:AA2"/>
    <mergeCell ref="L3:P3"/>
    <mergeCell ref="Q3:R3"/>
    <mergeCell ref="S3:V3"/>
    <mergeCell ref="W3:X3"/>
    <mergeCell ref="A1:A4"/>
    <mergeCell ref="B1:B4"/>
    <mergeCell ref="C1:C4"/>
    <mergeCell ref="D1:D4"/>
    <mergeCell ref="E1:E4"/>
    <mergeCell ref="F1:F4"/>
  </mergeCells>
  <conditionalFormatting sqref="L44">
    <cfRule type="cellIs" dxfId="613" priority="31" operator="notEqual">
      <formula>$L$47</formula>
    </cfRule>
    <cfRule type="cellIs" dxfId="612" priority="32" operator="equal">
      <formula>$L$47</formula>
    </cfRule>
  </conditionalFormatting>
  <conditionalFormatting sqref="M44">
    <cfRule type="cellIs" dxfId="611" priority="29" operator="notEqual">
      <formula>$M$47</formula>
    </cfRule>
    <cfRule type="cellIs" dxfId="610" priority="30" operator="equal">
      <formula>$M$47</formula>
    </cfRule>
  </conditionalFormatting>
  <conditionalFormatting sqref="N44">
    <cfRule type="cellIs" dxfId="609" priority="27" operator="notEqual">
      <formula>$N$47</formula>
    </cfRule>
    <cfRule type="cellIs" dxfId="608" priority="28" operator="equal">
      <formula>$N$47</formula>
    </cfRule>
  </conditionalFormatting>
  <conditionalFormatting sqref="O44">
    <cfRule type="cellIs" dxfId="607" priority="25" operator="notEqual">
      <formula>$O$47</formula>
    </cfRule>
    <cfRule type="cellIs" dxfId="606" priority="26" operator="equal">
      <formula>$O$47</formula>
    </cfRule>
  </conditionalFormatting>
  <conditionalFormatting sqref="P44">
    <cfRule type="cellIs" dxfId="605" priority="23" operator="notEqual">
      <formula>$P$47</formula>
    </cfRule>
    <cfRule type="cellIs" dxfId="604" priority="24" operator="equal">
      <formula>$P$47</formula>
    </cfRule>
  </conditionalFormatting>
  <conditionalFormatting sqref="Q44">
    <cfRule type="cellIs" dxfId="603" priority="21" operator="notEqual">
      <formula>$Q$47</formula>
    </cfRule>
    <cfRule type="cellIs" dxfId="602" priority="22" operator="equal">
      <formula>$Q$47</formula>
    </cfRule>
  </conditionalFormatting>
  <conditionalFormatting sqref="R44">
    <cfRule type="cellIs" dxfId="601" priority="19" operator="notEqual">
      <formula>$R$47</formula>
    </cfRule>
    <cfRule type="cellIs" dxfId="600" priority="20" operator="equal">
      <formula>$R$47</formula>
    </cfRule>
  </conditionalFormatting>
  <conditionalFormatting sqref="S44">
    <cfRule type="cellIs" dxfId="599" priority="17" operator="notEqual">
      <formula>$S$47</formula>
    </cfRule>
    <cfRule type="cellIs" dxfId="598" priority="18" operator="equal">
      <formula>$S$47</formula>
    </cfRule>
  </conditionalFormatting>
  <conditionalFormatting sqref="T44">
    <cfRule type="cellIs" dxfId="597" priority="15" operator="notEqual">
      <formula>$T$47</formula>
    </cfRule>
    <cfRule type="cellIs" dxfId="596" priority="16" operator="equal">
      <formula>$T$47</formula>
    </cfRule>
  </conditionalFormatting>
  <conditionalFormatting sqref="U44">
    <cfRule type="cellIs" dxfId="595" priority="13" operator="notEqual">
      <formula>$U$47</formula>
    </cfRule>
    <cfRule type="cellIs" dxfId="594" priority="14" operator="equal">
      <formula>$U$47</formula>
    </cfRule>
  </conditionalFormatting>
  <conditionalFormatting sqref="V44">
    <cfRule type="cellIs" dxfId="593" priority="11" operator="notEqual">
      <formula>$V$47</formula>
    </cfRule>
    <cfRule type="cellIs" dxfId="592" priority="12" operator="equal">
      <formula>$V$47</formula>
    </cfRule>
  </conditionalFormatting>
  <conditionalFormatting sqref="W44">
    <cfRule type="cellIs" dxfId="591" priority="9" operator="notEqual">
      <formula>$W$47</formula>
    </cfRule>
    <cfRule type="cellIs" dxfId="590" priority="10" operator="equal">
      <formula>$W$47</formula>
    </cfRule>
  </conditionalFormatting>
  <conditionalFormatting sqref="X44">
    <cfRule type="cellIs" dxfId="589" priority="7" operator="notEqual">
      <formula>$X$47</formula>
    </cfRule>
    <cfRule type="cellIs" dxfId="588" priority="8" operator="equal">
      <formula>$X$47</formula>
    </cfRule>
  </conditionalFormatting>
  <conditionalFormatting sqref="Y44">
    <cfRule type="cellIs" dxfId="587" priority="5" operator="notEqual">
      <formula>$Y$47</formula>
    </cfRule>
    <cfRule type="cellIs" dxfId="586" priority="6" operator="equal">
      <formula>$Y$47</formula>
    </cfRule>
  </conditionalFormatting>
  <conditionalFormatting sqref="Z44">
    <cfRule type="cellIs" dxfId="585" priority="3" operator="notEqual">
      <formula>$Z$47</formula>
    </cfRule>
    <cfRule type="cellIs" dxfId="584" priority="4" operator="equal">
      <formula>$Z$47</formula>
    </cfRule>
  </conditionalFormatting>
  <conditionalFormatting sqref="AA44">
    <cfRule type="cellIs" dxfId="583" priority="1" operator="notEqual">
      <formula>$AA$47</formula>
    </cfRule>
    <cfRule type="cellIs" dxfId="582" priority="2" operator="equal">
      <formula>$AA$47</formula>
    </cfRule>
  </conditionalFormatting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7CB2E-41E5-4193-ACE8-6641F36A0827}">
  <dimension ref="A1:AV469"/>
  <sheetViews>
    <sheetView showGridLines="0" topLeftCell="AD1" workbookViewId="0">
      <selection sqref="A1:AG469"/>
    </sheetView>
  </sheetViews>
  <sheetFormatPr defaultRowHeight="11.25" customHeight="1" x14ac:dyDescent="0.25"/>
  <cols>
    <col min="1" max="1" width="19.140625" style="3" bestFit="1" customWidth="1"/>
    <col min="2" max="2" width="13.28515625" style="3" bestFit="1" customWidth="1"/>
    <col min="3" max="3" width="14.5703125" style="3" bestFit="1" customWidth="1"/>
    <col min="4" max="4" width="13.5703125" style="3" bestFit="1" customWidth="1"/>
    <col min="5" max="5" width="25.140625" style="3" bestFit="1" customWidth="1"/>
    <col min="6" max="6" width="12.85546875" style="3" bestFit="1" customWidth="1"/>
    <col min="7" max="7" width="11.28515625" style="3" bestFit="1" customWidth="1"/>
    <col min="8" max="8" width="10.28515625" style="3" bestFit="1" customWidth="1"/>
    <col min="9" max="9" width="12.140625" style="6" bestFit="1" customWidth="1"/>
    <col min="10" max="10" width="7" style="4" bestFit="1" customWidth="1"/>
    <col min="11" max="11" width="7.85546875" style="4" bestFit="1" customWidth="1"/>
    <col min="12" max="12" width="11.28515625" style="4" bestFit="1" customWidth="1"/>
    <col min="13" max="13" width="12.5703125" style="4" bestFit="1" customWidth="1"/>
    <col min="14" max="14" width="9.140625" style="4" bestFit="1" customWidth="1"/>
    <col min="15" max="15" width="10.42578125" style="4" bestFit="1" customWidth="1"/>
    <col min="16" max="16" width="7.85546875" style="4" bestFit="1" customWidth="1"/>
    <col min="17" max="17" width="11.140625" style="3" bestFit="1" customWidth="1"/>
    <col min="18" max="18" width="13.140625" style="3" bestFit="1" customWidth="1"/>
    <col min="19" max="19" width="23" style="3" bestFit="1" customWidth="1"/>
    <col min="20" max="20" width="24.42578125" style="3" bestFit="1" customWidth="1"/>
    <col min="21" max="21" width="22.28515625" style="3" bestFit="1" customWidth="1"/>
    <col min="22" max="22" width="15.85546875" style="3" bestFit="1" customWidth="1"/>
    <col min="23" max="23" width="17.28515625" style="3" bestFit="1" customWidth="1"/>
    <col min="24" max="24" width="15.140625" style="3" bestFit="1" customWidth="1"/>
    <col min="25" max="25" width="20.85546875" style="3" bestFit="1" customWidth="1"/>
    <col min="26" max="26" width="22.42578125" style="3" bestFit="1" customWidth="1"/>
    <col min="27" max="27" width="20.140625" style="3" bestFit="1" customWidth="1"/>
    <col min="28" max="28" width="23.28515625" style="3" bestFit="1" customWidth="1"/>
    <col min="29" max="29" width="24.7109375" style="3" bestFit="1" customWidth="1"/>
    <col min="30" max="30" width="22.5703125" style="3" bestFit="1" customWidth="1"/>
    <col min="31" max="31" width="24.140625" style="3" bestFit="1" customWidth="1"/>
    <col min="32" max="32" width="25.5703125" style="3" bestFit="1" customWidth="1"/>
    <col min="33" max="33" width="23.42578125" style="3" bestFit="1" customWidth="1"/>
    <col min="34" max="34" width="9.140625" style="3"/>
    <col min="35" max="35" width="9.28515625" style="3" bestFit="1" customWidth="1"/>
    <col min="36" max="36" width="14.5703125" style="3" bestFit="1" customWidth="1"/>
    <col min="37" max="37" width="15.42578125" style="3" bestFit="1" customWidth="1"/>
    <col min="38" max="38" width="9.28515625" style="3" bestFit="1" customWidth="1"/>
    <col min="39" max="39" width="9.140625" style="3"/>
    <col min="40" max="40" width="9.28515625" style="3" bestFit="1" customWidth="1"/>
    <col min="41" max="41" width="12.28515625" style="3" bestFit="1" customWidth="1"/>
    <col min="42" max="42" width="13.28515625" style="3" bestFit="1" customWidth="1"/>
    <col min="43" max="43" width="9.28515625" style="3" bestFit="1" customWidth="1"/>
    <col min="44" max="44" width="9.140625" style="3"/>
    <col min="45" max="45" width="9.28515625" style="3" bestFit="1" customWidth="1"/>
    <col min="46" max="47" width="10.85546875" style="3" bestFit="1" customWidth="1"/>
    <col min="48" max="48" width="9.28515625" style="3" bestFit="1" customWidth="1"/>
    <col min="49" max="16384" width="9.140625" style="3"/>
  </cols>
  <sheetData>
    <row r="1" spans="1:48" s="1" customFormat="1" ht="11.2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5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593</v>
      </c>
      <c r="W1" s="1" t="s">
        <v>594</v>
      </c>
      <c r="X1" s="1" t="s">
        <v>595</v>
      </c>
      <c r="Y1" s="1" t="s">
        <v>596</v>
      </c>
      <c r="Z1" s="1" t="s">
        <v>597</v>
      </c>
      <c r="AA1" s="1" t="s">
        <v>598</v>
      </c>
      <c r="AB1" s="1" t="s">
        <v>611</v>
      </c>
      <c r="AC1" s="1" t="s">
        <v>612</v>
      </c>
      <c r="AD1" s="1" t="s">
        <v>613</v>
      </c>
      <c r="AE1" s="1" t="s">
        <v>614</v>
      </c>
      <c r="AF1" s="1" t="s">
        <v>615</v>
      </c>
      <c r="AG1" s="1" t="s">
        <v>616</v>
      </c>
      <c r="AI1" s="51" t="s">
        <v>61</v>
      </c>
      <c r="AJ1" s="51" t="s">
        <v>617</v>
      </c>
      <c r="AK1" s="51" t="s">
        <v>618</v>
      </c>
      <c r="AL1" s="51" t="s">
        <v>619</v>
      </c>
      <c r="AN1" s="51" t="s">
        <v>61</v>
      </c>
      <c r="AO1" s="51" t="s">
        <v>620</v>
      </c>
      <c r="AP1" s="51" t="s">
        <v>621</v>
      </c>
      <c r="AQ1" s="51" t="s">
        <v>619</v>
      </c>
      <c r="AS1" s="51" t="s">
        <v>61</v>
      </c>
      <c r="AT1" s="51" t="s">
        <v>622</v>
      </c>
      <c r="AU1" s="51" t="s">
        <v>623</v>
      </c>
      <c r="AV1" s="51" t="s">
        <v>619</v>
      </c>
    </row>
    <row r="2" spans="1:48" ht="11.25" customHeight="1" x14ac:dyDescent="0.25">
      <c r="A2" s="3" t="s">
        <v>21</v>
      </c>
      <c r="B2" s="3" t="s">
        <v>33</v>
      </c>
      <c r="C2" s="3" t="s">
        <v>41</v>
      </c>
      <c r="D2" s="3" t="s">
        <v>40</v>
      </c>
      <c r="E2" s="3" t="s">
        <v>25</v>
      </c>
      <c r="F2" s="3" t="s">
        <v>25</v>
      </c>
      <c r="G2" s="3" t="s">
        <v>25</v>
      </c>
      <c r="H2" s="3" t="s">
        <v>36</v>
      </c>
      <c r="I2" s="6">
        <v>44287</v>
      </c>
      <c r="J2" s="4">
        <v>92</v>
      </c>
      <c r="K2" s="4">
        <v>92</v>
      </c>
      <c r="L2" s="4">
        <v>54.991999999999997</v>
      </c>
      <c r="M2" s="4">
        <v>54.991999999999997</v>
      </c>
      <c r="N2" s="4">
        <v>54.991999999999997</v>
      </c>
      <c r="O2" s="4">
        <v>54.991999999999997</v>
      </c>
      <c r="P2" s="4">
        <v>0</v>
      </c>
      <c r="Q2" s="3" t="s">
        <v>26</v>
      </c>
      <c r="R2" s="3">
        <v>0</v>
      </c>
      <c r="S2" s="4">
        <v>2</v>
      </c>
      <c r="T2" s="4">
        <v>3</v>
      </c>
      <c r="U2" s="4">
        <v>83</v>
      </c>
      <c r="V2" s="4">
        <f>IF(ISERROR(VLOOKUP($S$2,'TAR FIN'!$A$1:$O$85,15,0)),0,VLOOKUP($S$2,'TAR FIN'!$A$1:$O$85,15,0))</f>
        <v>63.83</v>
      </c>
      <c r="W2" s="4">
        <f>IF(ISERROR(VLOOKUP($T$2,'TAR FIN'!$A$1:$O$85,15,0)),0,VLOOKUP($T$2,'TAR FIN'!$A$1:$O$85,15,0))</f>
        <v>103.26</v>
      </c>
      <c r="X2" s="4">
        <f>IF(ISERROR(VLOOKUP($U$2,'TAR FIN'!$A$1:$O$85,15,0)),0,VLOOKUP($U$2,'TAR FIN'!$A$1:$O$85,15,0))</f>
        <v>231.33</v>
      </c>
      <c r="Y2" s="4">
        <f ca="1">('TUSD BE'!$AM$6+'TUSD BF'!$AM$6+'TUSD CVA'!$AM$6)*1</f>
        <v>77.970056746860777</v>
      </c>
      <c r="Z2" s="4">
        <f ca="1">('TUSD BE'!$AM$7+'TUSD BF'!$AM$7+'TUSD CVA'!$AM$7)*1</f>
        <v>136.85799051957201</v>
      </c>
      <c r="AA2" s="4">
        <f>('TE BE'!$AA$6+'TE BF'!$AA$6+'TE CVA'!$AA$6)*1</f>
        <v>260.80314197522284</v>
      </c>
      <c r="AB2" s="4">
        <f>$K$2*$V$2</f>
        <v>5872.36</v>
      </c>
      <c r="AC2" s="4">
        <f>$M$2*$W$2</f>
        <v>5678.4739200000004</v>
      </c>
      <c r="AD2" s="4">
        <f>$O$2*$X$2</f>
        <v>12721.299360000001</v>
      </c>
      <c r="AE2" s="4">
        <f ca="1">$K$2*$Y$2</f>
        <v>7173.2452207111919</v>
      </c>
      <c r="AF2" s="4">
        <f ca="1">$M$2*$Z$2</f>
        <v>7526.0946146523038</v>
      </c>
      <c r="AG2" s="4">
        <f>$O$2*$AA$2</f>
        <v>14342.086383501453</v>
      </c>
      <c r="AI2" s="52" t="s">
        <v>33</v>
      </c>
      <c r="AJ2" s="53">
        <f>SUMIF($B$2:$B$469,AI2,$AB$2:$AB$469)+SUMIF($B$2:$B$469,AI2,$AC$2:$AC$469)</f>
        <v>2029236.0895599993</v>
      </c>
      <c r="AK2" s="53">
        <f ca="1">SUMIF($B$2:$B$469,AI2,$AE$2:$AE$469)+SUMIF($B$2:$B$469,AI2,$AF$2:$AF$469)</f>
        <v>2514423.3472513738</v>
      </c>
      <c r="AL2" s="54">
        <f t="shared" ref="AL2:AL9" ca="1" si="0">IF(AJ2&lt;&gt;0,AK2/AJ2-1,0)</f>
        <v>0.23909847660780459</v>
      </c>
      <c r="AN2" s="52" t="s">
        <v>33</v>
      </c>
      <c r="AO2" s="53">
        <f>SUMIF($B$2:$B$469,AN2,$AD$2:$AD$469)</f>
        <v>930290.12505000015</v>
      </c>
      <c r="AP2" s="53">
        <f>SUMIF($B$2:$B$469,AN2,$AG$2:$AG$469)</f>
        <v>1048815.9234062291</v>
      </c>
      <c r="AQ2" s="54">
        <f t="shared" ref="AQ2:AQ9" si="1">IF(AO2&lt;&gt;0,AP2/AO2-1,0)</f>
        <v>0.12740734870195314</v>
      </c>
      <c r="AS2" s="52" t="s">
        <v>33</v>
      </c>
      <c r="AT2" s="53">
        <f>SUMIF($B$2:$B$469,AS2,$AB$2:$AB$469)+SUMIF($B$2:$B$469,AS2,$AC$2:$AC$469)+SUMIF($B$2:$B$469,AS2,$AD$2:$AD$469)</f>
        <v>2959526.2146099992</v>
      </c>
      <c r="AU2" s="53">
        <f ca="1">SUMIF($B$2:$B$469,AS2,$AE$2:$AE$469)+SUMIF($B$2:$B$469,AS2,$AF$2:$AF$469)+SUMIF($B$2:$B$469,AS2,$AG$2:$AG$469)</f>
        <v>3563239.2706576027</v>
      </c>
      <c r="AV2" s="54">
        <f t="shared" ref="AV2:AV9" ca="1" si="2">IF(AT2&lt;&gt;0,AU2/AT2-1,0)</f>
        <v>0.20398976466818008</v>
      </c>
    </row>
    <row r="3" spans="1:48" ht="11.25" customHeight="1" x14ac:dyDescent="0.25">
      <c r="A3" s="3" t="s">
        <v>21</v>
      </c>
      <c r="B3" s="3" t="s">
        <v>33</v>
      </c>
      <c r="C3" s="3" t="s">
        <v>41</v>
      </c>
      <c r="D3" s="3" t="s">
        <v>40</v>
      </c>
      <c r="E3" s="3" t="s">
        <v>25</v>
      </c>
      <c r="F3" s="3" t="s">
        <v>25</v>
      </c>
      <c r="G3" s="3" t="s">
        <v>25</v>
      </c>
      <c r="H3" s="3" t="s">
        <v>36</v>
      </c>
      <c r="I3" s="6">
        <v>44317</v>
      </c>
      <c r="J3" s="4">
        <v>92</v>
      </c>
      <c r="K3" s="4">
        <v>92</v>
      </c>
      <c r="L3" s="4">
        <v>57.692999999999998</v>
      </c>
      <c r="M3" s="4">
        <v>57.692999999999998</v>
      </c>
      <c r="N3" s="4">
        <v>57.692999999999998</v>
      </c>
      <c r="O3" s="4">
        <v>57.692999999999998</v>
      </c>
      <c r="P3" s="4">
        <v>0</v>
      </c>
      <c r="Q3" s="3" t="s">
        <v>26</v>
      </c>
      <c r="R3" s="3">
        <v>0</v>
      </c>
      <c r="S3" s="4">
        <v>2</v>
      </c>
      <c r="T3" s="4">
        <v>3</v>
      </c>
      <c r="U3" s="4">
        <v>83</v>
      </c>
      <c r="V3" s="4">
        <f>IF(ISERROR(VLOOKUP($S$3,'TAR FIN'!$A$1:$O$85,15,0)),0,VLOOKUP($S$3,'TAR FIN'!$A$1:$O$85,15,0))</f>
        <v>63.83</v>
      </c>
      <c r="W3" s="4">
        <f>IF(ISERROR(VLOOKUP($T$3,'TAR FIN'!$A$1:$O$85,15,0)),0,VLOOKUP($T$3,'TAR FIN'!$A$1:$O$85,15,0))</f>
        <v>103.26</v>
      </c>
      <c r="X3" s="4">
        <f>IF(ISERROR(VLOOKUP($U$3,'TAR FIN'!$A$1:$O$85,15,0)),0,VLOOKUP($U$3,'TAR FIN'!$A$1:$O$85,15,0))</f>
        <v>231.33</v>
      </c>
      <c r="Y3" s="4">
        <f ca="1">('TUSD BE'!$AM$6+'TUSD BF'!$AM$6+'TUSD CVA'!$AM$6)*1</f>
        <v>77.970056746860777</v>
      </c>
      <c r="Z3" s="4">
        <f ca="1">('TUSD BE'!$AM$7+'TUSD BF'!$AM$7+'TUSD CVA'!$AM$7)*1</f>
        <v>136.85799051957201</v>
      </c>
      <c r="AA3" s="4">
        <f>('TE BE'!$AA$6+'TE BF'!$AA$6+'TE CVA'!$AA$6)*1</f>
        <v>260.80314197522284</v>
      </c>
      <c r="AB3" s="4">
        <f>$K$3*$V$3</f>
        <v>5872.36</v>
      </c>
      <c r="AC3" s="4">
        <f>$M$3*$W$3</f>
        <v>5957.3791799999999</v>
      </c>
      <c r="AD3" s="4">
        <f>$O$3*$X$3</f>
        <v>13346.12169</v>
      </c>
      <c r="AE3" s="4">
        <f ca="1">$K$3*$Y$3</f>
        <v>7173.2452207111919</v>
      </c>
      <c r="AF3" s="4">
        <f ca="1">$M$3*$Z$3</f>
        <v>7895.7480470456676</v>
      </c>
      <c r="AG3" s="4">
        <f>$O$3*$AA$3</f>
        <v>15046.51566997653</v>
      </c>
      <c r="AI3" s="52" t="s">
        <v>22</v>
      </c>
      <c r="AJ3" s="53">
        <f>SUMIF($B$2:$B$469,AI3,$AB$2:$AB$469)+SUMIF($B$2:$B$469,AI3,$AC$2:$AC$469)</f>
        <v>21555286.35954098</v>
      </c>
      <c r="AK3" s="53">
        <f ca="1">SUMIF($B$2:$B$469,AI3,$AE$2:$AE$469)+SUMIF($B$2:$B$469,AI3,$AF$2:$AF$469)</f>
        <v>26358991.856338482</v>
      </c>
      <c r="AL3" s="54">
        <f t="shared" ca="1" si="0"/>
        <v>0.22285509998206288</v>
      </c>
      <c r="AN3" s="52" t="s">
        <v>22</v>
      </c>
      <c r="AO3" s="53">
        <f>SUMIF($B$2:$B$469,AN3,$AD$2:$AD$469)</f>
        <v>6313807.4256709972</v>
      </c>
      <c r="AP3" s="53">
        <f>SUMIF($B$2:$B$469,AN3,$AG$2:$AG$469)</f>
        <v>7118229.4822958177</v>
      </c>
      <c r="AQ3" s="54">
        <f t="shared" si="1"/>
        <v>0.1274068089809266</v>
      </c>
      <c r="AS3" s="52" t="s">
        <v>22</v>
      </c>
      <c r="AT3" s="53">
        <f>SUMIF($B$2:$B$469,AS3,$AB$2:$AB$469)+SUMIF($B$2:$B$469,AS3,$AC$2:$AC$469)+SUMIF($B$2:$B$469,AS3,$AD$2:$AD$469)</f>
        <v>27869093.785211977</v>
      </c>
      <c r="AU3" s="53">
        <f ca="1">SUMIF($B$2:$B$469,AS3,$AE$2:$AE$469)+SUMIF($B$2:$B$469,AS3,$AF$2:$AF$469)+SUMIF($B$2:$B$469,AS3,$AG$2:$AG$469)</f>
        <v>33477221.338634301</v>
      </c>
      <c r="AV3" s="54">
        <f t="shared" ca="1" si="2"/>
        <v>0.20123106968042626</v>
      </c>
    </row>
    <row r="4" spans="1:48" ht="11.25" customHeight="1" x14ac:dyDescent="0.25">
      <c r="A4" s="3" t="s">
        <v>21</v>
      </c>
      <c r="B4" s="3" t="s">
        <v>33</v>
      </c>
      <c r="C4" s="3" t="s">
        <v>41</v>
      </c>
      <c r="D4" s="3" t="s">
        <v>40</v>
      </c>
      <c r="E4" s="3" t="s">
        <v>25</v>
      </c>
      <c r="F4" s="3" t="s">
        <v>25</v>
      </c>
      <c r="G4" s="3" t="s">
        <v>25</v>
      </c>
      <c r="H4" s="3" t="s">
        <v>36</v>
      </c>
      <c r="I4" s="6">
        <v>44348</v>
      </c>
      <c r="J4" s="4">
        <v>91</v>
      </c>
      <c r="K4" s="4">
        <v>91</v>
      </c>
      <c r="L4" s="4">
        <v>54.518000000000001</v>
      </c>
      <c r="M4" s="4">
        <v>54.518000000000001</v>
      </c>
      <c r="N4" s="4">
        <v>54.518000000000001</v>
      </c>
      <c r="O4" s="4">
        <v>54.518000000000001</v>
      </c>
      <c r="P4" s="4">
        <v>0</v>
      </c>
      <c r="Q4" s="3" t="s">
        <v>26</v>
      </c>
      <c r="R4" s="3">
        <v>0</v>
      </c>
      <c r="S4" s="4">
        <v>2</v>
      </c>
      <c r="T4" s="4">
        <v>3</v>
      </c>
      <c r="U4" s="4">
        <v>83</v>
      </c>
      <c r="V4" s="4">
        <f>IF(ISERROR(VLOOKUP($S$4,'TAR FIN'!$A$1:$O$85,15,0)),0,VLOOKUP($S$4,'TAR FIN'!$A$1:$O$85,15,0))</f>
        <v>63.83</v>
      </c>
      <c r="W4" s="4">
        <f>IF(ISERROR(VLOOKUP($T$4,'TAR FIN'!$A$1:$O$85,15,0)),0,VLOOKUP($T$4,'TAR FIN'!$A$1:$O$85,15,0))</f>
        <v>103.26</v>
      </c>
      <c r="X4" s="4">
        <f>IF(ISERROR(VLOOKUP($U$4,'TAR FIN'!$A$1:$O$85,15,0)),0,VLOOKUP($U$4,'TAR FIN'!$A$1:$O$85,15,0))</f>
        <v>231.33</v>
      </c>
      <c r="Y4" s="4">
        <f ca="1">('TUSD BE'!$AM$6+'TUSD BF'!$AM$6+'TUSD CVA'!$AM$6)*1</f>
        <v>77.970056746860777</v>
      </c>
      <c r="Z4" s="4">
        <f ca="1">('TUSD BE'!$AM$7+'TUSD BF'!$AM$7+'TUSD CVA'!$AM$7)*1</f>
        <v>136.85799051957201</v>
      </c>
      <c r="AA4" s="4">
        <f>('TE BE'!$AA$6+'TE BF'!$AA$6+'TE CVA'!$AA$6)*1</f>
        <v>260.80314197522284</v>
      </c>
      <c r="AB4" s="4">
        <f>$K$4*$V$4</f>
        <v>5808.53</v>
      </c>
      <c r="AC4" s="4">
        <f>$M$4*$W$4</f>
        <v>5629.5286800000003</v>
      </c>
      <c r="AD4" s="4">
        <f>$O$4*$X$4</f>
        <v>12611.648940000001</v>
      </c>
      <c r="AE4" s="4">
        <f ca="1">$K$4*$Y$4</f>
        <v>7095.2751639643311</v>
      </c>
      <c r="AF4" s="4">
        <f ca="1">$M$4*$Z$4</f>
        <v>7461.2239271460267</v>
      </c>
      <c r="AG4" s="4">
        <f>$O$4*$AA$4</f>
        <v>14218.465694205199</v>
      </c>
      <c r="AI4" s="52" t="s">
        <v>43</v>
      </c>
      <c r="AJ4" s="53">
        <f>SUMIF($B$2:$B$469,AI4,$AB$2:$AB$469)+SUMIF($B$2:$B$469,AI4,$AC$2:$AC$469)</f>
        <v>2294562.0026159999</v>
      </c>
      <c r="AK4" s="53">
        <f ca="1">SUMIF($B$2:$B$469,AI4,$AE$2:$AE$469)+SUMIF($B$2:$B$469,AI4,$AF$2:$AF$469)</f>
        <v>2998840.7880487991</v>
      </c>
      <c r="AL4" s="54">
        <f t="shared" ca="1" si="0"/>
        <v>0.30693386564837222</v>
      </c>
      <c r="AN4" s="52" t="s">
        <v>43</v>
      </c>
      <c r="AO4" s="53">
        <f>SUMIF($B$2:$B$469,AN4,$AD$2:$AD$469)</f>
        <v>669856.00136599992</v>
      </c>
      <c r="AP4" s="53">
        <f>SUMIF($B$2:$B$469,AN4,$AG$2:$AG$469)</f>
        <v>806693.11213626387</v>
      </c>
      <c r="AQ4" s="54">
        <f t="shared" si="1"/>
        <v>0.20427839788136515</v>
      </c>
      <c r="AS4" s="52" t="s">
        <v>43</v>
      </c>
      <c r="AT4" s="53">
        <f>SUMIF($B$2:$B$469,AS4,$AB$2:$AB$469)+SUMIF($B$2:$B$469,AS4,$AC$2:$AC$469)+SUMIF($B$2:$B$469,AS4,$AD$2:$AD$469)</f>
        <v>2964418.0039820001</v>
      </c>
      <c r="AU4" s="53">
        <f ca="1">SUMIF($B$2:$B$469,AS4,$AE$2:$AE$469)+SUMIF($B$2:$B$469,AS4,$AF$2:$AF$469)+SUMIF($B$2:$B$469,AS4,$AG$2:$AG$469)</f>
        <v>3805533.900185063</v>
      </c>
      <c r="AV4" s="54">
        <f t="shared" ca="1" si="2"/>
        <v>0.28373727830326945</v>
      </c>
    </row>
    <row r="5" spans="1:48" ht="11.25" customHeight="1" x14ac:dyDescent="0.25">
      <c r="A5" s="3" t="s">
        <v>21</v>
      </c>
      <c r="B5" s="3" t="s">
        <v>33</v>
      </c>
      <c r="C5" s="3" t="s">
        <v>41</v>
      </c>
      <c r="D5" s="3" t="s">
        <v>40</v>
      </c>
      <c r="E5" s="3" t="s">
        <v>25</v>
      </c>
      <c r="F5" s="3" t="s">
        <v>25</v>
      </c>
      <c r="G5" s="3" t="s">
        <v>25</v>
      </c>
      <c r="H5" s="3" t="s">
        <v>36</v>
      </c>
      <c r="I5" s="6">
        <v>44378</v>
      </c>
      <c r="J5" s="4">
        <v>91</v>
      </c>
      <c r="K5" s="4">
        <v>91</v>
      </c>
      <c r="L5" s="4">
        <v>56.551000000000002</v>
      </c>
      <c r="M5" s="4">
        <v>56.551000000000002</v>
      </c>
      <c r="N5" s="4">
        <v>56.551000000000002</v>
      </c>
      <c r="O5" s="4">
        <v>56.551000000000002</v>
      </c>
      <c r="P5" s="4">
        <v>0</v>
      </c>
      <c r="Q5" s="3" t="s">
        <v>26</v>
      </c>
      <c r="R5" s="3">
        <v>0</v>
      </c>
      <c r="S5" s="4">
        <v>2</v>
      </c>
      <c r="T5" s="4">
        <v>3</v>
      </c>
      <c r="U5" s="4">
        <v>83</v>
      </c>
      <c r="V5" s="4">
        <f>IF(ISERROR(VLOOKUP($S$5,'TAR FIN'!$A$1:$O$85,15,0)),0,VLOOKUP($S$5,'TAR FIN'!$A$1:$O$85,15,0))</f>
        <v>63.83</v>
      </c>
      <c r="W5" s="4">
        <f>IF(ISERROR(VLOOKUP($T$5,'TAR FIN'!$A$1:$O$85,15,0)),0,VLOOKUP($T$5,'TAR FIN'!$A$1:$O$85,15,0))</f>
        <v>103.26</v>
      </c>
      <c r="X5" s="4">
        <f>IF(ISERROR(VLOOKUP($U$5,'TAR FIN'!$A$1:$O$85,15,0)),0,VLOOKUP($U$5,'TAR FIN'!$A$1:$O$85,15,0))</f>
        <v>231.33</v>
      </c>
      <c r="Y5" s="4">
        <f ca="1">('TUSD BE'!$AM$6+'TUSD BF'!$AM$6+'TUSD CVA'!$AM$6)*1</f>
        <v>77.970056746860777</v>
      </c>
      <c r="Z5" s="4">
        <f ca="1">('TUSD BE'!$AM$7+'TUSD BF'!$AM$7+'TUSD CVA'!$AM$7)*1</f>
        <v>136.85799051957201</v>
      </c>
      <c r="AA5" s="4">
        <f>('TE BE'!$AA$6+'TE BF'!$AA$6+'TE CVA'!$AA$6)*1</f>
        <v>260.80314197522284</v>
      </c>
      <c r="AB5" s="4">
        <f>$K$5*$V$5</f>
        <v>5808.53</v>
      </c>
      <c r="AC5" s="4">
        <f>$M$5*$W$5</f>
        <v>5839.4562600000008</v>
      </c>
      <c r="AD5" s="4">
        <f>$O$5*$X$5</f>
        <v>13081.942830000002</v>
      </c>
      <c r="AE5" s="4">
        <f ca="1">$K$5*$Y$5</f>
        <v>7095.2751639643311</v>
      </c>
      <c r="AF5" s="4">
        <f ca="1">$M$5*$Z$5</f>
        <v>7739.4562218723167</v>
      </c>
      <c r="AG5" s="4">
        <f>$O$5*$AA$5</f>
        <v>14748.678481840827</v>
      </c>
      <c r="AI5" s="52" t="s">
        <v>39</v>
      </c>
      <c r="AJ5" s="53">
        <f>SUMIF($B$2:$B$469,AI5,$AB$2:$AB$469)+SUMIF($B$2:$B$469,AI5,$AC$2:$AC$469)</f>
        <v>3652811.3160274015</v>
      </c>
      <c r="AK5" s="53">
        <f ca="1">SUMIF($B$2:$B$469,AI5,$AE$2:$AE$469)+SUMIF($B$2:$B$469,AI5,$AF$2:$AF$469)</f>
        <v>4475322.0981276892</v>
      </c>
      <c r="AL5" s="54">
        <f t="shared" ca="1" si="0"/>
        <v>0.22517198698201746</v>
      </c>
      <c r="AN5" s="52" t="s">
        <v>39</v>
      </c>
      <c r="AO5" s="53">
        <f>SUMIF($B$2:$B$469,AN5,$AD$2:$AD$469)</f>
        <v>1066373.2685562002</v>
      </c>
      <c r="AP5" s="53">
        <f>SUMIF($B$2:$B$469,AN5,$AG$2:$AG$469)</f>
        <v>1203869.0168342714</v>
      </c>
      <c r="AQ5" s="54">
        <f t="shared" si="1"/>
        <v>0.12893772971656681</v>
      </c>
      <c r="AS5" s="52" t="s">
        <v>39</v>
      </c>
      <c r="AT5" s="53">
        <f>SUMIF($B$2:$B$469,AS5,$AB$2:$AB$469)+SUMIF($B$2:$B$469,AS5,$AC$2:$AC$469)+SUMIF($B$2:$B$469,AS5,$AD$2:$AD$469)</f>
        <v>4719184.5845836019</v>
      </c>
      <c r="AU5" s="53">
        <f ca="1">SUMIF($B$2:$B$469,AS5,$AE$2:$AE$469)+SUMIF($B$2:$B$469,AS5,$AF$2:$AF$469)+SUMIF($B$2:$B$469,AS5,$AG$2:$AG$469)</f>
        <v>5679191.1149619604</v>
      </c>
      <c r="AV5" s="54">
        <f t="shared" ca="1" si="2"/>
        <v>0.20342635749287274</v>
      </c>
    </row>
    <row r="6" spans="1:48" ht="11.25" customHeight="1" x14ac:dyDescent="0.25">
      <c r="A6" s="3" t="s">
        <v>21</v>
      </c>
      <c r="B6" s="3" t="s">
        <v>33</v>
      </c>
      <c r="C6" s="3" t="s">
        <v>41</v>
      </c>
      <c r="D6" s="3" t="s">
        <v>40</v>
      </c>
      <c r="E6" s="3" t="s">
        <v>25</v>
      </c>
      <c r="F6" s="3" t="s">
        <v>25</v>
      </c>
      <c r="G6" s="3" t="s">
        <v>25</v>
      </c>
      <c r="H6" s="3" t="s">
        <v>36</v>
      </c>
      <c r="I6" s="6">
        <v>44409</v>
      </c>
      <c r="J6" s="4">
        <v>91</v>
      </c>
      <c r="K6" s="4">
        <v>91</v>
      </c>
      <c r="L6" s="4">
        <v>56.05</v>
      </c>
      <c r="M6" s="4">
        <v>56.05</v>
      </c>
      <c r="N6" s="4">
        <v>56.05</v>
      </c>
      <c r="O6" s="4">
        <v>56.05</v>
      </c>
      <c r="P6" s="4">
        <v>0</v>
      </c>
      <c r="Q6" s="3" t="s">
        <v>26</v>
      </c>
      <c r="R6" s="3">
        <v>0</v>
      </c>
      <c r="S6" s="4">
        <v>2</v>
      </c>
      <c r="T6" s="4">
        <v>3</v>
      </c>
      <c r="U6" s="4">
        <v>83</v>
      </c>
      <c r="V6" s="4">
        <f>IF(ISERROR(VLOOKUP($S$6,'TAR FIN'!$A$1:$O$85,15,0)),0,VLOOKUP($S$6,'TAR FIN'!$A$1:$O$85,15,0))</f>
        <v>63.83</v>
      </c>
      <c r="W6" s="4">
        <f>IF(ISERROR(VLOOKUP($T$6,'TAR FIN'!$A$1:$O$85,15,0)),0,VLOOKUP($T$6,'TAR FIN'!$A$1:$O$85,15,0))</f>
        <v>103.26</v>
      </c>
      <c r="X6" s="4">
        <f>IF(ISERROR(VLOOKUP($U$6,'TAR FIN'!$A$1:$O$85,15,0)),0,VLOOKUP($U$6,'TAR FIN'!$A$1:$O$85,15,0))</f>
        <v>231.33</v>
      </c>
      <c r="Y6" s="4">
        <f ca="1">('TUSD BE'!$AM$6+'TUSD BF'!$AM$6+'TUSD CVA'!$AM$6)*1</f>
        <v>77.970056746860777</v>
      </c>
      <c r="Z6" s="4">
        <f ca="1">('TUSD BE'!$AM$7+'TUSD BF'!$AM$7+'TUSD CVA'!$AM$7)*1</f>
        <v>136.85799051957201</v>
      </c>
      <c r="AA6" s="4">
        <f>('TE BE'!$AA$6+'TE BF'!$AA$6+'TE CVA'!$AA$6)*1</f>
        <v>260.80314197522284</v>
      </c>
      <c r="AB6" s="4">
        <f>$K$6*$V$6</f>
        <v>5808.53</v>
      </c>
      <c r="AC6" s="4">
        <f>$M$6*$W$6</f>
        <v>5787.723</v>
      </c>
      <c r="AD6" s="4">
        <f>$O$6*$X$6</f>
        <v>12966.0465</v>
      </c>
      <c r="AE6" s="4">
        <f ca="1">$K$6*$Y$6</f>
        <v>7095.2751639643311</v>
      </c>
      <c r="AF6" s="4">
        <f ca="1">$M$6*$Z$6</f>
        <v>7670.890368622011</v>
      </c>
      <c r="AG6" s="4">
        <f>$O$6*$AA$6</f>
        <v>14618.016107711239</v>
      </c>
      <c r="AI6" s="52" t="s">
        <v>46</v>
      </c>
      <c r="AJ6" s="53">
        <f>SUMIF($B$2:$B$469,AI6,$AB$2:$AB$469)+SUMIF($B$2:$B$469,AI6,$AC$2:$AC$469)</f>
        <v>1458796.2294399999</v>
      </c>
      <c r="AK6" s="53">
        <f ca="1">SUMIF($B$2:$B$469,AI6,$AE$2:$AE$469)+SUMIF($B$2:$B$469,AI6,$AF$2:$AF$469)</f>
        <v>1784835.0255056559</v>
      </c>
      <c r="AL6" s="54">
        <f t="shared" ca="1" si="0"/>
        <v>0.22349851849481084</v>
      </c>
      <c r="AN6" s="52" t="s">
        <v>46</v>
      </c>
      <c r="AO6" s="53">
        <f>SUMIF($B$2:$B$469,AN6,$AD$2:$AD$469)</f>
        <v>425860.18464000011</v>
      </c>
      <c r="AP6" s="53">
        <f>SUMIF($B$2:$B$469,AN6,$AG$2:$AG$469)</f>
        <v>480123.56211540749</v>
      </c>
      <c r="AQ6" s="54">
        <f t="shared" si="1"/>
        <v>0.12742064046508306</v>
      </c>
      <c r="AS6" s="52" t="s">
        <v>46</v>
      </c>
      <c r="AT6" s="53">
        <f>SUMIF($B$2:$B$469,AS6,$AB$2:$AB$469)+SUMIF($B$2:$B$469,AS6,$AC$2:$AC$469)+SUMIF($B$2:$B$469,AS6,$AD$2:$AD$469)</f>
        <v>1884656.41408</v>
      </c>
      <c r="AU6" s="53">
        <f ca="1">SUMIF($B$2:$B$469,AS6,$AE$2:$AE$469)+SUMIF($B$2:$B$469,AS6,$AF$2:$AF$469)+SUMIF($B$2:$B$469,AS6,$AG$2:$AG$469)</f>
        <v>2264958.5876210635</v>
      </c>
      <c r="AV6" s="54">
        <f t="shared" ca="1" si="2"/>
        <v>0.20178859695585882</v>
      </c>
    </row>
    <row r="7" spans="1:48" ht="11.25" customHeight="1" x14ac:dyDescent="0.25">
      <c r="A7" s="3" t="s">
        <v>21</v>
      </c>
      <c r="B7" s="3" t="s">
        <v>33</v>
      </c>
      <c r="C7" s="3" t="s">
        <v>41</v>
      </c>
      <c r="D7" s="3" t="s">
        <v>40</v>
      </c>
      <c r="E7" s="3" t="s">
        <v>25</v>
      </c>
      <c r="F7" s="3" t="s">
        <v>25</v>
      </c>
      <c r="G7" s="3" t="s">
        <v>25</v>
      </c>
      <c r="H7" s="3" t="s">
        <v>36</v>
      </c>
      <c r="I7" s="6">
        <v>44440</v>
      </c>
      <c r="J7" s="4">
        <v>92</v>
      </c>
      <c r="K7" s="4">
        <v>92</v>
      </c>
      <c r="L7" s="4">
        <v>53.908999999999999</v>
      </c>
      <c r="M7" s="4">
        <v>53.908999999999999</v>
      </c>
      <c r="N7" s="4">
        <v>53.908999999999999</v>
      </c>
      <c r="O7" s="4">
        <v>53.908999999999999</v>
      </c>
      <c r="P7" s="4">
        <v>0</v>
      </c>
      <c r="Q7" s="3" t="s">
        <v>26</v>
      </c>
      <c r="R7" s="3">
        <v>0</v>
      </c>
      <c r="S7" s="4">
        <v>2</v>
      </c>
      <c r="T7" s="4">
        <v>3</v>
      </c>
      <c r="U7" s="4">
        <v>83</v>
      </c>
      <c r="V7" s="4">
        <f>IF(ISERROR(VLOOKUP($S$7,'TAR FIN'!$A$1:$O$85,15,0)),0,VLOOKUP($S$7,'TAR FIN'!$A$1:$O$85,15,0))</f>
        <v>63.83</v>
      </c>
      <c r="W7" s="4">
        <f>IF(ISERROR(VLOOKUP($T$7,'TAR FIN'!$A$1:$O$85,15,0)),0,VLOOKUP($T$7,'TAR FIN'!$A$1:$O$85,15,0))</f>
        <v>103.26</v>
      </c>
      <c r="X7" s="4">
        <f>IF(ISERROR(VLOOKUP($U$7,'TAR FIN'!$A$1:$O$85,15,0)),0,VLOOKUP($U$7,'TAR FIN'!$A$1:$O$85,15,0))</f>
        <v>231.33</v>
      </c>
      <c r="Y7" s="4">
        <f ca="1">('TUSD BE'!$AM$6+'TUSD BF'!$AM$6+'TUSD CVA'!$AM$6)*1</f>
        <v>77.970056746860777</v>
      </c>
      <c r="Z7" s="4">
        <f ca="1">('TUSD BE'!$AM$7+'TUSD BF'!$AM$7+'TUSD CVA'!$AM$7)*1</f>
        <v>136.85799051957201</v>
      </c>
      <c r="AA7" s="4">
        <f>('TE BE'!$AA$6+'TE BF'!$AA$6+'TE CVA'!$AA$6)*1</f>
        <v>260.80314197522284</v>
      </c>
      <c r="AB7" s="4">
        <f>$K$7*$V$7</f>
        <v>5872.36</v>
      </c>
      <c r="AC7" s="4">
        <f>$M$7*$W$7</f>
        <v>5566.6433400000005</v>
      </c>
      <c r="AD7" s="4">
        <f>$O$7*$X$7</f>
        <v>12470.768970000001</v>
      </c>
      <c r="AE7" s="4">
        <f ca="1">$K$7*$Y$7</f>
        <v>7173.2452207111919</v>
      </c>
      <c r="AF7" s="4">
        <f ca="1">$M$7*$Z$7</f>
        <v>7377.8774109196074</v>
      </c>
      <c r="AG7" s="4">
        <f>$O$7*$AA$7</f>
        <v>14059.636580742288</v>
      </c>
      <c r="AI7" s="52" t="s">
        <v>624</v>
      </c>
      <c r="AJ7" s="53">
        <f>+$AJ$2</f>
        <v>2029236.0895599993</v>
      </c>
      <c r="AK7" s="53">
        <f ca="1">+$AK$2</f>
        <v>2514423.3472513738</v>
      </c>
      <c r="AL7" s="54">
        <f t="shared" ca="1" si="0"/>
        <v>0.23909847660780459</v>
      </c>
      <c r="AN7" s="52" t="s">
        <v>624</v>
      </c>
      <c r="AO7" s="53">
        <f>+$AO$2</f>
        <v>930290.12505000015</v>
      </c>
      <c r="AP7" s="53">
        <f>+$AP$2</f>
        <v>1048815.9234062291</v>
      </c>
      <c r="AQ7" s="54">
        <f t="shared" si="1"/>
        <v>0.12740734870195314</v>
      </c>
      <c r="AS7" s="52" t="s">
        <v>624</v>
      </c>
      <c r="AT7" s="53">
        <f>+$AT$2</f>
        <v>2959526.2146099992</v>
      </c>
      <c r="AU7" s="53">
        <f ca="1">+$AU$2</f>
        <v>3563239.2706576027</v>
      </c>
      <c r="AV7" s="54">
        <f t="shared" ca="1" si="2"/>
        <v>0.20398976466818008</v>
      </c>
    </row>
    <row r="8" spans="1:48" ht="11.25" customHeight="1" x14ac:dyDescent="0.25">
      <c r="A8" s="3" t="s">
        <v>21</v>
      </c>
      <c r="B8" s="3" t="s">
        <v>33</v>
      </c>
      <c r="C8" s="3" t="s">
        <v>41</v>
      </c>
      <c r="D8" s="3" t="s">
        <v>40</v>
      </c>
      <c r="E8" s="3" t="s">
        <v>25</v>
      </c>
      <c r="F8" s="3" t="s">
        <v>25</v>
      </c>
      <c r="G8" s="3" t="s">
        <v>25</v>
      </c>
      <c r="H8" s="3" t="s">
        <v>36</v>
      </c>
      <c r="I8" s="6">
        <v>44470</v>
      </c>
      <c r="J8" s="4">
        <v>93</v>
      </c>
      <c r="K8" s="4">
        <v>93</v>
      </c>
      <c r="L8" s="4">
        <v>55.83</v>
      </c>
      <c r="M8" s="4">
        <v>55.83</v>
      </c>
      <c r="N8" s="4">
        <v>55.83</v>
      </c>
      <c r="O8" s="4">
        <v>55.83</v>
      </c>
      <c r="P8" s="4">
        <v>0</v>
      </c>
      <c r="Q8" s="3" t="s">
        <v>26</v>
      </c>
      <c r="R8" s="3">
        <v>0</v>
      </c>
      <c r="S8" s="4">
        <v>2</v>
      </c>
      <c r="T8" s="4">
        <v>3</v>
      </c>
      <c r="U8" s="4">
        <v>83</v>
      </c>
      <c r="V8" s="4">
        <f>IF(ISERROR(VLOOKUP($S$8,'TAR FIN'!$A$1:$O$85,15,0)),0,VLOOKUP($S$8,'TAR FIN'!$A$1:$O$85,15,0))</f>
        <v>63.83</v>
      </c>
      <c r="W8" s="4">
        <f>IF(ISERROR(VLOOKUP($T$8,'TAR FIN'!$A$1:$O$85,15,0)),0,VLOOKUP($T$8,'TAR FIN'!$A$1:$O$85,15,0))</f>
        <v>103.26</v>
      </c>
      <c r="X8" s="4">
        <f>IF(ISERROR(VLOOKUP($U$8,'TAR FIN'!$A$1:$O$85,15,0)),0,VLOOKUP($U$8,'TAR FIN'!$A$1:$O$85,15,0))</f>
        <v>231.33</v>
      </c>
      <c r="Y8" s="4">
        <f ca="1">('TUSD BE'!$AM$6+'TUSD BF'!$AM$6+'TUSD CVA'!$AM$6)*1</f>
        <v>77.970056746860777</v>
      </c>
      <c r="Z8" s="4">
        <f ca="1">('TUSD BE'!$AM$7+'TUSD BF'!$AM$7+'TUSD CVA'!$AM$7)*1</f>
        <v>136.85799051957201</v>
      </c>
      <c r="AA8" s="4">
        <f>('TE BE'!$AA$6+'TE BF'!$AA$6+'TE CVA'!$AA$6)*1</f>
        <v>260.80314197522284</v>
      </c>
      <c r="AB8" s="4">
        <f>$K$8*$V$8</f>
        <v>5936.19</v>
      </c>
      <c r="AC8" s="4">
        <f>$M$8*$W$8</f>
        <v>5765.0057999999999</v>
      </c>
      <c r="AD8" s="4">
        <f>$O$8*$X$8</f>
        <v>12915.153900000001</v>
      </c>
      <c r="AE8" s="4">
        <f ca="1">$K$8*$Y$8</f>
        <v>7251.2152774580527</v>
      </c>
      <c r="AF8" s="4">
        <f ca="1">$M$8*$Z$8</f>
        <v>7640.7816107077051</v>
      </c>
      <c r="AG8" s="4">
        <f>$O$8*$AA$8</f>
        <v>14560.639416476692</v>
      </c>
      <c r="AI8" s="52" t="s">
        <v>81</v>
      </c>
      <c r="AJ8" s="53">
        <f>+$AJ$3+$AJ$4+$AJ$5+$AJ$6</f>
        <v>28961455.907624383</v>
      </c>
      <c r="AK8" s="53">
        <f ca="1">+$AK$3+$AK$4+$AK$5+$AK$6</f>
        <v>35617989.768020622</v>
      </c>
      <c r="AL8" s="54">
        <f t="shared" ca="1" si="0"/>
        <v>0.22984113373402071</v>
      </c>
      <c r="AN8" s="52" t="s">
        <v>81</v>
      </c>
      <c r="AO8" s="53">
        <f>+$AO$3+$AO$4+$AO$5+$AO$6</f>
        <v>8475896.8802331965</v>
      </c>
      <c r="AP8" s="53">
        <f>+$AP$3+$AP$4+$AP$5+$AP$6</f>
        <v>9608915.1733817607</v>
      </c>
      <c r="AQ8" s="54">
        <f t="shared" si="1"/>
        <v>0.13367532771557178</v>
      </c>
      <c r="AS8" s="52" t="s">
        <v>81</v>
      </c>
      <c r="AT8" s="53">
        <f>+$AT$3+$AT$4+$AT$5+$AT$6</f>
        <v>37437352.787857577</v>
      </c>
      <c r="AU8" s="53">
        <f ca="1">+$AU$3+$AU$4+$AU$5+$AU$6</f>
        <v>45226904.941402383</v>
      </c>
      <c r="AV8" s="54">
        <f t="shared" ca="1" si="2"/>
        <v>0.20806898921740191</v>
      </c>
    </row>
    <row r="9" spans="1:48" ht="11.25" customHeight="1" x14ac:dyDescent="0.25">
      <c r="A9" s="3" t="s">
        <v>21</v>
      </c>
      <c r="B9" s="3" t="s">
        <v>33</v>
      </c>
      <c r="C9" s="3" t="s">
        <v>41</v>
      </c>
      <c r="D9" s="3" t="s">
        <v>40</v>
      </c>
      <c r="E9" s="3" t="s">
        <v>25</v>
      </c>
      <c r="F9" s="3" t="s">
        <v>25</v>
      </c>
      <c r="G9" s="3" t="s">
        <v>25</v>
      </c>
      <c r="H9" s="3" t="s">
        <v>36</v>
      </c>
      <c r="I9" s="6">
        <v>44501</v>
      </c>
      <c r="J9" s="4">
        <v>91</v>
      </c>
      <c r="K9" s="4">
        <v>91</v>
      </c>
      <c r="L9" s="4">
        <v>54.168999999999997</v>
      </c>
      <c r="M9" s="4">
        <v>54.168999999999997</v>
      </c>
      <c r="N9" s="4">
        <v>54.168999999999997</v>
      </c>
      <c r="O9" s="4">
        <v>54.168999999999997</v>
      </c>
      <c r="P9" s="4">
        <v>0</v>
      </c>
      <c r="Q9" s="3" t="s">
        <v>26</v>
      </c>
      <c r="R9" s="3">
        <v>0</v>
      </c>
      <c r="S9" s="4">
        <v>2</v>
      </c>
      <c r="T9" s="4">
        <v>3</v>
      </c>
      <c r="U9" s="4">
        <v>83</v>
      </c>
      <c r="V9" s="4">
        <f>IF(ISERROR(VLOOKUP($S$9,'TAR FIN'!$A$1:$O$85,15,0)),0,VLOOKUP($S$9,'TAR FIN'!$A$1:$O$85,15,0))</f>
        <v>63.83</v>
      </c>
      <c r="W9" s="4">
        <f>IF(ISERROR(VLOOKUP($T$9,'TAR FIN'!$A$1:$O$85,15,0)),0,VLOOKUP($T$9,'TAR FIN'!$A$1:$O$85,15,0))</f>
        <v>103.26</v>
      </c>
      <c r="X9" s="4">
        <f>IF(ISERROR(VLOOKUP($U$9,'TAR FIN'!$A$1:$O$85,15,0)),0,VLOOKUP($U$9,'TAR FIN'!$A$1:$O$85,15,0))</f>
        <v>231.33</v>
      </c>
      <c r="Y9" s="4">
        <f ca="1">('TUSD BE'!$AM$6+'TUSD BF'!$AM$6+'TUSD CVA'!$AM$6)*1</f>
        <v>77.970056746860777</v>
      </c>
      <c r="Z9" s="4">
        <f ca="1">('TUSD BE'!$AM$7+'TUSD BF'!$AM$7+'TUSD CVA'!$AM$7)*1</f>
        <v>136.85799051957201</v>
      </c>
      <c r="AA9" s="4">
        <f>('TE BE'!$AA$6+'TE BF'!$AA$6+'TE CVA'!$AA$6)*1</f>
        <v>260.80314197522284</v>
      </c>
      <c r="AB9" s="4">
        <f>$K$9*$V$9</f>
        <v>5808.53</v>
      </c>
      <c r="AC9" s="4">
        <f>$M$9*$W$9</f>
        <v>5593.4909399999997</v>
      </c>
      <c r="AD9" s="4">
        <f>$O$9*$X$9</f>
        <v>12530.914769999999</v>
      </c>
      <c r="AE9" s="4">
        <f ca="1">$K$9*$Y$9</f>
        <v>7095.2751639643311</v>
      </c>
      <c r="AF9" s="4">
        <f ca="1">$M$9*$Z$9</f>
        <v>7413.4604884546961</v>
      </c>
      <c r="AG9" s="4">
        <f>$O$9*$AA$9</f>
        <v>14127.445397655845</v>
      </c>
      <c r="AI9" s="52" t="s">
        <v>625</v>
      </c>
      <c r="AJ9" s="53">
        <f>AJ8+AJ7</f>
        <v>30990691.997184381</v>
      </c>
      <c r="AK9" s="53">
        <f ca="1">AK8+AK7</f>
        <v>38132413.115271993</v>
      </c>
      <c r="AL9" s="54">
        <f t="shared" ca="1" si="0"/>
        <v>0.23044729426295052</v>
      </c>
      <c r="AN9" s="52" t="s">
        <v>625</v>
      </c>
      <c r="AO9" s="53">
        <f>AO8+AO7</f>
        <v>9406187.0052831974</v>
      </c>
      <c r="AP9" s="53">
        <f>AP8+AP7</f>
        <v>10657731.096787989</v>
      </c>
      <c r="AQ9" s="54">
        <f t="shared" si="1"/>
        <v>0.13305541244309027</v>
      </c>
      <c r="AS9" s="52" t="s">
        <v>625</v>
      </c>
      <c r="AT9" s="53">
        <f>AT8+AT7</f>
        <v>40396879.002467573</v>
      </c>
      <c r="AU9" s="53">
        <f ca="1">AU8+AU7</f>
        <v>48790144.21205999</v>
      </c>
      <c r="AV9" s="54">
        <f t="shared" ca="1" si="2"/>
        <v>0.20777014009126127</v>
      </c>
    </row>
    <row r="10" spans="1:48" ht="11.25" customHeight="1" x14ac:dyDescent="0.25">
      <c r="A10" s="3" t="s">
        <v>21</v>
      </c>
      <c r="B10" s="3" t="s">
        <v>33</v>
      </c>
      <c r="C10" s="3" t="s">
        <v>41</v>
      </c>
      <c r="D10" s="3" t="s">
        <v>40</v>
      </c>
      <c r="E10" s="3" t="s">
        <v>25</v>
      </c>
      <c r="F10" s="3" t="s">
        <v>25</v>
      </c>
      <c r="G10" s="3" t="s">
        <v>25</v>
      </c>
      <c r="H10" s="3" t="s">
        <v>36</v>
      </c>
      <c r="I10" s="6">
        <v>44531</v>
      </c>
      <c r="J10" s="4">
        <v>90</v>
      </c>
      <c r="K10" s="4">
        <v>90</v>
      </c>
      <c r="L10" s="4">
        <v>54.517000000000003</v>
      </c>
      <c r="M10" s="4">
        <v>54.517000000000003</v>
      </c>
      <c r="N10" s="4">
        <v>54.517000000000003</v>
      </c>
      <c r="O10" s="4">
        <v>54.517000000000003</v>
      </c>
      <c r="P10" s="4">
        <v>0</v>
      </c>
      <c r="Q10" s="3" t="s">
        <v>26</v>
      </c>
      <c r="R10" s="3">
        <v>0</v>
      </c>
      <c r="S10" s="4">
        <v>2</v>
      </c>
      <c r="T10" s="4">
        <v>3</v>
      </c>
      <c r="U10" s="4">
        <v>83</v>
      </c>
      <c r="V10" s="4">
        <f>IF(ISERROR(VLOOKUP($S$10,'TAR FIN'!$A$1:$O$85,15,0)),0,VLOOKUP($S$10,'TAR FIN'!$A$1:$O$85,15,0))</f>
        <v>63.83</v>
      </c>
      <c r="W10" s="4">
        <f>IF(ISERROR(VLOOKUP($T$10,'TAR FIN'!$A$1:$O$85,15,0)),0,VLOOKUP($T$10,'TAR FIN'!$A$1:$O$85,15,0))</f>
        <v>103.26</v>
      </c>
      <c r="X10" s="4">
        <f>IF(ISERROR(VLOOKUP($U$10,'TAR FIN'!$A$1:$O$85,15,0)),0,VLOOKUP($U$10,'TAR FIN'!$A$1:$O$85,15,0))</f>
        <v>231.33</v>
      </c>
      <c r="Y10" s="4">
        <f ca="1">('TUSD BE'!$AM$6+'TUSD BF'!$AM$6+'TUSD CVA'!$AM$6)*1</f>
        <v>77.970056746860777</v>
      </c>
      <c r="Z10" s="4">
        <f ca="1">('TUSD BE'!$AM$7+'TUSD BF'!$AM$7+'TUSD CVA'!$AM$7)*1</f>
        <v>136.85799051957201</v>
      </c>
      <c r="AA10" s="4">
        <f>('TE BE'!$AA$6+'TE BF'!$AA$6+'TE CVA'!$AA$6)*1</f>
        <v>260.80314197522284</v>
      </c>
      <c r="AB10" s="4">
        <f>$K$10*$V$10</f>
        <v>5744.7</v>
      </c>
      <c r="AC10" s="4">
        <f>$M$10*$W$10</f>
        <v>5629.4254200000005</v>
      </c>
      <c r="AD10" s="4">
        <f>$O$10*$X$10</f>
        <v>12611.417610000002</v>
      </c>
      <c r="AE10" s="4">
        <f ca="1">$K$10*$Y$10</f>
        <v>7017.3051072174703</v>
      </c>
      <c r="AF10" s="4">
        <f ca="1">$M$10*$Z$10</f>
        <v>7461.0870691555083</v>
      </c>
      <c r="AG10" s="4">
        <f>$O$10*$AA$10</f>
        <v>14218.204891063224</v>
      </c>
    </row>
    <row r="11" spans="1:48" ht="11.25" customHeight="1" x14ac:dyDescent="0.25">
      <c r="A11" s="3" t="s">
        <v>21</v>
      </c>
      <c r="B11" s="3" t="s">
        <v>33</v>
      </c>
      <c r="C11" s="3" t="s">
        <v>41</v>
      </c>
      <c r="D11" s="3" t="s">
        <v>40</v>
      </c>
      <c r="E11" s="3" t="s">
        <v>25</v>
      </c>
      <c r="F11" s="3" t="s">
        <v>25</v>
      </c>
      <c r="G11" s="3" t="s">
        <v>25</v>
      </c>
      <c r="H11" s="3" t="s">
        <v>36</v>
      </c>
      <c r="I11" s="6">
        <v>44562</v>
      </c>
      <c r="J11" s="4">
        <v>90</v>
      </c>
      <c r="K11" s="4">
        <v>90</v>
      </c>
      <c r="L11" s="4">
        <v>53.551000000000002</v>
      </c>
      <c r="M11" s="4">
        <v>53.551000000000002</v>
      </c>
      <c r="N11" s="4">
        <v>53.551000000000002</v>
      </c>
      <c r="O11" s="4">
        <v>53.551000000000002</v>
      </c>
      <c r="P11" s="4">
        <v>0</v>
      </c>
      <c r="Q11" s="3" t="s">
        <v>26</v>
      </c>
      <c r="R11" s="3">
        <v>0</v>
      </c>
      <c r="S11" s="4">
        <v>2</v>
      </c>
      <c r="T11" s="4">
        <v>3</v>
      </c>
      <c r="U11" s="4">
        <v>83</v>
      </c>
      <c r="V11" s="4">
        <f>IF(ISERROR(VLOOKUP($S$11,'TAR FIN'!$A$1:$O$85,15,0)),0,VLOOKUP($S$11,'TAR FIN'!$A$1:$O$85,15,0))</f>
        <v>63.83</v>
      </c>
      <c r="W11" s="4">
        <f>IF(ISERROR(VLOOKUP($T$11,'TAR FIN'!$A$1:$O$85,15,0)),0,VLOOKUP($T$11,'TAR FIN'!$A$1:$O$85,15,0))</f>
        <v>103.26</v>
      </c>
      <c r="X11" s="4">
        <f>IF(ISERROR(VLOOKUP($U$11,'TAR FIN'!$A$1:$O$85,15,0)),0,VLOOKUP($U$11,'TAR FIN'!$A$1:$O$85,15,0))</f>
        <v>231.33</v>
      </c>
      <c r="Y11" s="4">
        <f ca="1">('TUSD BE'!$AM$6+'TUSD BF'!$AM$6+'TUSD CVA'!$AM$6)*1</f>
        <v>77.970056746860777</v>
      </c>
      <c r="Z11" s="4">
        <f ca="1">('TUSD BE'!$AM$7+'TUSD BF'!$AM$7+'TUSD CVA'!$AM$7)*1</f>
        <v>136.85799051957201</v>
      </c>
      <c r="AA11" s="4">
        <f>('TE BE'!$AA$6+'TE BF'!$AA$6+'TE CVA'!$AA$6)*1</f>
        <v>260.80314197522284</v>
      </c>
      <c r="AB11" s="4">
        <f>$K$11*$V$11</f>
        <v>5744.7</v>
      </c>
      <c r="AC11" s="4">
        <f>$M$11*$W$11</f>
        <v>5529.6762600000002</v>
      </c>
      <c r="AD11" s="4">
        <f>$O$11*$X$11</f>
        <v>12387.952830000002</v>
      </c>
      <c r="AE11" s="4">
        <f ca="1">$K$11*$Y$11</f>
        <v>7017.3051072174703</v>
      </c>
      <c r="AF11" s="4">
        <f ca="1">$M$11*$Z$11</f>
        <v>7328.8822503136007</v>
      </c>
      <c r="AG11" s="4">
        <f>$O$11*$AA$11</f>
        <v>13966.26905591516</v>
      </c>
    </row>
    <row r="12" spans="1:48" ht="11.25" customHeight="1" x14ac:dyDescent="0.25">
      <c r="A12" s="3" t="s">
        <v>21</v>
      </c>
      <c r="B12" s="3" t="s">
        <v>33</v>
      </c>
      <c r="C12" s="3" t="s">
        <v>41</v>
      </c>
      <c r="D12" s="3" t="s">
        <v>40</v>
      </c>
      <c r="E12" s="3" t="s">
        <v>25</v>
      </c>
      <c r="F12" s="3" t="s">
        <v>25</v>
      </c>
      <c r="G12" s="3" t="s">
        <v>25</v>
      </c>
      <c r="H12" s="3" t="s">
        <v>36</v>
      </c>
      <c r="I12" s="6">
        <v>44593</v>
      </c>
      <c r="J12" s="4">
        <v>90</v>
      </c>
      <c r="K12" s="4">
        <v>90</v>
      </c>
      <c r="L12" s="4">
        <v>49.460999999999999</v>
      </c>
      <c r="M12" s="4">
        <v>49.460999999999999</v>
      </c>
      <c r="N12" s="4">
        <v>49.460999999999999</v>
      </c>
      <c r="O12" s="4">
        <v>49.460999999999999</v>
      </c>
      <c r="P12" s="4">
        <v>0</v>
      </c>
      <c r="Q12" s="3" t="s">
        <v>26</v>
      </c>
      <c r="R12" s="3">
        <v>0</v>
      </c>
      <c r="S12" s="4">
        <v>2</v>
      </c>
      <c r="T12" s="4">
        <v>3</v>
      </c>
      <c r="U12" s="4">
        <v>83</v>
      </c>
      <c r="V12" s="4">
        <f>IF(ISERROR(VLOOKUP($S$12,'TAR FIN'!$A$1:$O$85,15,0)),0,VLOOKUP($S$12,'TAR FIN'!$A$1:$O$85,15,0))</f>
        <v>63.83</v>
      </c>
      <c r="W12" s="4">
        <f>IF(ISERROR(VLOOKUP($T$12,'TAR FIN'!$A$1:$O$85,15,0)),0,VLOOKUP($T$12,'TAR FIN'!$A$1:$O$85,15,0))</f>
        <v>103.26</v>
      </c>
      <c r="X12" s="4">
        <f>IF(ISERROR(VLOOKUP($U$12,'TAR FIN'!$A$1:$O$85,15,0)),0,VLOOKUP($U$12,'TAR FIN'!$A$1:$O$85,15,0))</f>
        <v>231.33</v>
      </c>
      <c r="Y12" s="4">
        <f ca="1">('TUSD BE'!$AM$6+'TUSD BF'!$AM$6+'TUSD CVA'!$AM$6)*1</f>
        <v>77.970056746860777</v>
      </c>
      <c r="Z12" s="4">
        <f ca="1">('TUSD BE'!$AM$7+'TUSD BF'!$AM$7+'TUSD CVA'!$AM$7)*1</f>
        <v>136.85799051957201</v>
      </c>
      <c r="AA12" s="4">
        <f>('TE BE'!$AA$6+'TE BF'!$AA$6+'TE CVA'!$AA$6)*1</f>
        <v>260.80314197522284</v>
      </c>
      <c r="AB12" s="4">
        <f>$K$12*$V$12</f>
        <v>5744.7</v>
      </c>
      <c r="AC12" s="4">
        <f>$M$12*$W$12</f>
        <v>5107.3428599999997</v>
      </c>
      <c r="AD12" s="4">
        <f>$O$12*$X$12</f>
        <v>11441.81313</v>
      </c>
      <c r="AE12" s="4">
        <f ca="1">$K$12*$Y$12</f>
        <v>7017.3051072174703</v>
      </c>
      <c r="AF12" s="4">
        <f ca="1">$M$12*$Z$12</f>
        <v>6769.1330690885516</v>
      </c>
      <c r="AG12" s="4">
        <f>$O$12*$AA$12</f>
        <v>12899.584205236497</v>
      </c>
    </row>
    <row r="13" spans="1:48" ht="11.25" customHeight="1" x14ac:dyDescent="0.25">
      <c r="A13" s="3" t="s">
        <v>21</v>
      </c>
      <c r="B13" s="3" t="s">
        <v>33</v>
      </c>
      <c r="C13" s="3" t="s">
        <v>41</v>
      </c>
      <c r="D13" s="3" t="s">
        <v>40</v>
      </c>
      <c r="E13" s="3" t="s">
        <v>25</v>
      </c>
      <c r="F13" s="3" t="s">
        <v>25</v>
      </c>
      <c r="G13" s="3" t="s">
        <v>25</v>
      </c>
      <c r="H13" s="3" t="s">
        <v>36</v>
      </c>
      <c r="I13" s="6">
        <v>44621</v>
      </c>
      <c r="J13" s="4">
        <v>92</v>
      </c>
      <c r="K13" s="4">
        <v>92</v>
      </c>
      <c r="L13" s="4">
        <v>56.453000000000003</v>
      </c>
      <c r="M13" s="4">
        <v>56.453000000000003</v>
      </c>
      <c r="N13" s="4">
        <v>56.453000000000003</v>
      </c>
      <c r="O13" s="4">
        <v>56.453000000000003</v>
      </c>
      <c r="P13" s="4">
        <v>0</v>
      </c>
      <c r="Q13" s="3" t="s">
        <v>26</v>
      </c>
      <c r="R13" s="3">
        <v>0</v>
      </c>
      <c r="S13" s="4">
        <v>2</v>
      </c>
      <c r="T13" s="4">
        <v>3</v>
      </c>
      <c r="U13" s="4">
        <v>83</v>
      </c>
      <c r="V13" s="4">
        <f>IF(ISERROR(VLOOKUP($S$13,'TAR FIN'!$A$1:$O$85,15,0)),0,VLOOKUP($S$13,'TAR FIN'!$A$1:$O$85,15,0))</f>
        <v>63.83</v>
      </c>
      <c r="W13" s="4">
        <f>IF(ISERROR(VLOOKUP($T$13,'TAR FIN'!$A$1:$O$85,15,0)),0,VLOOKUP($T$13,'TAR FIN'!$A$1:$O$85,15,0))</f>
        <v>103.26</v>
      </c>
      <c r="X13" s="4">
        <f>IF(ISERROR(VLOOKUP($U$13,'TAR FIN'!$A$1:$O$85,15,0)),0,VLOOKUP($U$13,'TAR FIN'!$A$1:$O$85,15,0))</f>
        <v>231.33</v>
      </c>
      <c r="Y13" s="4">
        <f ca="1">('TUSD BE'!$AM$6+'TUSD BF'!$AM$6+'TUSD CVA'!$AM$6)*1</f>
        <v>77.970056746860777</v>
      </c>
      <c r="Z13" s="4">
        <f ca="1">('TUSD BE'!$AM$7+'TUSD BF'!$AM$7+'TUSD CVA'!$AM$7)*1</f>
        <v>136.85799051957201</v>
      </c>
      <c r="AA13" s="4">
        <f>('TE BE'!$AA$6+'TE BF'!$AA$6+'TE CVA'!$AA$6)*1</f>
        <v>260.80314197522284</v>
      </c>
      <c r="AB13" s="4">
        <f>$K$13*$V$13</f>
        <v>5872.36</v>
      </c>
      <c r="AC13" s="4">
        <f>$M$13*$W$13</f>
        <v>5829.3367800000005</v>
      </c>
      <c r="AD13" s="4">
        <f>$O$13*$X$13</f>
        <v>13059.272490000001</v>
      </c>
      <c r="AE13" s="4">
        <f ca="1">$K$13*$Y$13</f>
        <v>7173.2452207111919</v>
      </c>
      <c r="AF13" s="4">
        <f ca="1">$M$13*$Z$13</f>
        <v>7726.0441388013996</v>
      </c>
      <c r="AG13" s="4">
        <f>$O$13*$AA$13</f>
        <v>14723.119773927256</v>
      </c>
    </row>
    <row r="14" spans="1:48" ht="11.25" customHeight="1" x14ac:dyDescent="0.25">
      <c r="A14" s="3" t="s">
        <v>21</v>
      </c>
      <c r="B14" s="3" t="s">
        <v>33</v>
      </c>
      <c r="C14" s="3" t="s">
        <v>41</v>
      </c>
      <c r="D14" s="3" t="s">
        <v>40</v>
      </c>
      <c r="E14" s="3" t="s">
        <v>25</v>
      </c>
      <c r="F14" s="3" t="s">
        <v>25</v>
      </c>
      <c r="G14" s="3" t="s">
        <v>25</v>
      </c>
      <c r="H14" s="3" t="s">
        <v>35</v>
      </c>
      <c r="I14" s="6">
        <v>44287</v>
      </c>
      <c r="J14" s="4">
        <v>32</v>
      </c>
      <c r="K14" s="4">
        <v>32</v>
      </c>
      <c r="L14" s="4">
        <v>1.7969999999999999</v>
      </c>
      <c r="M14" s="4">
        <v>1.7969999999999999</v>
      </c>
      <c r="N14" s="4">
        <v>1.7969999999999999</v>
      </c>
      <c r="O14" s="4">
        <v>1.7969999999999999</v>
      </c>
      <c r="P14" s="4">
        <v>0</v>
      </c>
      <c r="Q14" s="3" t="s">
        <v>26</v>
      </c>
      <c r="R14" s="3">
        <v>0</v>
      </c>
      <c r="S14" s="4">
        <v>1</v>
      </c>
      <c r="T14" s="4">
        <v>3</v>
      </c>
      <c r="U14" s="4">
        <v>82</v>
      </c>
      <c r="V14" s="4">
        <f>IF(ISERROR(VLOOKUP($S$14,'TAR FIN'!$A$1:$O$85,15,0)),0,VLOOKUP($S$14,'TAR FIN'!$A$1:$O$85,15,0))</f>
        <v>164.06</v>
      </c>
      <c r="W14" s="4">
        <f>IF(ISERROR(VLOOKUP($T$14,'TAR FIN'!$A$1:$O$85,15,0)),0,VLOOKUP($T$14,'TAR FIN'!$A$1:$O$85,15,0))</f>
        <v>103.26</v>
      </c>
      <c r="X14" s="4">
        <f>IF(ISERROR(VLOOKUP($U$14,'TAR FIN'!$A$1:$O$85,15,0)),0,VLOOKUP($U$14,'TAR FIN'!$A$1:$O$85,15,0))</f>
        <v>231.33</v>
      </c>
      <c r="Y14" s="4">
        <f ca="1">('TUSD BE'!$AM$5+'TUSD BF'!$AM$5+'TUSD CVA'!$AM$5)*1</f>
        <v>197.64583260399544</v>
      </c>
      <c r="Z14" s="4">
        <f ca="1">('TUSD BE'!$AM$7+'TUSD BF'!$AM$7+'TUSD CVA'!$AM$7)*1</f>
        <v>136.85799051957201</v>
      </c>
      <c r="AA14" s="4">
        <f>('TE BE'!$AA$5+'TE BF'!$AA$5+'TE CVA'!$AA$5)*1</f>
        <v>260.80314197522284</v>
      </c>
      <c r="AB14" s="4">
        <f>$K$14*$V$14</f>
        <v>5249.92</v>
      </c>
      <c r="AC14" s="4">
        <f>$M$14*$W$14</f>
        <v>185.55822000000001</v>
      </c>
      <c r="AD14" s="4">
        <f>$O$14*$X$14</f>
        <v>415.70001000000002</v>
      </c>
      <c r="AE14" s="4">
        <f ca="1">$K$14*$Y$14</f>
        <v>6324.6666433278542</v>
      </c>
      <c r="AF14" s="4">
        <f ca="1">$M$14*$Z$14</f>
        <v>245.93380896367088</v>
      </c>
      <c r="AG14" s="4">
        <f>$O$14*$AA$14</f>
        <v>468.66324612947545</v>
      </c>
    </row>
    <row r="15" spans="1:48" ht="11.25" customHeight="1" x14ac:dyDescent="0.25">
      <c r="A15" s="3" t="s">
        <v>21</v>
      </c>
      <c r="B15" s="3" t="s">
        <v>33</v>
      </c>
      <c r="C15" s="3" t="s">
        <v>41</v>
      </c>
      <c r="D15" s="3" t="s">
        <v>40</v>
      </c>
      <c r="E15" s="3" t="s">
        <v>25</v>
      </c>
      <c r="F15" s="3" t="s">
        <v>25</v>
      </c>
      <c r="G15" s="3" t="s">
        <v>25</v>
      </c>
      <c r="H15" s="3" t="s">
        <v>35</v>
      </c>
      <c r="I15" s="6">
        <v>44317</v>
      </c>
      <c r="J15" s="4">
        <v>32</v>
      </c>
      <c r="K15" s="4">
        <v>32</v>
      </c>
      <c r="L15" s="4">
        <v>1.8919999999999999</v>
      </c>
      <c r="M15" s="4">
        <v>1.8919999999999999</v>
      </c>
      <c r="N15" s="4">
        <v>1.8919999999999999</v>
      </c>
      <c r="O15" s="4">
        <v>1.8919999999999999</v>
      </c>
      <c r="P15" s="4">
        <v>0</v>
      </c>
      <c r="Q15" s="3" t="s">
        <v>26</v>
      </c>
      <c r="R15" s="3">
        <v>0</v>
      </c>
      <c r="S15" s="4">
        <v>1</v>
      </c>
      <c r="T15" s="4">
        <v>3</v>
      </c>
      <c r="U15" s="4">
        <v>82</v>
      </c>
      <c r="V15" s="4">
        <f>IF(ISERROR(VLOOKUP($S$15,'TAR FIN'!$A$1:$O$85,15,0)),0,VLOOKUP($S$15,'TAR FIN'!$A$1:$O$85,15,0))</f>
        <v>164.06</v>
      </c>
      <c r="W15" s="4">
        <f>IF(ISERROR(VLOOKUP($T$15,'TAR FIN'!$A$1:$O$85,15,0)),0,VLOOKUP($T$15,'TAR FIN'!$A$1:$O$85,15,0))</f>
        <v>103.26</v>
      </c>
      <c r="X15" s="4">
        <f>IF(ISERROR(VLOOKUP($U$15,'TAR FIN'!$A$1:$O$85,15,0)),0,VLOOKUP($U$15,'TAR FIN'!$A$1:$O$85,15,0))</f>
        <v>231.33</v>
      </c>
      <c r="Y15" s="4">
        <f ca="1">('TUSD BE'!$AM$5+'TUSD BF'!$AM$5+'TUSD CVA'!$AM$5)*1</f>
        <v>197.64583260399544</v>
      </c>
      <c r="Z15" s="4">
        <f ca="1">('TUSD BE'!$AM$7+'TUSD BF'!$AM$7+'TUSD CVA'!$AM$7)*1</f>
        <v>136.85799051957201</v>
      </c>
      <c r="AA15" s="4">
        <f>('TE BE'!$AA$5+'TE BF'!$AA$5+'TE CVA'!$AA$5)*1</f>
        <v>260.80314197522284</v>
      </c>
      <c r="AB15" s="4">
        <f>$K$15*$V$15</f>
        <v>5249.92</v>
      </c>
      <c r="AC15" s="4">
        <f>$M$15*$W$15</f>
        <v>195.36792</v>
      </c>
      <c r="AD15" s="4">
        <f>$O$15*$X$15</f>
        <v>437.67635999999999</v>
      </c>
      <c r="AE15" s="4">
        <f ca="1">$K$15*$Y$15</f>
        <v>6324.6666433278542</v>
      </c>
      <c r="AF15" s="4">
        <f ca="1">$M$15*$Z$15</f>
        <v>258.93531806303025</v>
      </c>
      <c r="AG15" s="4">
        <f>$O$15*$AA$15</f>
        <v>493.43954461712161</v>
      </c>
    </row>
    <row r="16" spans="1:48" ht="11.25" customHeight="1" x14ac:dyDescent="0.25">
      <c r="A16" s="3" t="s">
        <v>21</v>
      </c>
      <c r="B16" s="3" t="s">
        <v>33</v>
      </c>
      <c r="C16" s="3" t="s">
        <v>41</v>
      </c>
      <c r="D16" s="3" t="s">
        <v>40</v>
      </c>
      <c r="E16" s="3" t="s">
        <v>25</v>
      </c>
      <c r="F16" s="3" t="s">
        <v>25</v>
      </c>
      <c r="G16" s="3" t="s">
        <v>25</v>
      </c>
      <c r="H16" s="3" t="s">
        <v>35</v>
      </c>
      <c r="I16" s="6">
        <v>44348</v>
      </c>
      <c r="J16" s="4">
        <v>32</v>
      </c>
      <c r="K16" s="4">
        <v>32</v>
      </c>
      <c r="L16" s="4">
        <v>1.89</v>
      </c>
      <c r="M16" s="4">
        <v>1.89</v>
      </c>
      <c r="N16" s="4">
        <v>1.89</v>
      </c>
      <c r="O16" s="4">
        <v>1.89</v>
      </c>
      <c r="P16" s="4">
        <v>0</v>
      </c>
      <c r="Q16" s="3" t="s">
        <v>26</v>
      </c>
      <c r="R16" s="3">
        <v>0</v>
      </c>
      <c r="S16" s="4">
        <v>1</v>
      </c>
      <c r="T16" s="4">
        <v>3</v>
      </c>
      <c r="U16" s="4">
        <v>82</v>
      </c>
      <c r="V16" s="4">
        <f>IF(ISERROR(VLOOKUP($S$16,'TAR FIN'!$A$1:$O$85,15,0)),0,VLOOKUP($S$16,'TAR FIN'!$A$1:$O$85,15,0))</f>
        <v>164.06</v>
      </c>
      <c r="W16" s="4">
        <f>IF(ISERROR(VLOOKUP($T$16,'TAR FIN'!$A$1:$O$85,15,0)),0,VLOOKUP($T$16,'TAR FIN'!$A$1:$O$85,15,0))</f>
        <v>103.26</v>
      </c>
      <c r="X16" s="4">
        <f>IF(ISERROR(VLOOKUP($U$16,'TAR FIN'!$A$1:$O$85,15,0)),0,VLOOKUP($U$16,'TAR FIN'!$A$1:$O$85,15,0))</f>
        <v>231.33</v>
      </c>
      <c r="Y16" s="4">
        <f ca="1">('TUSD BE'!$AM$5+'TUSD BF'!$AM$5+'TUSD CVA'!$AM$5)*1</f>
        <v>197.64583260399544</v>
      </c>
      <c r="Z16" s="4">
        <f ca="1">('TUSD BE'!$AM$7+'TUSD BF'!$AM$7+'TUSD CVA'!$AM$7)*1</f>
        <v>136.85799051957201</v>
      </c>
      <c r="AA16" s="4">
        <f>('TE BE'!$AA$5+'TE BF'!$AA$5+'TE CVA'!$AA$5)*1</f>
        <v>260.80314197522284</v>
      </c>
      <c r="AB16" s="4">
        <f>$K$16*$V$16</f>
        <v>5249.92</v>
      </c>
      <c r="AC16" s="4">
        <f>$M$16*$W$16</f>
        <v>195.16139999999999</v>
      </c>
      <c r="AD16" s="4">
        <f>$O$16*$X$16</f>
        <v>437.21370000000002</v>
      </c>
      <c r="AE16" s="4">
        <f ca="1">$K$16*$Y$16</f>
        <v>6324.6666433278542</v>
      </c>
      <c r="AF16" s="4">
        <f ca="1">$M$16*$Z$16</f>
        <v>258.66160208199108</v>
      </c>
      <c r="AG16" s="4">
        <f>$O$16*$AA$16</f>
        <v>492.91793833317115</v>
      </c>
    </row>
    <row r="17" spans="1:33" ht="11.25" customHeight="1" x14ac:dyDescent="0.25">
      <c r="A17" s="3" t="s">
        <v>21</v>
      </c>
      <c r="B17" s="3" t="s">
        <v>33</v>
      </c>
      <c r="C17" s="3" t="s">
        <v>41</v>
      </c>
      <c r="D17" s="3" t="s">
        <v>40</v>
      </c>
      <c r="E17" s="3" t="s">
        <v>25</v>
      </c>
      <c r="F17" s="3" t="s">
        <v>25</v>
      </c>
      <c r="G17" s="3" t="s">
        <v>25</v>
      </c>
      <c r="H17" s="3" t="s">
        <v>35</v>
      </c>
      <c r="I17" s="6">
        <v>44378</v>
      </c>
      <c r="J17" s="4">
        <v>32</v>
      </c>
      <c r="K17" s="4">
        <v>32</v>
      </c>
      <c r="L17" s="4">
        <v>1.9450000000000001</v>
      </c>
      <c r="M17" s="4">
        <v>1.9450000000000001</v>
      </c>
      <c r="N17" s="4">
        <v>1.9450000000000001</v>
      </c>
      <c r="O17" s="4">
        <v>1.9450000000000001</v>
      </c>
      <c r="P17" s="4">
        <v>0</v>
      </c>
      <c r="Q17" s="3" t="s">
        <v>26</v>
      </c>
      <c r="R17" s="3">
        <v>0</v>
      </c>
      <c r="S17" s="4">
        <v>1</v>
      </c>
      <c r="T17" s="4">
        <v>3</v>
      </c>
      <c r="U17" s="4">
        <v>82</v>
      </c>
      <c r="V17" s="4">
        <f>IF(ISERROR(VLOOKUP($S$17,'TAR FIN'!$A$1:$O$85,15,0)),0,VLOOKUP($S$17,'TAR FIN'!$A$1:$O$85,15,0))</f>
        <v>164.06</v>
      </c>
      <c r="W17" s="4">
        <f>IF(ISERROR(VLOOKUP($T$17,'TAR FIN'!$A$1:$O$85,15,0)),0,VLOOKUP($T$17,'TAR FIN'!$A$1:$O$85,15,0))</f>
        <v>103.26</v>
      </c>
      <c r="X17" s="4">
        <f>IF(ISERROR(VLOOKUP($U$17,'TAR FIN'!$A$1:$O$85,15,0)),0,VLOOKUP($U$17,'TAR FIN'!$A$1:$O$85,15,0))</f>
        <v>231.33</v>
      </c>
      <c r="Y17" s="4">
        <f ca="1">('TUSD BE'!$AM$5+'TUSD BF'!$AM$5+'TUSD CVA'!$AM$5)*1</f>
        <v>197.64583260399544</v>
      </c>
      <c r="Z17" s="4">
        <f ca="1">('TUSD BE'!$AM$7+'TUSD BF'!$AM$7+'TUSD CVA'!$AM$7)*1</f>
        <v>136.85799051957201</v>
      </c>
      <c r="AA17" s="4">
        <f>('TE BE'!$AA$5+'TE BF'!$AA$5+'TE CVA'!$AA$5)*1</f>
        <v>260.80314197522284</v>
      </c>
      <c r="AB17" s="4">
        <f>$K$17*$V$17</f>
        <v>5249.92</v>
      </c>
      <c r="AC17" s="4">
        <f>$M$17*$W$17</f>
        <v>200.84070000000003</v>
      </c>
      <c r="AD17" s="4">
        <f>$O$17*$X$17</f>
        <v>449.93685000000005</v>
      </c>
      <c r="AE17" s="4">
        <f ca="1">$K$17*$Y$17</f>
        <v>6324.6666433278542</v>
      </c>
      <c r="AF17" s="4">
        <f ca="1">$M$17*$Z$17</f>
        <v>266.18879156056755</v>
      </c>
      <c r="AG17" s="4">
        <f>$O$17*$AA$17</f>
        <v>507.26211114180842</v>
      </c>
    </row>
    <row r="18" spans="1:33" ht="11.25" customHeight="1" x14ac:dyDescent="0.25">
      <c r="A18" s="3" t="s">
        <v>21</v>
      </c>
      <c r="B18" s="3" t="s">
        <v>33</v>
      </c>
      <c r="C18" s="3" t="s">
        <v>41</v>
      </c>
      <c r="D18" s="3" t="s">
        <v>40</v>
      </c>
      <c r="E18" s="3" t="s">
        <v>25</v>
      </c>
      <c r="F18" s="3" t="s">
        <v>25</v>
      </c>
      <c r="G18" s="3" t="s">
        <v>25</v>
      </c>
      <c r="H18" s="3" t="s">
        <v>35</v>
      </c>
      <c r="I18" s="6">
        <v>44409</v>
      </c>
      <c r="J18" s="4">
        <v>31</v>
      </c>
      <c r="K18" s="4">
        <v>31</v>
      </c>
      <c r="L18" s="4">
        <v>1.9350000000000001</v>
      </c>
      <c r="M18" s="4">
        <v>1.9350000000000001</v>
      </c>
      <c r="N18" s="4">
        <v>1.9350000000000001</v>
      </c>
      <c r="O18" s="4">
        <v>1.9350000000000001</v>
      </c>
      <c r="P18" s="4">
        <v>0</v>
      </c>
      <c r="Q18" s="3" t="s">
        <v>26</v>
      </c>
      <c r="R18" s="3">
        <v>0</v>
      </c>
      <c r="S18" s="4">
        <v>1</v>
      </c>
      <c r="T18" s="4">
        <v>3</v>
      </c>
      <c r="U18" s="4">
        <v>82</v>
      </c>
      <c r="V18" s="4">
        <f>IF(ISERROR(VLOOKUP($S$18,'TAR FIN'!$A$1:$O$85,15,0)),0,VLOOKUP($S$18,'TAR FIN'!$A$1:$O$85,15,0))</f>
        <v>164.06</v>
      </c>
      <c r="W18" s="4">
        <f>IF(ISERROR(VLOOKUP($T$18,'TAR FIN'!$A$1:$O$85,15,0)),0,VLOOKUP($T$18,'TAR FIN'!$A$1:$O$85,15,0))</f>
        <v>103.26</v>
      </c>
      <c r="X18" s="4">
        <f>IF(ISERROR(VLOOKUP($U$18,'TAR FIN'!$A$1:$O$85,15,0)),0,VLOOKUP($U$18,'TAR FIN'!$A$1:$O$85,15,0))</f>
        <v>231.33</v>
      </c>
      <c r="Y18" s="4">
        <f ca="1">('TUSD BE'!$AM$5+'TUSD BF'!$AM$5+'TUSD CVA'!$AM$5)*1</f>
        <v>197.64583260399544</v>
      </c>
      <c r="Z18" s="4">
        <f ca="1">('TUSD BE'!$AM$7+'TUSD BF'!$AM$7+'TUSD CVA'!$AM$7)*1</f>
        <v>136.85799051957201</v>
      </c>
      <c r="AA18" s="4">
        <f>('TE BE'!$AA$5+'TE BF'!$AA$5+'TE CVA'!$AA$5)*1</f>
        <v>260.80314197522284</v>
      </c>
      <c r="AB18" s="4">
        <f>$K$18*$V$18</f>
        <v>5085.8599999999997</v>
      </c>
      <c r="AC18" s="4">
        <f>$M$18*$W$18</f>
        <v>199.80810000000002</v>
      </c>
      <c r="AD18" s="4">
        <f>$O$18*$X$18</f>
        <v>447.62355000000002</v>
      </c>
      <c r="AE18" s="4">
        <f ca="1">$K$18*$Y$18</f>
        <v>6127.0208107238586</v>
      </c>
      <c r="AF18" s="4">
        <f ca="1">$M$18*$Z$18</f>
        <v>264.82021165537185</v>
      </c>
      <c r="AG18" s="4">
        <f>$O$18*$AA$18</f>
        <v>504.65407972205622</v>
      </c>
    </row>
    <row r="19" spans="1:33" ht="11.25" customHeight="1" x14ac:dyDescent="0.25">
      <c r="A19" s="3" t="s">
        <v>21</v>
      </c>
      <c r="B19" s="3" t="s">
        <v>33</v>
      </c>
      <c r="C19" s="3" t="s">
        <v>41</v>
      </c>
      <c r="D19" s="3" t="s">
        <v>40</v>
      </c>
      <c r="E19" s="3" t="s">
        <v>25</v>
      </c>
      <c r="F19" s="3" t="s">
        <v>25</v>
      </c>
      <c r="G19" s="3" t="s">
        <v>25</v>
      </c>
      <c r="H19" s="3" t="s">
        <v>35</v>
      </c>
      <c r="I19" s="6">
        <v>44440</v>
      </c>
      <c r="J19" s="4">
        <v>35</v>
      </c>
      <c r="K19" s="4">
        <v>35</v>
      </c>
      <c r="L19" s="4">
        <v>1.853</v>
      </c>
      <c r="M19" s="4">
        <v>1.853</v>
      </c>
      <c r="N19" s="4">
        <v>1.853</v>
      </c>
      <c r="O19" s="4">
        <v>1.853</v>
      </c>
      <c r="P19" s="4">
        <v>0</v>
      </c>
      <c r="Q19" s="3" t="s">
        <v>26</v>
      </c>
      <c r="R19" s="3">
        <v>0</v>
      </c>
      <c r="S19" s="4">
        <v>1</v>
      </c>
      <c r="T19" s="4">
        <v>3</v>
      </c>
      <c r="U19" s="4">
        <v>82</v>
      </c>
      <c r="V19" s="4">
        <f>IF(ISERROR(VLOOKUP($S$19,'TAR FIN'!$A$1:$O$85,15,0)),0,VLOOKUP($S$19,'TAR FIN'!$A$1:$O$85,15,0))</f>
        <v>164.06</v>
      </c>
      <c r="W19" s="4">
        <f>IF(ISERROR(VLOOKUP($T$19,'TAR FIN'!$A$1:$O$85,15,0)),0,VLOOKUP($T$19,'TAR FIN'!$A$1:$O$85,15,0))</f>
        <v>103.26</v>
      </c>
      <c r="X19" s="4">
        <f>IF(ISERROR(VLOOKUP($U$19,'TAR FIN'!$A$1:$O$85,15,0)),0,VLOOKUP($U$19,'TAR FIN'!$A$1:$O$85,15,0))</f>
        <v>231.33</v>
      </c>
      <c r="Y19" s="4">
        <f ca="1">('TUSD BE'!$AM$5+'TUSD BF'!$AM$5+'TUSD CVA'!$AM$5)*1</f>
        <v>197.64583260399544</v>
      </c>
      <c r="Z19" s="4">
        <f ca="1">('TUSD BE'!$AM$7+'TUSD BF'!$AM$7+'TUSD CVA'!$AM$7)*1</f>
        <v>136.85799051957201</v>
      </c>
      <c r="AA19" s="4">
        <f>('TE BE'!$AA$5+'TE BF'!$AA$5+'TE CVA'!$AA$5)*1</f>
        <v>260.80314197522284</v>
      </c>
      <c r="AB19" s="4">
        <f>$K$19*$V$19</f>
        <v>5742.1</v>
      </c>
      <c r="AC19" s="4">
        <f>$M$19*$W$19</f>
        <v>191.34078</v>
      </c>
      <c r="AD19" s="4">
        <f>$O$19*$X$19</f>
        <v>428.65449000000001</v>
      </c>
      <c r="AE19" s="4">
        <f ca="1">$K$19*$Y$19</f>
        <v>6917.604141139841</v>
      </c>
      <c r="AF19" s="4">
        <f ca="1">$M$19*$Z$19</f>
        <v>253.59785643276695</v>
      </c>
      <c r="AG19" s="4">
        <f>$O$19*$AA$19</f>
        <v>483.26822208008792</v>
      </c>
    </row>
    <row r="20" spans="1:33" ht="11.25" customHeight="1" x14ac:dyDescent="0.25">
      <c r="A20" s="3" t="s">
        <v>21</v>
      </c>
      <c r="B20" s="3" t="s">
        <v>33</v>
      </c>
      <c r="C20" s="3" t="s">
        <v>41</v>
      </c>
      <c r="D20" s="3" t="s">
        <v>40</v>
      </c>
      <c r="E20" s="3" t="s">
        <v>25</v>
      </c>
      <c r="F20" s="3" t="s">
        <v>25</v>
      </c>
      <c r="G20" s="3" t="s">
        <v>25</v>
      </c>
      <c r="H20" s="3" t="s">
        <v>35</v>
      </c>
      <c r="I20" s="6">
        <v>44470</v>
      </c>
      <c r="J20" s="4">
        <v>31</v>
      </c>
      <c r="K20" s="4">
        <v>31</v>
      </c>
      <c r="L20" s="4">
        <v>1.764</v>
      </c>
      <c r="M20" s="4">
        <v>1.764</v>
      </c>
      <c r="N20" s="4">
        <v>1.764</v>
      </c>
      <c r="O20" s="4">
        <v>1.764</v>
      </c>
      <c r="P20" s="4">
        <v>0</v>
      </c>
      <c r="Q20" s="3" t="s">
        <v>26</v>
      </c>
      <c r="R20" s="3">
        <v>0</v>
      </c>
      <c r="S20" s="4">
        <v>1</v>
      </c>
      <c r="T20" s="4">
        <v>3</v>
      </c>
      <c r="U20" s="4">
        <v>82</v>
      </c>
      <c r="V20" s="4">
        <f>IF(ISERROR(VLOOKUP($S$20,'TAR FIN'!$A$1:$O$85,15,0)),0,VLOOKUP($S$20,'TAR FIN'!$A$1:$O$85,15,0))</f>
        <v>164.06</v>
      </c>
      <c r="W20" s="4">
        <f>IF(ISERROR(VLOOKUP($T$20,'TAR FIN'!$A$1:$O$85,15,0)),0,VLOOKUP($T$20,'TAR FIN'!$A$1:$O$85,15,0))</f>
        <v>103.26</v>
      </c>
      <c r="X20" s="4">
        <f>IF(ISERROR(VLOOKUP($U$20,'TAR FIN'!$A$1:$O$85,15,0)),0,VLOOKUP($U$20,'TAR FIN'!$A$1:$O$85,15,0))</f>
        <v>231.33</v>
      </c>
      <c r="Y20" s="4">
        <f ca="1">('TUSD BE'!$AM$5+'TUSD BF'!$AM$5+'TUSD CVA'!$AM$5)*1</f>
        <v>197.64583260399544</v>
      </c>
      <c r="Z20" s="4">
        <f ca="1">('TUSD BE'!$AM$7+'TUSD BF'!$AM$7+'TUSD CVA'!$AM$7)*1</f>
        <v>136.85799051957201</v>
      </c>
      <c r="AA20" s="4">
        <f>('TE BE'!$AA$5+'TE BF'!$AA$5+'TE CVA'!$AA$5)*1</f>
        <v>260.80314197522284</v>
      </c>
      <c r="AB20" s="4">
        <f>$K$20*$V$20</f>
        <v>5085.8599999999997</v>
      </c>
      <c r="AC20" s="4">
        <f>$M$20*$W$20</f>
        <v>182.15064000000001</v>
      </c>
      <c r="AD20" s="4">
        <f>$O$20*$X$20</f>
        <v>408.06612000000001</v>
      </c>
      <c r="AE20" s="4">
        <f ca="1">$K$20*$Y$20</f>
        <v>6127.0208107238586</v>
      </c>
      <c r="AF20" s="4">
        <f ca="1">$M$20*$Z$20</f>
        <v>241.41749527652505</v>
      </c>
      <c r="AG20" s="4">
        <f>$O$20*$AA$20</f>
        <v>460.05674244429309</v>
      </c>
    </row>
    <row r="21" spans="1:33" ht="11.25" customHeight="1" x14ac:dyDescent="0.25">
      <c r="A21" s="3" t="s">
        <v>21</v>
      </c>
      <c r="B21" s="3" t="s">
        <v>33</v>
      </c>
      <c r="C21" s="3" t="s">
        <v>41</v>
      </c>
      <c r="D21" s="3" t="s">
        <v>40</v>
      </c>
      <c r="E21" s="3" t="s">
        <v>25</v>
      </c>
      <c r="F21" s="3" t="s">
        <v>25</v>
      </c>
      <c r="G21" s="3" t="s">
        <v>25</v>
      </c>
      <c r="H21" s="3" t="s">
        <v>35</v>
      </c>
      <c r="I21" s="6">
        <v>44501</v>
      </c>
      <c r="J21" s="4">
        <v>31</v>
      </c>
      <c r="K21" s="4">
        <v>31</v>
      </c>
      <c r="L21" s="4">
        <v>1.77</v>
      </c>
      <c r="M21" s="4">
        <v>1.77</v>
      </c>
      <c r="N21" s="4">
        <v>1.77</v>
      </c>
      <c r="O21" s="4">
        <v>1.77</v>
      </c>
      <c r="P21" s="4">
        <v>0</v>
      </c>
      <c r="Q21" s="3" t="s">
        <v>26</v>
      </c>
      <c r="R21" s="3">
        <v>0</v>
      </c>
      <c r="S21" s="4">
        <v>1</v>
      </c>
      <c r="T21" s="4">
        <v>3</v>
      </c>
      <c r="U21" s="4">
        <v>82</v>
      </c>
      <c r="V21" s="4">
        <f>IF(ISERROR(VLOOKUP($S$21,'TAR FIN'!$A$1:$O$85,15,0)),0,VLOOKUP($S$21,'TAR FIN'!$A$1:$O$85,15,0))</f>
        <v>164.06</v>
      </c>
      <c r="W21" s="4">
        <f>IF(ISERROR(VLOOKUP($T$21,'TAR FIN'!$A$1:$O$85,15,0)),0,VLOOKUP($T$21,'TAR FIN'!$A$1:$O$85,15,0))</f>
        <v>103.26</v>
      </c>
      <c r="X21" s="4">
        <f>IF(ISERROR(VLOOKUP($U$21,'TAR FIN'!$A$1:$O$85,15,0)),0,VLOOKUP($U$21,'TAR FIN'!$A$1:$O$85,15,0))</f>
        <v>231.33</v>
      </c>
      <c r="Y21" s="4">
        <f ca="1">('TUSD BE'!$AM$5+'TUSD BF'!$AM$5+'TUSD CVA'!$AM$5)*1</f>
        <v>197.64583260399544</v>
      </c>
      <c r="Z21" s="4">
        <f ca="1">('TUSD BE'!$AM$7+'TUSD BF'!$AM$7+'TUSD CVA'!$AM$7)*1</f>
        <v>136.85799051957201</v>
      </c>
      <c r="AA21" s="4">
        <f>('TE BE'!$AA$5+'TE BF'!$AA$5+'TE CVA'!$AA$5)*1</f>
        <v>260.80314197522284</v>
      </c>
      <c r="AB21" s="4">
        <f>$K$21*$V$21</f>
        <v>5085.8599999999997</v>
      </c>
      <c r="AC21" s="4">
        <f>$M$21*$W$21</f>
        <v>182.77020000000002</v>
      </c>
      <c r="AD21" s="4">
        <f>$O$21*$X$21</f>
        <v>409.45410000000004</v>
      </c>
      <c r="AE21" s="4">
        <f ca="1">$K$21*$Y$21</f>
        <v>6127.0208107238586</v>
      </c>
      <c r="AF21" s="4">
        <f ca="1">$M$21*$Z$21</f>
        <v>242.23864321964246</v>
      </c>
      <c r="AG21" s="4">
        <f>$O$21*$AA$21</f>
        <v>461.62156129614442</v>
      </c>
    </row>
    <row r="22" spans="1:33" ht="11.25" customHeight="1" x14ac:dyDescent="0.25">
      <c r="A22" s="3" t="s">
        <v>21</v>
      </c>
      <c r="B22" s="3" t="s">
        <v>33</v>
      </c>
      <c r="C22" s="3" t="s">
        <v>41</v>
      </c>
      <c r="D22" s="3" t="s">
        <v>40</v>
      </c>
      <c r="E22" s="3" t="s">
        <v>25</v>
      </c>
      <c r="F22" s="3" t="s">
        <v>25</v>
      </c>
      <c r="G22" s="3" t="s">
        <v>25</v>
      </c>
      <c r="H22" s="3" t="s">
        <v>35</v>
      </c>
      <c r="I22" s="6">
        <v>44531</v>
      </c>
      <c r="J22" s="4">
        <v>32</v>
      </c>
      <c r="K22" s="4">
        <v>32</v>
      </c>
      <c r="L22" s="4">
        <v>1.986</v>
      </c>
      <c r="M22" s="4">
        <v>1.986</v>
      </c>
      <c r="N22" s="4">
        <v>1.986</v>
      </c>
      <c r="O22" s="4">
        <v>1.986</v>
      </c>
      <c r="P22" s="4">
        <v>0</v>
      </c>
      <c r="Q22" s="3" t="s">
        <v>26</v>
      </c>
      <c r="R22" s="3">
        <v>0</v>
      </c>
      <c r="S22" s="4">
        <v>1</v>
      </c>
      <c r="T22" s="4">
        <v>3</v>
      </c>
      <c r="U22" s="4">
        <v>82</v>
      </c>
      <c r="V22" s="4">
        <f>IF(ISERROR(VLOOKUP($S$22,'TAR FIN'!$A$1:$O$85,15,0)),0,VLOOKUP($S$22,'TAR FIN'!$A$1:$O$85,15,0))</f>
        <v>164.06</v>
      </c>
      <c r="W22" s="4">
        <f>IF(ISERROR(VLOOKUP($T$22,'TAR FIN'!$A$1:$O$85,15,0)),0,VLOOKUP($T$22,'TAR FIN'!$A$1:$O$85,15,0))</f>
        <v>103.26</v>
      </c>
      <c r="X22" s="4">
        <f>IF(ISERROR(VLOOKUP($U$22,'TAR FIN'!$A$1:$O$85,15,0)),0,VLOOKUP($U$22,'TAR FIN'!$A$1:$O$85,15,0))</f>
        <v>231.33</v>
      </c>
      <c r="Y22" s="4">
        <f ca="1">('TUSD BE'!$AM$5+'TUSD BF'!$AM$5+'TUSD CVA'!$AM$5)*1</f>
        <v>197.64583260399544</v>
      </c>
      <c r="Z22" s="4">
        <f ca="1">('TUSD BE'!$AM$7+'TUSD BF'!$AM$7+'TUSD CVA'!$AM$7)*1</f>
        <v>136.85799051957201</v>
      </c>
      <c r="AA22" s="4">
        <f>('TE BE'!$AA$5+'TE BF'!$AA$5+'TE CVA'!$AA$5)*1</f>
        <v>260.80314197522284</v>
      </c>
      <c r="AB22" s="4">
        <f>$K$22*$V$22</f>
        <v>5249.92</v>
      </c>
      <c r="AC22" s="4">
        <f>$M$22*$W$22</f>
        <v>205.07436000000001</v>
      </c>
      <c r="AD22" s="4">
        <f>$O$22*$X$22</f>
        <v>459.42138</v>
      </c>
      <c r="AE22" s="4">
        <f ca="1">$K$22*$Y$22</f>
        <v>6324.6666433278542</v>
      </c>
      <c r="AF22" s="4">
        <f ca="1">$M$22*$Z$22</f>
        <v>271.79996917187003</v>
      </c>
      <c r="AG22" s="4">
        <f>$O$22*$AA$22</f>
        <v>517.95503996279251</v>
      </c>
    </row>
    <row r="23" spans="1:33" ht="11.25" customHeight="1" x14ac:dyDescent="0.25">
      <c r="A23" s="3" t="s">
        <v>21</v>
      </c>
      <c r="B23" s="3" t="s">
        <v>33</v>
      </c>
      <c r="C23" s="3" t="s">
        <v>41</v>
      </c>
      <c r="D23" s="3" t="s">
        <v>40</v>
      </c>
      <c r="E23" s="3" t="s">
        <v>25</v>
      </c>
      <c r="F23" s="3" t="s">
        <v>25</v>
      </c>
      <c r="G23" s="3" t="s">
        <v>25</v>
      </c>
      <c r="H23" s="3" t="s">
        <v>35</v>
      </c>
      <c r="I23" s="6">
        <v>44562</v>
      </c>
      <c r="J23" s="4">
        <v>32</v>
      </c>
      <c r="K23" s="4">
        <v>32</v>
      </c>
      <c r="L23" s="4">
        <v>1.7709999999999999</v>
      </c>
      <c r="M23" s="4">
        <v>1.7709999999999999</v>
      </c>
      <c r="N23" s="4">
        <v>1.7709999999999999</v>
      </c>
      <c r="O23" s="4">
        <v>1.7709999999999999</v>
      </c>
      <c r="P23" s="4">
        <v>0</v>
      </c>
      <c r="Q23" s="3" t="s">
        <v>26</v>
      </c>
      <c r="R23" s="3">
        <v>0</v>
      </c>
      <c r="S23" s="4">
        <v>1</v>
      </c>
      <c r="T23" s="4">
        <v>3</v>
      </c>
      <c r="U23" s="4">
        <v>82</v>
      </c>
      <c r="V23" s="4">
        <f>IF(ISERROR(VLOOKUP($S$23,'TAR FIN'!$A$1:$O$85,15,0)),0,VLOOKUP($S$23,'TAR FIN'!$A$1:$O$85,15,0))</f>
        <v>164.06</v>
      </c>
      <c r="W23" s="4">
        <f>IF(ISERROR(VLOOKUP($T$23,'TAR FIN'!$A$1:$O$85,15,0)),0,VLOOKUP($T$23,'TAR FIN'!$A$1:$O$85,15,0))</f>
        <v>103.26</v>
      </c>
      <c r="X23" s="4">
        <f>IF(ISERROR(VLOOKUP($U$23,'TAR FIN'!$A$1:$O$85,15,0)),0,VLOOKUP($U$23,'TAR FIN'!$A$1:$O$85,15,0))</f>
        <v>231.33</v>
      </c>
      <c r="Y23" s="4">
        <f ca="1">('TUSD BE'!$AM$5+'TUSD BF'!$AM$5+'TUSD CVA'!$AM$5)*1</f>
        <v>197.64583260399544</v>
      </c>
      <c r="Z23" s="4">
        <f ca="1">('TUSD BE'!$AM$7+'TUSD BF'!$AM$7+'TUSD CVA'!$AM$7)*1</f>
        <v>136.85799051957201</v>
      </c>
      <c r="AA23" s="4">
        <f>('TE BE'!$AA$5+'TE BF'!$AA$5+'TE CVA'!$AA$5)*1</f>
        <v>260.80314197522284</v>
      </c>
      <c r="AB23" s="4">
        <f>$K$23*$V$23</f>
        <v>5249.92</v>
      </c>
      <c r="AC23" s="4">
        <f>$M$23*$W$23</f>
        <v>182.87345999999999</v>
      </c>
      <c r="AD23" s="4">
        <f>$O$23*$X$23</f>
        <v>409.68543</v>
      </c>
      <c r="AE23" s="4">
        <f ca="1">$K$23*$Y$23</f>
        <v>6324.6666433278542</v>
      </c>
      <c r="AF23" s="4">
        <f ca="1">$M$23*$Z$23</f>
        <v>242.37550121016201</v>
      </c>
      <c r="AG23" s="4">
        <f>$O$23*$AA$23</f>
        <v>461.88236443811962</v>
      </c>
    </row>
    <row r="24" spans="1:33" ht="11.25" customHeight="1" x14ac:dyDescent="0.25">
      <c r="A24" s="3" t="s">
        <v>21</v>
      </c>
      <c r="B24" s="3" t="s">
        <v>33</v>
      </c>
      <c r="C24" s="3" t="s">
        <v>41</v>
      </c>
      <c r="D24" s="3" t="s">
        <v>40</v>
      </c>
      <c r="E24" s="3" t="s">
        <v>25</v>
      </c>
      <c r="F24" s="3" t="s">
        <v>25</v>
      </c>
      <c r="G24" s="3" t="s">
        <v>25</v>
      </c>
      <c r="H24" s="3" t="s">
        <v>35</v>
      </c>
      <c r="I24" s="6">
        <v>44593</v>
      </c>
      <c r="J24" s="4">
        <v>32</v>
      </c>
      <c r="K24" s="4">
        <v>32</v>
      </c>
      <c r="L24" s="4">
        <v>1.766</v>
      </c>
      <c r="M24" s="4">
        <v>1.766</v>
      </c>
      <c r="N24" s="4">
        <v>1.766</v>
      </c>
      <c r="O24" s="4">
        <v>1.766</v>
      </c>
      <c r="P24" s="4">
        <v>0</v>
      </c>
      <c r="Q24" s="3" t="s">
        <v>26</v>
      </c>
      <c r="R24" s="3">
        <v>0</v>
      </c>
      <c r="S24" s="4">
        <v>1</v>
      </c>
      <c r="T24" s="4">
        <v>3</v>
      </c>
      <c r="U24" s="4">
        <v>82</v>
      </c>
      <c r="V24" s="4">
        <f>IF(ISERROR(VLOOKUP($S$24,'TAR FIN'!$A$1:$O$85,15,0)),0,VLOOKUP($S$24,'TAR FIN'!$A$1:$O$85,15,0))</f>
        <v>164.06</v>
      </c>
      <c r="W24" s="4">
        <f>IF(ISERROR(VLOOKUP($T$24,'TAR FIN'!$A$1:$O$85,15,0)),0,VLOOKUP($T$24,'TAR FIN'!$A$1:$O$85,15,0))</f>
        <v>103.26</v>
      </c>
      <c r="X24" s="4">
        <f>IF(ISERROR(VLOOKUP($U$24,'TAR FIN'!$A$1:$O$85,15,0)),0,VLOOKUP($U$24,'TAR FIN'!$A$1:$O$85,15,0))</f>
        <v>231.33</v>
      </c>
      <c r="Y24" s="4">
        <f ca="1">('TUSD BE'!$AM$5+'TUSD BF'!$AM$5+'TUSD CVA'!$AM$5)*1</f>
        <v>197.64583260399544</v>
      </c>
      <c r="Z24" s="4">
        <f ca="1">('TUSD BE'!$AM$7+'TUSD BF'!$AM$7+'TUSD CVA'!$AM$7)*1</f>
        <v>136.85799051957201</v>
      </c>
      <c r="AA24" s="4">
        <f>('TE BE'!$AA$5+'TE BF'!$AA$5+'TE CVA'!$AA$5)*1</f>
        <v>260.80314197522284</v>
      </c>
      <c r="AB24" s="4">
        <f>$K$24*$V$24</f>
        <v>5249.92</v>
      </c>
      <c r="AC24" s="4">
        <f>$M$24*$W$24</f>
        <v>182.35716000000002</v>
      </c>
      <c r="AD24" s="4">
        <f>$O$24*$X$24</f>
        <v>408.52878000000004</v>
      </c>
      <c r="AE24" s="4">
        <f ca="1">$K$24*$Y$24</f>
        <v>6324.6666433278542</v>
      </c>
      <c r="AF24" s="4">
        <f ca="1">$M$24*$Z$24</f>
        <v>241.69121125756416</v>
      </c>
      <c r="AG24" s="4">
        <f>$O$24*$AA$24</f>
        <v>460.57834872824355</v>
      </c>
    </row>
    <row r="25" spans="1:33" ht="11.25" customHeight="1" x14ac:dyDescent="0.25">
      <c r="A25" s="3" t="s">
        <v>21</v>
      </c>
      <c r="B25" s="3" t="s">
        <v>33</v>
      </c>
      <c r="C25" s="3" t="s">
        <v>41</v>
      </c>
      <c r="D25" s="3" t="s">
        <v>40</v>
      </c>
      <c r="E25" s="3" t="s">
        <v>25</v>
      </c>
      <c r="F25" s="3" t="s">
        <v>25</v>
      </c>
      <c r="G25" s="3" t="s">
        <v>25</v>
      </c>
      <c r="H25" s="3" t="s">
        <v>35</v>
      </c>
      <c r="I25" s="6">
        <v>44621</v>
      </c>
      <c r="J25" s="4">
        <v>32</v>
      </c>
      <c r="K25" s="4">
        <v>32</v>
      </c>
      <c r="L25" s="4">
        <v>1.9650000000000001</v>
      </c>
      <c r="M25" s="4">
        <v>1.9650000000000001</v>
      </c>
      <c r="N25" s="4">
        <v>1.9650000000000001</v>
      </c>
      <c r="O25" s="4">
        <v>1.9650000000000001</v>
      </c>
      <c r="P25" s="4">
        <v>0</v>
      </c>
      <c r="Q25" s="3" t="s">
        <v>26</v>
      </c>
      <c r="R25" s="3">
        <v>0</v>
      </c>
      <c r="S25" s="4">
        <v>1</v>
      </c>
      <c r="T25" s="4">
        <v>3</v>
      </c>
      <c r="U25" s="4">
        <v>82</v>
      </c>
      <c r="V25" s="4">
        <f>IF(ISERROR(VLOOKUP($S$25,'TAR FIN'!$A$1:$O$85,15,0)),0,VLOOKUP($S$25,'TAR FIN'!$A$1:$O$85,15,0))</f>
        <v>164.06</v>
      </c>
      <c r="W25" s="4">
        <f>IF(ISERROR(VLOOKUP($T$25,'TAR FIN'!$A$1:$O$85,15,0)),0,VLOOKUP($T$25,'TAR FIN'!$A$1:$O$85,15,0))</f>
        <v>103.26</v>
      </c>
      <c r="X25" s="4">
        <f>IF(ISERROR(VLOOKUP($U$25,'TAR FIN'!$A$1:$O$85,15,0)),0,VLOOKUP($U$25,'TAR FIN'!$A$1:$O$85,15,0))</f>
        <v>231.33</v>
      </c>
      <c r="Y25" s="4">
        <f ca="1">('TUSD BE'!$AM$5+'TUSD BF'!$AM$5+'TUSD CVA'!$AM$5)*1</f>
        <v>197.64583260399544</v>
      </c>
      <c r="Z25" s="4">
        <f ca="1">('TUSD BE'!$AM$7+'TUSD BF'!$AM$7+'TUSD CVA'!$AM$7)*1</f>
        <v>136.85799051957201</v>
      </c>
      <c r="AA25" s="4">
        <f>('TE BE'!$AA$5+'TE BF'!$AA$5+'TE CVA'!$AA$5)*1</f>
        <v>260.80314197522284</v>
      </c>
      <c r="AB25" s="4">
        <f>$K$25*$V$25</f>
        <v>5249.92</v>
      </c>
      <c r="AC25" s="4">
        <f>$M$25*$W$25</f>
        <v>202.90590000000003</v>
      </c>
      <c r="AD25" s="4">
        <f>$O$25*$X$25</f>
        <v>454.56345000000005</v>
      </c>
      <c r="AE25" s="4">
        <f ca="1">$K$25*$Y$25</f>
        <v>6324.6666433278542</v>
      </c>
      <c r="AF25" s="4">
        <f ca="1">$M$25*$Z$25</f>
        <v>268.92595137095901</v>
      </c>
      <c r="AG25" s="4">
        <f>$O$25*$AA$25</f>
        <v>512.47817398131292</v>
      </c>
    </row>
    <row r="26" spans="1:33" ht="11.25" customHeight="1" x14ac:dyDescent="0.25">
      <c r="A26" s="3" t="s">
        <v>21</v>
      </c>
      <c r="B26" s="3" t="s">
        <v>33</v>
      </c>
      <c r="C26" s="3" t="s">
        <v>34</v>
      </c>
      <c r="D26" s="3" t="s">
        <v>42</v>
      </c>
      <c r="E26" s="3" t="s">
        <v>25</v>
      </c>
      <c r="F26" s="3" t="s">
        <v>25</v>
      </c>
      <c r="G26" s="3" t="s">
        <v>25</v>
      </c>
      <c r="H26" s="3" t="s">
        <v>36</v>
      </c>
      <c r="I26" s="6">
        <v>44287</v>
      </c>
      <c r="J26" s="4">
        <v>0</v>
      </c>
      <c r="K26" s="4">
        <v>0</v>
      </c>
      <c r="L26" s="4">
        <v>40.823999999999998</v>
      </c>
      <c r="M26" s="4">
        <v>40.823999999999998</v>
      </c>
      <c r="N26" s="4">
        <v>40.823999999999998</v>
      </c>
      <c r="O26" s="4">
        <v>40.823999999999998</v>
      </c>
      <c r="P26" s="4">
        <v>0</v>
      </c>
      <c r="Q26" s="3" t="s">
        <v>26</v>
      </c>
      <c r="R26" s="3">
        <v>0</v>
      </c>
      <c r="S26" s="4">
        <v>0</v>
      </c>
      <c r="T26" s="4">
        <v>24</v>
      </c>
      <c r="U26" s="4">
        <v>83</v>
      </c>
      <c r="V26" s="4">
        <f>IF(ISERROR(VLOOKUP($S$26,'TAR FIN'!$A$1:$O$85,15,0)),0,VLOOKUP($S$26,'TAR FIN'!$A$1:$O$85,15,0))</f>
        <v>0</v>
      </c>
      <c r="W26" s="4">
        <f>IF(ISERROR(VLOOKUP($T$26,'TAR FIN'!$A$1:$O$85,15,0)),0,VLOOKUP($T$26,'TAR FIN'!$A$1:$O$85,15,0))</f>
        <v>103.26</v>
      </c>
      <c r="X26" s="4">
        <f>IF(ISERROR(VLOOKUP($U$26,'TAR FIN'!$A$1:$O$85,15,0)),0,VLOOKUP($U$26,'TAR FIN'!$A$1:$O$85,15,0))</f>
        <v>231.33</v>
      </c>
      <c r="Y26" s="4"/>
      <c r="Z26" s="4">
        <f ca="1">('TUSD BE'!$AM$12+'TUSD BF'!$AM$12+'TUSD CVA'!$AM$12)*1</f>
        <v>136.85799051957201</v>
      </c>
      <c r="AA26" s="4">
        <f>('TE BE'!$AA$6+'TE BF'!$AA$6+'TE CVA'!$AA$6)*1</f>
        <v>260.80314197522284</v>
      </c>
      <c r="AB26" s="4">
        <f>$K$26*$V$26</f>
        <v>0</v>
      </c>
      <c r="AC26" s="4">
        <f>$M$26*$W$26</f>
        <v>4215.4862400000002</v>
      </c>
      <c r="AD26" s="4">
        <f>$O$26*$X$26</f>
        <v>9443.8159200000009</v>
      </c>
      <c r="AE26" s="4">
        <f>$K$26*$Y$26</f>
        <v>0</v>
      </c>
      <c r="AF26" s="4">
        <f ca="1">$M$26*$Z$26</f>
        <v>5587.0906049710075</v>
      </c>
      <c r="AG26" s="4">
        <f>$O$26*$AA$26</f>
        <v>10647.027467996497</v>
      </c>
    </row>
    <row r="27" spans="1:33" ht="11.25" customHeight="1" x14ac:dyDescent="0.25">
      <c r="A27" s="3" t="s">
        <v>21</v>
      </c>
      <c r="B27" s="3" t="s">
        <v>33</v>
      </c>
      <c r="C27" s="3" t="s">
        <v>34</v>
      </c>
      <c r="D27" s="3" t="s">
        <v>42</v>
      </c>
      <c r="E27" s="3" t="s">
        <v>25</v>
      </c>
      <c r="F27" s="3" t="s">
        <v>25</v>
      </c>
      <c r="G27" s="3" t="s">
        <v>25</v>
      </c>
      <c r="H27" s="3" t="s">
        <v>36</v>
      </c>
      <c r="I27" s="6">
        <v>44317</v>
      </c>
      <c r="J27" s="4">
        <v>0</v>
      </c>
      <c r="K27" s="4">
        <v>0</v>
      </c>
      <c r="L27" s="4">
        <v>41.585999999999999</v>
      </c>
      <c r="M27" s="4">
        <v>41.585999999999999</v>
      </c>
      <c r="N27" s="4">
        <v>41.585999999999999</v>
      </c>
      <c r="O27" s="4">
        <v>41.585999999999999</v>
      </c>
      <c r="P27" s="4">
        <v>0</v>
      </c>
      <c r="Q27" s="3" t="s">
        <v>26</v>
      </c>
      <c r="R27" s="3">
        <v>0</v>
      </c>
      <c r="S27" s="4">
        <v>0</v>
      </c>
      <c r="T27" s="4">
        <v>24</v>
      </c>
      <c r="U27" s="4">
        <v>83</v>
      </c>
      <c r="V27" s="4">
        <f>IF(ISERROR(VLOOKUP($S$27,'TAR FIN'!$A$1:$O$85,15,0)),0,VLOOKUP($S$27,'TAR FIN'!$A$1:$O$85,15,0))</f>
        <v>0</v>
      </c>
      <c r="W27" s="4">
        <f>IF(ISERROR(VLOOKUP($T$27,'TAR FIN'!$A$1:$O$85,15,0)),0,VLOOKUP($T$27,'TAR FIN'!$A$1:$O$85,15,0))</f>
        <v>103.26</v>
      </c>
      <c r="X27" s="4">
        <f>IF(ISERROR(VLOOKUP($U$27,'TAR FIN'!$A$1:$O$85,15,0)),0,VLOOKUP($U$27,'TAR FIN'!$A$1:$O$85,15,0))</f>
        <v>231.33</v>
      </c>
      <c r="Y27" s="4"/>
      <c r="Z27" s="4">
        <f ca="1">('TUSD BE'!$AM$12+'TUSD BF'!$AM$12+'TUSD CVA'!$AM$12)*1</f>
        <v>136.85799051957201</v>
      </c>
      <c r="AA27" s="4">
        <f>('TE BE'!$AA$6+'TE BF'!$AA$6+'TE CVA'!$AA$6)*1</f>
        <v>260.80314197522284</v>
      </c>
      <c r="AB27" s="4">
        <f>$K$27*$V$27</f>
        <v>0</v>
      </c>
      <c r="AC27" s="4">
        <f>$M$27*$W$27</f>
        <v>4294.1703600000001</v>
      </c>
      <c r="AD27" s="4">
        <f>$O$27*$X$27</f>
        <v>9620.0893799999994</v>
      </c>
      <c r="AE27" s="4">
        <f>$K$27*$Y$27</f>
        <v>0</v>
      </c>
      <c r="AF27" s="4">
        <f ca="1">$M$27*$Z$27</f>
        <v>5691.3763937469212</v>
      </c>
      <c r="AG27" s="4">
        <f>$O$27*$AA$27</f>
        <v>10845.759462181617</v>
      </c>
    </row>
    <row r="28" spans="1:33" ht="11.25" customHeight="1" x14ac:dyDescent="0.25">
      <c r="A28" s="3" t="s">
        <v>21</v>
      </c>
      <c r="B28" s="3" t="s">
        <v>33</v>
      </c>
      <c r="C28" s="3" t="s">
        <v>34</v>
      </c>
      <c r="D28" s="3" t="s">
        <v>42</v>
      </c>
      <c r="E28" s="3" t="s">
        <v>25</v>
      </c>
      <c r="F28" s="3" t="s">
        <v>25</v>
      </c>
      <c r="G28" s="3" t="s">
        <v>25</v>
      </c>
      <c r="H28" s="3" t="s">
        <v>36</v>
      </c>
      <c r="I28" s="6">
        <v>44348</v>
      </c>
      <c r="J28" s="4">
        <v>0</v>
      </c>
      <c r="K28" s="4">
        <v>0</v>
      </c>
      <c r="L28" s="4">
        <v>38.689</v>
      </c>
      <c r="M28" s="4">
        <v>38.689</v>
      </c>
      <c r="N28" s="4">
        <v>38.689</v>
      </c>
      <c r="O28" s="4">
        <v>38.689</v>
      </c>
      <c r="P28" s="4">
        <v>0</v>
      </c>
      <c r="Q28" s="3" t="s">
        <v>26</v>
      </c>
      <c r="R28" s="3">
        <v>0</v>
      </c>
      <c r="S28" s="4">
        <v>0</v>
      </c>
      <c r="T28" s="4">
        <v>24</v>
      </c>
      <c r="U28" s="4">
        <v>83</v>
      </c>
      <c r="V28" s="4">
        <f>IF(ISERROR(VLOOKUP($S$28,'TAR FIN'!$A$1:$O$85,15,0)),0,VLOOKUP($S$28,'TAR FIN'!$A$1:$O$85,15,0))</f>
        <v>0</v>
      </c>
      <c r="W28" s="4">
        <f>IF(ISERROR(VLOOKUP($T$28,'TAR FIN'!$A$1:$O$85,15,0)),0,VLOOKUP($T$28,'TAR FIN'!$A$1:$O$85,15,0))</f>
        <v>103.26</v>
      </c>
      <c r="X28" s="4">
        <f>IF(ISERROR(VLOOKUP($U$28,'TAR FIN'!$A$1:$O$85,15,0)),0,VLOOKUP($U$28,'TAR FIN'!$A$1:$O$85,15,0))</f>
        <v>231.33</v>
      </c>
      <c r="Y28" s="4"/>
      <c r="Z28" s="4">
        <f ca="1">('TUSD BE'!$AM$12+'TUSD BF'!$AM$12+'TUSD CVA'!$AM$12)*1</f>
        <v>136.85799051957201</v>
      </c>
      <c r="AA28" s="4">
        <f>('TE BE'!$AA$6+'TE BF'!$AA$6+'TE CVA'!$AA$6)*1</f>
        <v>260.80314197522284</v>
      </c>
      <c r="AB28" s="4">
        <f>$K$28*$V$28</f>
        <v>0</v>
      </c>
      <c r="AC28" s="4">
        <f>$M$28*$W$28</f>
        <v>3995.0261400000004</v>
      </c>
      <c r="AD28" s="4">
        <f>$O$28*$X$28</f>
        <v>8949.926370000001</v>
      </c>
      <c r="AE28" s="4">
        <f>$K$28*$Y$28</f>
        <v>0</v>
      </c>
      <c r="AF28" s="4">
        <f ca="1">$M$28*$Z$28</f>
        <v>5294.8987952117213</v>
      </c>
      <c r="AG28" s="4">
        <f>$O$28*$AA$28</f>
        <v>10090.212759879396</v>
      </c>
    </row>
    <row r="29" spans="1:33" ht="11.25" customHeight="1" x14ac:dyDescent="0.25">
      <c r="A29" s="3" t="s">
        <v>21</v>
      </c>
      <c r="B29" s="3" t="s">
        <v>33</v>
      </c>
      <c r="C29" s="3" t="s">
        <v>34</v>
      </c>
      <c r="D29" s="3" t="s">
        <v>42</v>
      </c>
      <c r="E29" s="3" t="s">
        <v>25</v>
      </c>
      <c r="F29" s="3" t="s">
        <v>25</v>
      </c>
      <c r="G29" s="3" t="s">
        <v>25</v>
      </c>
      <c r="H29" s="3" t="s">
        <v>36</v>
      </c>
      <c r="I29" s="6">
        <v>44378</v>
      </c>
      <c r="J29" s="4">
        <v>0</v>
      </c>
      <c r="K29" s="4">
        <v>0</v>
      </c>
      <c r="L29" s="4">
        <v>37.610999999999997</v>
      </c>
      <c r="M29" s="4">
        <v>37.610999999999997</v>
      </c>
      <c r="N29" s="4">
        <v>37.610999999999997</v>
      </c>
      <c r="O29" s="4">
        <v>37.610999999999997</v>
      </c>
      <c r="P29" s="4">
        <v>0</v>
      </c>
      <c r="Q29" s="3" t="s">
        <v>26</v>
      </c>
      <c r="R29" s="3">
        <v>0</v>
      </c>
      <c r="S29" s="4">
        <v>0</v>
      </c>
      <c r="T29" s="4">
        <v>24</v>
      </c>
      <c r="U29" s="4">
        <v>83</v>
      </c>
      <c r="V29" s="4">
        <f>IF(ISERROR(VLOOKUP($S$29,'TAR FIN'!$A$1:$O$85,15,0)),0,VLOOKUP($S$29,'TAR FIN'!$A$1:$O$85,15,0))</f>
        <v>0</v>
      </c>
      <c r="W29" s="4">
        <f>IF(ISERROR(VLOOKUP($T$29,'TAR FIN'!$A$1:$O$85,15,0)),0,VLOOKUP($T$29,'TAR FIN'!$A$1:$O$85,15,0))</f>
        <v>103.26</v>
      </c>
      <c r="X29" s="4">
        <f>IF(ISERROR(VLOOKUP($U$29,'TAR FIN'!$A$1:$O$85,15,0)),0,VLOOKUP($U$29,'TAR FIN'!$A$1:$O$85,15,0))</f>
        <v>231.33</v>
      </c>
      <c r="Y29" s="4"/>
      <c r="Z29" s="4">
        <f ca="1">('TUSD BE'!$AM$12+'TUSD BF'!$AM$12+'TUSD CVA'!$AM$12)*1</f>
        <v>136.85799051957201</v>
      </c>
      <c r="AA29" s="4">
        <f>('TE BE'!$AA$6+'TE BF'!$AA$6+'TE CVA'!$AA$6)*1</f>
        <v>260.80314197522284</v>
      </c>
      <c r="AB29" s="4">
        <f>$K$29*$V$29</f>
        <v>0</v>
      </c>
      <c r="AC29" s="4">
        <f>$M$29*$W$29</f>
        <v>3883.7118599999999</v>
      </c>
      <c r="AD29" s="4">
        <f>$O$29*$X$29</f>
        <v>8700.5526300000001</v>
      </c>
      <c r="AE29" s="4">
        <f>$K$29*$Y$29</f>
        <v>0</v>
      </c>
      <c r="AF29" s="4">
        <f ca="1">$M$29*$Z$29</f>
        <v>5147.3658814316223</v>
      </c>
      <c r="AG29" s="4">
        <f>$O$29*$AA$29</f>
        <v>9809.0669728301054</v>
      </c>
    </row>
    <row r="30" spans="1:33" ht="11.25" customHeight="1" x14ac:dyDescent="0.25">
      <c r="A30" s="3" t="s">
        <v>21</v>
      </c>
      <c r="B30" s="3" t="s">
        <v>33</v>
      </c>
      <c r="C30" s="3" t="s">
        <v>34</v>
      </c>
      <c r="D30" s="3" t="s">
        <v>42</v>
      </c>
      <c r="E30" s="3" t="s">
        <v>25</v>
      </c>
      <c r="F30" s="3" t="s">
        <v>25</v>
      </c>
      <c r="G30" s="3" t="s">
        <v>25</v>
      </c>
      <c r="H30" s="3" t="s">
        <v>36</v>
      </c>
      <c r="I30" s="6">
        <v>44409</v>
      </c>
      <c r="J30" s="4">
        <v>0</v>
      </c>
      <c r="K30" s="4">
        <v>0</v>
      </c>
      <c r="L30" s="4">
        <v>37.991999999999997</v>
      </c>
      <c r="M30" s="4">
        <v>37.991999999999997</v>
      </c>
      <c r="N30" s="4">
        <v>37.991999999999997</v>
      </c>
      <c r="O30" s="4">
        <v>37.991999999999997</v>
      </c>
      <c r="P30" s="4">
        <v>0</v>
      </c>
      <c r="Q30" s="3" t="s">
        <v>26</v>
      </c>
      <c r="R30" s="3">
        <v>0</v>
      </c>
      <c r="S30" s="4">
        <v>0</v>
      </c>
      <c r="T30" s="4">
        <v>24</v>
      </c>
      <c r="U30" s="4">
        <v>83</v>
      </c>
      <c r="V30" s="4">
        <f>IF(ISERROR(VLOOKUP($S$30,'TAR FIN'!$A$1:$O$85,15,0)),0,VLOOKUP($S$30,'TAR FIN'!$A$1:$O$85,15,0))</f>
        <v>0</v>
      </c>
      <c r="W30" s="4">
        <f>IF(ISERROR(VLOOKUP($T$30,'TAR FIN'!$A$1:$O$85,15,0)),0,VLOOKUP($T$30,'TAR FIN'!$A$1:$O$85,15,0))</f>
        <v>103.26</v>
      </c>
      <c r="X30" s="4">
        <f>IF(ISERROR(VLOOKUP($U$30,'TAR FIN'!$A$1:$O$85,15,0)),0,VLOOKUP($U$30,'TAR FIN'!$A$1:$O$85,15,0))</f>
        <v>231.33</v>
      </c>
      <c r="Y30" s="4"/>
      <c r="Z30" s="4">
        <f ca="1">('TUSD BE'!$AM$12+'TUSD BF'!$AM$12+'TUSD CVA'!$AM$12)*1</f>
        <v>136.85799051957201</v>
      </c>
      <c r="AA30" s="4">
        <f>('TE BE'!$AA$6+'TE BF'!$AA$6+'TE CVA'!$AA$6)*1</f>
        <v>260.80314197522284</v>
      </c>
      <c r="AB30" s="4">
        <f>$K$30*$V$30</f>
        <v>0</v>
      </c>
      <c r="AC30" s="4">
        <f>$M$30*$W$30</f>
        <v>3923.0539199999998</v>
      </c>
      <c r="AD30" s="4">
        <f>$O$30*$X$30</f>
        <v>8788.6893600000003</v>
      </c>
      <c r="AE30" s="4">
        <f>$K$30*$Y$30</f>
        <v>0</v>
      </c>
      <c r="AF30" s="4">
        <f ca="1">$M$30*$Z$30</f>
        <v>5199.5087758195796</v>
      </c>
      <c r="AG30" s="4">
        <f>$O$30*$AA$30</f>
        <v>9908.4329699226655</v>
      </c>
    </row>
    <row r="31" spans="1:33" ht="11.25" customHeight="1" x14ac:dyDescent="0.25">
      <c r="A31" s="3" t="s">
        <v>21</v>
      </c>
      <c r="B31" s="3" t="s">
        <v>33</v>
      </c>
      <c r="C31" s="3" t="s">
        <v>34</v>
      </c>
      <c r="D31" s="3" t="s">
        <v>42</v>
      </c>
      <c r="E31" s="3" t="s">
        <v>25</v>
      </c>
      <c r="F31" s="3" t="s">
        <v>25</v>
      </c>
      <c r="G31" s="3" t="s">
        <v>25</v>
      </c>
      <c r="H31" s="3" t="s">
        <v>36</v>
      </c>
      <c r="I31" s="6">
        <v>44440</v>
      </c>
      <c r="J31" s="4">
        <v>0</v>
      </c>
      <c r="K31" s="4">
        <v>0</v>
      </c>
      <c r="L31" s="4">
        <v>40.921999999999997</v>
      </c>
      <c r="M31" s="4">
        <v>40.921999999999997</v>
      </c>
      <c r="N31" s="4">
        <v>40.921999999999997</v>
      </c>
      <c r="O31" s="4">
        <v>40.921999999999997</v>
      </c>
      <c r="P31" s="4">
        <v>0</v>
      </c>
      <c r="Q31" s="3" t="s">
        <v>26</v>
      </c>
      <c r="R31" s="3">
        <v>0</v>
      </c>
      <c r="S31" s="4">
        <v>0</v>
      </c>
      <c r="T31" s="4">
        <v>24</v>
      </c>
      <c r="U31" s="4">
        <v>83</v>
      </c>
      <c r="V31" s="4">
        <f>IF(ISERROR(VLOOKUP($S$31,'TAR FIN'!$A$1:$O$85,15,0)),0,VLOOKUP($S$31,'TAR FIN'!$A$1:$O$85,15,0))</f>
        <v>0</v>
      </c>
      <c r="W31" s="4">
        <f>IF(ISERROR(VLOOKUP($T$31,'TAR FIN'!$A$1:$O$85,15,0)),0,VLOOKUP($T$31,'TAR FIN'!$A$1:$O$85,15,0))</f>
        <v>103.26</v>
      </c>
      <c r="X31" s="4">
        <f>IF(ISERROR(VLOOKUP($U$31,'TAR FIN'!$A$1:$O$85,15,0)),0,VLOOKUP($U$31,'TAR FIN'!$A$1:$O$85,15,0))</f>
        <v>231.33</v>
      </c>
      <c r="Y31" s="4"/>
      <c r="Z31" s="4">
        <f ca="1">('TUSD BE'!$AM$12+'TUSD BF'!$AM$12+'TUSD CVA'!$AM$12)*1</f>
        <v>136.85799051957201</v>
      </c>
      <c r="AA31" s="4">
        <f>('TE BE'!$AA$6+'TE BF'!$AA$6+'TE CVA'!$AA$6)*1</f>
        <v>260.80314197522284</v>
      </c>
      <c r="AB31" s="4">
        <f>$K$31*$V$31</f>
        <v>0</v>
      </c>
      <c r="AC31" s="4">
        <f>$M$31*$W$31</f>
        <v>4225.6057199999996</v>
      </c>
      <c r="AD31" s="4">
        <f>$O$31*$X$31</f>
        <v>9466.4862599999997</v>
      </c>
      <c r="AE31" s="4">
        <f>$K$31*$Y$31</f>
        <v>0</v>
      </c>
      <c r="AF31" s="4">
        <f ca="1">$M$31*$Z$31</f>
        <v>5600.5026880419255</v>
      </c>
      <c r="AG31" s="4">
        <f>$O$31*$AA$31</f>
        <v>10672.586175910068</v>
      </c>
    </row>
    <row r="32" spans="1:33" ht="11.25" customHeight="1" x14ac:dyDescent="0.25">
      <c r="A32" s="3" t="s">
        <v>21</v>
      </c>
      <c r="B32" s="3" t="s">
        <v>33</v>
      </c>
      <c r="C32" s="3" t="s">
        <v>34</v>
      </c>
      <c r="D32" s="3" t="s">
        <v>42</v>
      </c>
      <c r="E32" s="3" t="s">
        <v>25</v>
      </c>
      <c r="F32" s="3" t="s">
        <v>25</v>
      </c>
      <c r="G32" s="3" t="s">
        <v>25</v>
      </c>
      <c r="H32" s="3" t="s">
        <v>36</v>
      </c>
      <c r="I32" s="6">
        <v>44470</v>
      </c>
      <c r="J32" s="4">
        <v>0</v>
      </c>
      <c r="K32" s="4">
        <v>0</v>
      </c>
      <c r="L32" s="4">
        <v>41.417999999999999</v>
      </c>
      <c r="M32" s="4">
        <v>41.417999999999999</v>
      </c>
      <c r="N32" s="4">
        <v>41.417999999999999</v>
      </c>
      <c r="O32" s="4">
        <v>41.417999999999999</v>
      </c>
      <c r="P32" s="4">
        <v>0</v>
      </c>
      <c r="Q32" s="3" t="s">
        <v>26</v>
      </c>
      <c r="R32" s="3">
        <v>0</v>
      </c>
      <c r="S32" s="4">
        <v>0</v>
      </c>
      <c r="T32" s="4">
        <v>24</v>
      </c>
      <c r="U32" s="4">
        <v>83</v>
      </c>
      <c r="V32" s="4">
        <f>IF(ISERROR(VLOOKUP($S$32,'TAR FIN'!$A$1:$O$85,15,0)),0,VLOOKUP($S$32,'TAR FIN'!$A$1:$O$85,15,0))</f>
        <v>0</v>
      </c>
      <c r="W32" s="4">
        <f>IF(ISERROR(VLOOKUP($T$32,'TAR FIN'!$A$1:$O$85,15,0)),0,VLOOKUP($T$32,'TAR FIN'!$A$1:$O$85,15,0))</f>
        <v>103.26</v>
      </c>
      <c r="X32" s="4">
        <f>IF(ISERROR(VLOOKUP($U$32,'TAR FIN'!$A$1:$O$85,15,0)),0,VLOOKUP($U$32,'TAR FIN'!$A$1:$O$85,15,0))</f>
        <v>231.33</v>
      </c>
      <c r="Y32" s="4"/>
      <c r="Z32" s="4">
        <f ca="1">('TUSD BE'!$AM$12+'TUSD BF'!$AM$12+'TUSD CVA'!$AM$12)*1</f>
        <v>136.85799051957201</v>
      </c>
      <c r="AA32" s="4">
        <f>('TE BE'!$AA$6+'TE BF'!$AA$6+'TE CVA'!$AA$6)*1</f>
        <v>260.80314197522284</v>
      </c>
      <c r="AB32" s="4">
        <f>$K$32*$V$32</f>
        <v>0</v>
      </c>
      <c r="AC32" s="4">
        <f>$M$32*$W$32</f>
        <v>4276.8226800000002</v>
      </c>
      <c r="AD32" s="4">
        <f>$O$32*$X$32</f>
        <v>9581.2259400000003</v>
      </c>
      <c r="AE32" s="4">
        <f>$K$32*$Y$32</f>
        <v>0</v>
      </c>
      <c r="AF32" s="4">
        <f ca="1">$M$32*$Z$32</f>
        <v>5668.3842513396339</v>
      </c>
      <c r="AG32" s="4">
        <f>$O$32*$AA$32</f>
        <v>10801.944534329779</v>
      </c>
    </row>
    <row r="33" spans="1:33" ht="11.25" customHeight="1" x14ac:dyDescent="0.25">
      <c r="A33" s="3" t="s">
        <v>21</v>
      </c>
      <c r="B33" s="3" t="s">
        <v>33</v>
      </c>
      <c r="C33" s="3" t="s">
        <v>34</v>
      </c>
      <c r="D33" s="3" t="s">
        <v>42</v>
      </c>
      <c r="E33" s="3" t="s">
        <v>25</v>
      </c>
      <c r="F33" s="3" t="s">
        <v>25</v>
      </c>
      <c r="G33" s="3" t="s">
        <v>25</v>
      </c>
      <c r="H33" s="3" t="s">
        <v>36</v>
      </c>
      <c r="I33" s="6">
        <v>44501</v>
      </c>
      <c r="J33" s="4">
        <v>0</v>
      </c>
      <c r="K33" s="4">
        <v>0</v>
      </c>
      <c r="L33" s="4">
        <v>40.816000000000003</v>
      </c>
      <c r="M33" s="4">
        <v>40.816000000000003</v>
      </c>
      <c r="N33" s="4">
        <v>40.816000000000003</v>
      </c>
      <c r="O33" s="4">
        <v>40.816000000000003</v>
      </c>
      <c r="P33" s="4">
        <v>0</v>
      </c>
      <c r="Q33" s="3" t="s">
        <v>26</v>
      </c>
      <c r="R33" s="3">
        <v>0</v>
      </c>
      <c r="S33" s="4">
        <v>0</v>
      </c>
      <c r="T33" s="4">
        <v>24</v>
      </c>
      <c r="U33" s="4">
        <v>83</v>
      </c>
      <c r="V33" s="4">
        <f>IF(ISERROR(VLOOKUP($S$33,'TAR FIN'!$A$1:$O$85,15,0)),0,VLOOKUP($S$33,'TAR FIN'!$A$1:$O$85,15,0))</f>
        <v>0</v>
      </c>
      <c r="W33" s="4">
        <f>IF(ISERROR(VLOOKUP($T$33,'TAR FIN'!$A$1:$O$85,15,0)),0,VLOOKUP($T$33,'TAR FIN'!$A$1:$O$85,15,0))</f>
        <v>103.26</v>
      </c>
      <c r="X33" s="4">
        <f>IF(ISERROR(VLOOKUP($U$33,'TAR FIN'!$A$1:$O$85,15,0)),0,VLOOKUP($U$33,'TAR FIN'!$A$1:$O$85,15,0))</f>
        <v>231.33</v>
      </c>
      <c r="Y33" s="4"/>
      <c r="Z33" s="4">
        <f ca="1">('TUSD BE'!$AM$12+'TUSD BF'!$AM$12+'TUSD CVA'!$AM$12)*1</f>
        <v>136.85799051957201</v>
      </c>
      <c r="AA33" s="4">
        <f>('TE BE'!$AA$6+'TE BF'!$AA$6+'TE CVA'!$AA$6)*1</f>
        <v>260.80314197522284</v>
      </c>
      <c r="AB33" s="4">
        <f>$K$33*$V$33</f>
        <v>0</v>
      </c>
      <c r="AC33" s="4">
        <f>$M$33*$W$33</f>
        <v>4214.6601600000004</v>
      </c>
      <c r="AD33" s="4">
        <f>$O$33*$X$33</f>
        <v>9441.9652800000003</v>
      </c>
      <c r="AE33" s="4">
        <f>$K$33*$Y$33</f>
        <v>0</v>
      </c>
      <c r="AF33" s="4">
        <f ca="1">$M$33*$Z$33</f>
        <v>5585.9957410468514</v>
      </c>
      <c r="AG33" s="4">
        <f>$O$33*$AA$33</f>
        <v>10644.941042860697</v>
      </c>
    </row>
    <row r="34" spans="1:33" ht="11.25" customHeight="1" x14ac:dyDescent="0.25">
      <c r="A34" s="3" t="s">
        <v>21</v>
      </c>
      <c r="B34" s="3" t="s">
        <v>33</v>
      </c>
      <c r="C34" s="3" t="s">
        <v>34</v>
      </c>
      <c r="D34" s="3" t="s">
        <v>42</v>
      </c>
      <c r="E34" s="3" t="s">
        <v>25</v>
      </c>
      <c r="F34" s="3" t="s">
        <v>25</v>
      </c>
      <c r="G34" s="3" t="s">
        <v>25</v>
      </c>
      <c r="H34" s="3" t="s">
        <v>36</v>
      </c>
      <c r="I34" s="6">
        <v>44531</v>
      </c>
      <c r="J34" s="4">
        <v>0</v>
      </c>
      <c r="K34" s="4">
        <v>0</v>
      </c>
      <c r="L34" s="4">
        <v>49.393000000000001</v>
      </c>
      <c r="M34" s="4">
        <v>49.393000000000001</v>
      </c>
      <c r="N34" s="4">
        <v>49.393000000000001</v>
      </c>
      <c r="O34" s="4">
        <v>49.393000000000001</v>
      </c>
      <c r="P34" s="4">
        <v>0</v>
      </c>
      <c r="Q34" s="3" t="s">
        <v>26</v>
      </c>
      <c r="R34" s="3">
        <v>0</v>
      </c>
      <c r="S34" s="4">
        <v>0</v>
      </c>
      <c r="T34" s="4">
        <v>24</v>
      </c>
      <c r="U34" s="4">
        <v>83</v>
      </c>
      <c r="V34" s="4">
        <f>IF(ISERROR(VLOOKUP($S$34,'TAR FIN'!$A$1:$O$85,15,0)),0,VLOOKUP($S$34,'TAR FIN'!$A$1:$O$85,15,0))</f>
        <v>0</v>
      </c>
      <c r="W34" s="4">
        <f>IF(ISERROR(VLOOKUP($T$34,'TAR FIN'!$A$1:$O$85,15,0)),0,VLOOKUP($T$34,'TAR FIN'!$A$1:$O$85,15,0))</f>
        <v>103.26</v>
      </c>
      <c r="X34" s="4">
        <f>IF(ISERROR(VLOOKUP($U$34,'TAR FIN'!$A$1:$O$85,15,0)),0,VLOOKUP($U$34,'TAR FIN'!$A$1:$O$85,15,0))</f>
        <v>231.33</v>
      </c>
      <c r="Y34" s="4"/>
      <c r="Z34" s="4">
        <f ca="1">('TUSD BE'!$AM$12+'TUSD BF'!$AM$12+'TUSD CVA'!$AM$12)*1</f>
        <v>136.85799051957201</v>
      </c>
      <c r="AA34" s="4">
        <f>('TE BE'!$AA$6+'TE BF'!$AA$6+'TE CVA'!$AA$6)*1</f>
        <v>260.80314197522284</v>
      </c>
      <c r="AB34" s="4">
        <f>$K$34*$V$34</f>
        <v>0</v>
      </c>
      <c r="AC34" s="4">
        <f>$M$34*$W$34</f>
        <v>5100.3211799999999</v>
      </c>
      <c r="AD34" s="4">
        <f>$O$34*$X$34</f>
        <v>11426.082690000001</v>
      </c>
      <c r="AE34" s="4">
        <f>$K$34*$Y$34</f>
        <v>0</v>
      </c>
      <c r="AF34" s="4">
        <f ca="1">$M$34*$Z$34</f>
        <v>6759.8267257332209</v>
      </c>
      <c r="AG34" s="4">
        <f>$O$34*$AA$34</f>
        <v>12881.849591582182</v>
      </c>
    </row>
    <row r="35" spans="1:33" ht="11.25" customHeight="1" x14ac:dyDescent="0.25">
      <c r="A35" s="3" t="s">
        <v>21</v>
      </c>
      <c r="B35" s="3" t="s">
        <v>33</v>
      </c>
      <c r="C35" s="3" t="s">
        <v>34</v>
      </c>
      <c r="D35" s="3" t="s">
        <v>42</v>
      </c>
      <c r="E35" s="3" t="s">
        <v>25</v>
      </c>
      <c r="F35" s="3" t="s">
        <v>25</v>
      </c>
      <c r="G35" s="3" t="s">
        <v>25</v>
      </c>
      <c r="H35" s="3" t="s">
        <v>36</v>
      </c>
      <c r="I35" s="6">
        <v>44562</v>
      </c>
      <c r="J35" s="4">
        <v>0</v>
      </c>
      <c r="K35" s="4">
        <v>0</v>
      </c>
      <c r="L35" s="4">
        <v>50.911999999999999</v>
      </c>
      <c r="M35" s="4">
        <v>50.911999999999999</v>
      </c>
      <c r="N35" s="4">
        <v>50.911999999999999</v>
      </c>
      <c r="O35" s="4">
        <v>50.911999999999999</v>
      </c>
      <c r="P35" s="4">
        <v>0</v>
      </c>
      <c r="Q35" s="3" t="s">
        <v>26</v>
      </c>
      <c r="R35" s="3">
        <v>0</v>
      </c>
      <c r="S35" s="4">
        <v>0</v>
      </c>
      <c r="T35" s="4">
        <v>24</v>
      </c>
      <c r="U35" s="4">
        <v>83</v>
      </c>
      <c r="V35" s="4">
        <f>IF(ISERROR(VLOOKUP($S$35,'TAR FIN'!$A$1:$O$85,15,0)),0,VLOOKUP($S$35,'TAR FIN'!$A$1:$O$85,15,0))</f>
        <v>0</v>
      </c>
      <c r="W35" s="4">
        <f>IF(ISERROR(VLOOKUP($T$35,'TAR FIN'!$A$1:$O$85,15,0)),0,VLOOKUP($T$35,'TAR FIN'!$A$1:$O$85,15,0))</f>
        <v>103.26</v>
      </c>
      <c r="X35" s="4">
        <f>IF(ISERROR(VLOOKUP($U$35,'TAR FIN'!$A$1:$O$85,15,0)),0,VLOOKUP($U$35,'TAR FIN'!$A$1:$O$85,15,0))</f>
        <v>231.33</v>
      </c>
      <c r="Y35" s="4"/>
      <c r="Z35" s="4">
        <f ca="1">('TUSD BE'!$AM$12+'TUSD BF'!$AM$12+'TUSD CVA'!$AM$12)*1</f>
        <v>136.85799051957201</v>
      </c>
      <c r="AA35" s="4">
        <f>('TE BE'!$AA$6+'TE BF'!$AA$6+'TE CVA'!$AA$6)*1</f>
        <v>260.80314197522284</v>
      </c>
      <c r="AB35" s="4">
        <f>$K$35*$V$35</f>
        <v>0</v>
      </c>
      <c r="AC35" s="4">
        <f>$M$35*$W$35</f>
        <v>5257.1731200000004</v>
      </c>
      <c r="AD35" s="4">
        <f>$O$35*$X$35</f>
        <v>11777.472960000001</v>
      </c>
      <c r="AE35" s="4">
        <f>$K$35*$Y$35</f>
        <v>0</v>
      </c>
      <c r="AF35" s="4">
        <f ca="1">$M$35*$Z$35</f>
        <v>6967.7140133324501</v>
      </c>
      <c r="AG35" s="4">
        <f>$O$35*$AA$35</f>
        <v>13278.009564242546</v>
      </c>
    </row>
    <row r="36" spans="1:33" ht="11.25" customHeight="1" x14ac:dyDescent="0.25">
      <c r="A36" s="3" t="s">
        <v>21</v>
      </c>
      <c r="B36" s="3" t="s">
        <v>33</v>
      </c>
      <c r="C36" s="3" t="s">
        <v>34</v>
      </c>
      <c r="D36" s="3" t="s">
        <v>42</v>
      </c>
      <c r="E36" s="3" t="s">
        <v>25</v>
      </c>
      <c r="F36" s="3" t="s">
        <v>25</v>
      </c>
      <c r="G36" s="3" t="s">
        <v>25</v>
      </c>
      <c r="H36" s="3" t="s">
        <v>36</v>
      </c>
      <c r="I36" s="6">
        <v>44593</v>
      </c>
      <c r="J36" s="4">
        <v>0</v>
      </c>
      <c r="K36" s="4">
        <v>0</v>
      </c>
      <c r="L36" s="4">
        <v>43.718000000000004</v>
      </c>
      <c r="M36" s="4">
        <v>43.718000000000004</v>
      </c>
      <c r="N36" s="4">
        <v>43.718000000000004</v>
      </c>
      <c r="O36" s="4">
        <v>43.718000000000004</v>
      </c>
      <c r="P36" s="4">
        <v>0</v>
      </c>
      <c r="Q36" s="3" t="s">
        <v>26</v>
      </c>
      <c r="R36" s="3">
        <v>0</v>
      </c>
      <c r="S36" s="4">
        <v>0</v>
      </c>
      <c r="T36" s="4">
        <v>24</v>
      </c>
      <c r="U36" s="4">
        <v>83</v>
      </c>
      <c r="V36" s="4">
        <f>IF(ISERROR(VLOOKUP($S$36,'TAR FIN'!$A$1:$O$85,15,0)),0,VLOOKUP($S$36,'TAR FIN'!$A$1:$O$85,15,0))</f>
        <v>0</v>
      </c>
      <c r="W36" s="4">
        <f>IF(ISERROR(VLOOKUP($T$36,'TAR FIN'!$A$1:$O$85,15,0)),0,VLOOKUP($T$36,'TAR FIN'!$A$1:$O$85,15,0))</f>
        <v>103.26</v>
      </c>
      <c r="X36" s="4">
        <f>IF(ISERROR(VLOOKUP($U$36,'TAR FIN'!$A$1:$O$85,15,0)),0,VLOOKUP($U$36,'TAR FIN'!$A$1:$O$85,15,0))</f>
        <v>231.33</v>
      </c>
      <c r="Y36" s="4"/>
      <c r="Z36" s="4">
        <f ca="1">('TUSD BE'!$AM$12+'TUSD BF'!$AM$12+'TUSD CVA'!$AM$12)*1</f>
        <v>136.85799051957201</v>
      </c>
      <c r="AA36" s="4">
        <f>('TE BE'!$AA$6+'TE BF'!$AA$6+'TE CVA'!$AA$6)*1</f>
        <v>260.80314197522284</v>
      </c>
      <c r="AB36" s="4">
        <f>$K$36*$V$36</f>
        <v>0</v>
      </c>
      <c r="AC36" s="4">
        <f>$M$36*$W$36</f>
        <v>4514.3206800000007</v>
      </c>
      <c r="AD36" s="4">
        <f>$O$36*$X$36</f>
        <v>10113.284940000001</v>
      </c>
      <c r="AE36" s="4">
        <f>$K$36*$Y$36</f>
        <v>0</v>
      </c>
      <c r="AF36" s="4">
        <f ca="1">$M$36*$Z$36</f>
        <v>5983.1576295346495</v>
      </c>
      <c r="AG36" s="4">
        <f>$O$36*$AA$36</f>
        <v>11401.791760872793</v>
      </c>
    </row>
    <row r="37" spans="1:33" ht="11.25" customHeight="1" x14ac:dyDescent="0.25">
      <c r="A37" s="3" t="s">
        <v>21</v>
      </c>
      <c r="B37" s="3" t="s">
        <v>33</v>
      </c>
      <c r="C37" s="3" t="s">
        <v>34</v>
      </c>
      <c r="D37" s="3" t="s">
        <v>42</v>
      </c>
      <c r="E37" s="3" t="s">
        <v>25</v>
      </c>
      <c r="F37" s="3" t="s">
        <v>25</v>
      </c>
      <c r="G37" s="3" t="s">
        <v>25</v>
      </c>
      <c r="H37" s="3" t="s">
        <v>36</v>
      </c>
      <c r="I37" s="6">
        <v>44621</v>
      </c>
      <c r="J37" s="4">
        <v>0</v>
      </c>
      <c r="K37" s="4">
        <v>0</v>
      </c>
      <c r="L37" s="4">
        <v>49.512999999999998</v>
      </c>
      <c r="M37" s="4">
        <v>49.512999999999998</v>
      </c>
      <c r="N37" s="4">
        <v>49.512999999999998</v>
      </c>
      <c r="O37" s="4">
        <v>49.512999999999998</v>
      </c>
      <c r="P37" s="4">
        <v>0</v>
      </c>
      <c r="Q37" s="3" t="s">
        <v>26</v>
      </c>
      <c r="R37" s="3">
        <v>0</v>
      </c>
      <c r="S37" s="4">
        <v>0</v>
      </c>
      <c r="T37" s="4">
        <v>24</v>
      </c>
      <c r="U37" s="4">
        <v>83</v>
      </c>
      <c r="V37" s="4">
        <f>IF(ISERROR(VLOOKUP($S$37,'TAR FIN'!$A$1:$O$85,15,0)),0,VLOOKUP($S$37,'TAR FIN'!$A$1:$O$85,15,0))</f>
        <v>0</v>
      </c>
      <c r="W37" s="4">
        <f>IF(ISERROR(VLOOKUP($T$37,'TAR FIN'!$A$1:$O$85,15,0)),0,VLOOKUP($T$37,'TAR FIN'!$A$1:$O$85,15,0))</f>
        <v>103.26</v>
      </c>
      <c r="X37" s="4">
        <f>IF(ISERROR(VLOOKUP($U$37,'TAR FIN'!$A$1:$O$85,15,0)),0,VLOOKUP($U$37,'TAR FIN'!$A$1:$O$85,15,0))</f>
        <v>231.33</v>
      </c>
      <c r="Y37" s="4"/>
      <c r="Z37" s="4">
        <f ca="1">('TUSD BE'!$AM$12+'TUSD BF'!$AM$12+'TUSD CVA'!$AM$12)*1</f>
        <v>136.85799051957201</v>
      </c>
      <c r="AA37" s="4">
        <f>('TE BE'!$AA$6+'TE BF'!$AA$6+'TE CVA'!$AA$6)*1</f>
        <v>260.80314197522284</v>
      </c>
      <c r="AB37" s="4">
        <f>$K$37*$V$37</f>
        <v>0</v>
      </c>
      <c r="AC37" s="4">
        <f>$M$37*$W$37</f>
        <v>5112.7123799999999</v>
      </c>
      <c r="AD37" s="4">
        <f>$O$37*$X$37</f>
        <v>11453.842290000001</v>
      </c>
      <c r="AE37" s="4">
        <f>$K$37*$Y$37</f>
        <v>0</v>
      </c>
      <c r="AF37" s="4">
        <f ca="1">$M$37*$Z$37</f>
        <v>6776.2496845955684</v>
      </c>
      <c r="AG37" s="4">
        <f>$O$37*$AA$37</f>
        <v>12913.145968619208</v>
      </c>
    </row>
    <row r="38" spans="1:33" ht="11.25" customHeight="1" x14ac:dyDescent="0.25">
      <c r="A38" s="3" t="s">
        <v>21</v>
      </c>
      <c r="B38" s="3" t="s">
        <v>33</v>
      </c>
      <c r="C38" s="3" t="s">
        <v>34</v>
      </c>
      <c r="D38" s="3" t="s">
        <v>42</v>
      </c>
      <c r="E38" s="3" t="s">
        <v>25</v>
      </c>
      <c r="F38" s="3" t="s">
        <v>25</v>
      </c>
      <c r="G38" s="3" t="s">
        <v>25</v>
      </c>
      <c r="H38" s="3" t="s">
        <v>25</v>
      </c>
      <c r="I38" s="6">
        <v>44287</v>
      </c>
      <c r="J38" s="4">
        <v>158</v>
      </c>
      <c r="K38" s="4">
        <v>158</v>
      </c>
      <c r="L38" s="4">
        <v>0</v>
      </c>
      <c r="M38" s="4">
        <v>0</v>
      </c>
      <c r="N38" s="4">
        <v>0</v>
      </c>
      <c r="O38" s="4">
        <v>0</v>
      </c>
      <c r="P38" s="4">
        <v>3</v>
      </c>
      <c r="Q38" s="3" t="s">
        <v>26</v>
      </c>
      <c r="R38" s="3">
        <v>0</v>
      </c>
      <c r="S38" s="4">
        <v>22</v>
      </c>
      <c r="T38" s="4">
        <v>0</v>
      </c>
      <c r="U38" s="4">
        <v>0</v>
      </c>
      <c r="V38" s="4">
        <f>IF(ISERROR(VLOOKUP($S$38,'TAR FIN'!$A$1:$O$85,15,0)),0,VLOOKUP($S$38,'TAR FIN'!$A$1:$O$85,15,0))</f>
        <v>63.83</v>
      </c>
      <c r="W38" s="4">
        <f>IF(ISERROR(VLOOKUP($T$38,'TAR FIN'!$A$1:$O$85,15,0)),0,VLOOKUP($T$38,'TAR FIN'!$A$1:$O$85,15,0))</f>
        <v>0</v>
      </c>
      <c r="X38" s="4">
        <f>IF(ISERROR(VLOOKUP($U$38,'TAR FIN'!$A$1:$O$85,15,0)),0,VLOOKUP($U$38,'TAR FIN'!$A$1:$O$85,15,0))</f>
        <v>0</v>
      </c>
      <c r="Y38" s="4">
        <f ca="1">('TUSD BE'!$AM$10+'TUSD BF'!$AM$10+'TUSD CVA'!$AM$10)*1</f>
        <v>77.970056746860777</v>
      </c>
      <c r="Z38" s="4"/>
      <c r="AA38" s="4"/>
      <c r="AB38" s="4">
        <f>$K$38*$V$38</f>
        <v>10085.14</v>
      </c>
      <c r="AC38" s="4">
        <f>$M$38*$W$38</f>
        <v>0</v>
      </c>
      <c r="AD38" s="4">
        <f>$O$38*$X$38</f>
        <v>0</v>
      </c>
      <c r="AE38" s="4">
        <f ca="1">$K$38*$Y$38</f>
        <v>12319.268966004003</v>
      </c>
      <c r="AF38" s="4">
        <f>$M$38*$Z$38</f>
        <v>0</v>
      </c>
      <c r="AG38" s="4">
        <f>$O$38*$AA$38</f>
        <v>0</v>
      </c>
    </row>
    <row r="39" spans="1:33" ht="11.25" customHeight="1" x14ac:dyDescent="0.25">
      <c r="A39" s="3" t="s">
        <v>21</v>
      </c>
      <c r="B39" s="3" t="s">
        <v>33</v>
      </c>
      <c r="C39" s="3" t="s">
        <v>34</v>
      </c>
      <c r="D39" s="3" t="s">
        <v>42</v>
      </c>
      <c r="E39" s="3" t="s">
        <v>25</v>
      </c>
      <c r="F39" s="3" t="s">
        <v>25</v>
      </c>
      <c r="G39" s="3" t="s">
        <v>25</v>
      </c>
      <c r="H39" s="3" t="s">
        <v>25</v>
      </c>
      <c r="I39" s="6">
        <v>44317</v>
      </c>
      <c r="J39" s="4">
        <v>158</v>
      </c>
      <c r="K39" s="4">
        <v>158</v>
      </c>
      <c r="L39" s="4">
        <v>0</v>
      </c>
      <c r="M39" s="4">
        <v>0</v>
      </c>
      <c r="N39" s="4">
        <v>0</v>
      </c>
      <c r="O39" s="4">
        <v>0</v>
      </c>
      <c r="P39" s="4">
        <v>3</v>
      </c>
      <c r="Q39" s="3" t="s">
        <v>26</v>
      </c>
      <c r="R39" s="3">
        <v>0</v>
      </c>
      <c r="S39" s="4">
        <v>22</v>
      </c>
      <c r="T39" s="4">
        <v>0</v>
      </c>
      <c r="U39" s="4">
        <v>0</v>
      </c>
      <c r="V39" s="4">
        <f>IF(ISERROR(VLOOKUP($S$39,'TAR FIN'!$A$1:$O$85,15,0)),0,VLOOKUP($S$39,'TAR FIN'!$A$1:$O$85,15,0))</f>
        <v>63.83</v>
      </c>
      <c r="W39" s="4">
        <f>IF(ISERROR(VLOOKUP($T$39,'TAR FIN'!$A$1:$O$85,15,0)),0,VLOOKUP($T$39,'TAR FIN'!$A$1:$O$85,15,0))</f>
        <v>0</v>
      </c>
      <c r="X39" s="4">
        <f>IF(ISERROR(VLOOKUP($U$39,'TAR FIN'!$A$1:$O$85,15,0)),0,VLOOKUP($U$39,'TAR FIN'!$A$1:$O$85,15,0))</f>
        <v>0</v>
      </c>
      <c r="Y39" s="4">
        <f ca="1">('TUSD BE'!$AM$10+'TUSD BF'!$AM$10+'TUSD CVA'!$AM$10)*1</f>
        <v>77.970056746860777</v>
      </c>
      <c r="Z39" s="4"/>
      <c r="AA39" s="4"/>
      <c r="AB39" s="4">
        <f>$K$39*$V$39</f>
        <v>10085.14</v>
      </c>
      <c r="AC39" s="4">
        <f>$M$39*$W$39</f>
        <v>0</v>
      </c>
      <c r="AD39" s="4">
        <f>$O$39*$X$39</f>
        <v>0</v>
      </c>
      <c r="AE39" s="4">
        <f ca="1">$K$39*$Y$39</f>
        <v>12319.268966004003</v>
      </c>
      <c r="AF39" s="4">
        <f>$M$39*$Z$39</f>
        <v>0</v>
      </c>
      <c r="AG39" s="4">
        <f>$O$39*$AA$39</f>
        <v>0</v>
      </c>
    </row>
    <row r="40" spans="1:33" ht="11.25" customHeight="1" x14ac:dyDescent="0.25">
      <c r="A40" s="3" t="s">
        <v>21</v>
      </c>
      <c r="B40" s="3" t="s">
        <v>33</v>
      </c>
      <c r="C40" s="3" t="s">
        <v>34</v>
      </c>
      <c r="D40" s="3" t="s">
        <v>42</v>
      </c>
      <c r="E40" s="3" t="s">
        <v>25</v>
      </c>
      <c r="F40" s="3" t="s">
        <v>25</v>
      </c>
      <c r="G40" s="3" t="s">
        <v>25</v>
      </c>
      <c r="H40" s="3" t="s">
        <v>25</v>
      </c>
      <c r="I40" s="6">
        <v>44348</v>
      </c>
      <c r="J40" s="4">
        <v>158</v>
      </c>
      <c r="K40" s="4">
        <v>158</v>
      </c>
      <c r="L40" s="4">
        <v>0</v>
      </c>
      <c r="M40" s="4">
        <v>0</v>
      </c>
      <c r="N40" s="4">
        <v>0</v>
      </c>
      <c r="O40" s="4">
        <v>0</v>
      </c>
      <c r="P40" s="4">
        <v>3</v>
      </c>
      <c r="Q40" s="3" t="s">
        <v>26</v>
      </c>
      <c r="R40" s="3">
        <v>0</v>
      </c>
      <c r="S40" s="4">
        <v>22</v>
      </c>
      <c r="T40" s="4">
        <v>0</v>
      </c>
      <c r="U40" s="4">
        <v>0</v>
      </c>
      <c r="V40" s="4">
        <f>IF(ISERROR(VLOOKUP($S$40,'TAR FIN'!$A$1:$O$85,15,0)),0,VLOOKUP($S$40,'TAR FIN'!$A$1:$O$85,15,0))</f>
        <v>63.83</v>
      </c>
      <c r="W40" s="4">
        <f>IF(ISERROR(VLOOKUP($T$40,'TAR FIN'!$A$1:$O$85,15,0)),0,VLOOKUP($T$40,'TAR FIN'!$A$1:$O$85,15,0))</f>
        <v>0</v>
      </c>
      <c r="X40" s="4">
        <f>IF(ISERROR(VLOOKUP($U$40,'TAR FIN'!$A$1:$O$85,15,0)),0,VLOOKUP($U$40,'TAR FIN'!$A$1:$O$85,15,0))</f>
        <v>0</v>
      </c>
      <c r="Y40" s="4">
        <f ca="1">('TUSD BE'!$AM$10+'TUSD BF'!$AM$10+'TUSD CVA'!$AM$10)*1</f>
        <v>77.970056746860777</v>
      </c>
      <c r="Z40" s="4"/>
      <c r="AA40" s="4"/>
      <c r="AB40" s="4">
        <f>$K$40*$V$40</f>
        <v>10085.14</v>
      </c>
      <c r="AC40" s="4">
        <f>$M$40*$W$40</f>
        <v>0</v>
      </c>
      <c r="AD40" s="4">
        <f>$O$40*$X$40</f>
        <v>0</v>
      </c>
      <c r="AE40" s="4">
        <f ca="1">$K$40*$Y$40</f>
        <v>12319.268966004003</v>
      </c>
      <c r="AF40" s="4">
        <f>$M$40*$Z$40</f>
        <v>0</v>
      </c>
      <c r="AG40" s="4">
        <f>$O$40*$AA$40</f>
        <v>0</v>
      </c>
    </row>
    <row r="41" spans="1:33" ht="11.25" customHeight="1" x14ac:dyDescent="0.25">
      <c r="A41" s="3" t="s">
        <v>21</v>
      </c>
      <c r="B41" s="3" t="s">
        <v>33</v>
      </c>
      <c r="C41" s="3" t="s">
        <v>34</v>
      </c>
      <c r="D41" s="3" t="s">
        <v>42</v>
      </c>
      <c r="E41" s="3" t="s">
        <v>25</v>
      </c>
      <c r="F41" s="3" t="s">
        <v>25</v>
      </c>
      <c r="G41" s="3" t="s">
        <v>25</v>
      </c>
      <c r="H41" s="3" t="s">
        <v>25</v>
      </c>
      <c r="I41" s="6">
        <v>44378</v>
      </c>
      <c r="J41" s="4">
        <v>166</v>
      </c>
      <c r="K41" s="4">
        <v>166</v>
      </c>
      <c r="L41" s="4">
        <v>0</v>
      </c>
      <c r="M41" s="4">
        <v>0</v>
      </c>
      <c r="N41" s="4">
        <v>0</v>
      </c>
      <c r="O41" s="4">
        <v>0</v>
      </c>
      <c r="P41" s="4">
        <v>3</v>
      </c>
      <c r="Q41" s="3" t="s">
        <v>26</v>
      </c>
      <c r="R41" s="3">
        <v>0</v>
      </c>
      <c r="S41" s="4">
        <v>22</v>
      </c>
      <c r="T41" s="4">
        <v>0</v>
      </c>
      <c r="U41" s="4">
        <v>0</v>
      </c>
      <c r="V41" s="4">
        <f>IF(ISERROR(VLOOKUP($S$41,'TAR FIN'!$A$1:$O$85,15,0)),0,VLOOKUP($S$41,'TAR FIN'!$A$1:$O$85,15,0))</f>
        <v>63.83</v>
      </c>
      <c r="W41" s="4">
        <f>IF(ISERROR(VLOOKUP($T$41,'TAR FIN'!$A$1:$O$85,15,0)),0,VLOOKUP($T$41,'TAR FIN'!$A$1:$O$85,15,0))</f>
        <v>0</v>
      </c>
      <c r="X41" s="4">
        <f>IF(ISERROR(VLOOKUP($U$41,'TAR FIN'!$A$1:$O$85,15,0)),0,VLOOKUP($U$41,'TAR FIN'!$A$1:$O$85,15,0))</f>
        <v>0</v>
      </c>
      <c r="Y41" s="4">
        <f ca="1">('TUSD BE'!$AM$10+'TUSD BF'!$AM$10+'TUSD CVA'!$AM$10)*1</f>
        <v>77.970056746860777</v>
      </c>
      <c r="Z41" s="4"/>
      <c r="AA41" s="4"/>
      <c r="AB41" s="4">
        <f>$K$41*$V$41</f>
        <v>10595.779999999999</v>
      </c>
      <c r="AC41" s="4">
        <f>$M$41*$W$41</f>
        <v>0</v>
      </c>
      <c r="AD41" s="4">
        <f>$O$41*$X$41</f>
        <v>0</v>
      </c>
      <c r="AE41" s="4">
        <f ca="1">$K$41*$Y$41</f>
        <v>12943.02941997889</v>
      </c>
      <c r="AF41" s="4">
        <f>$M$41*$Z$41</f>
        <v>0</v>
      </c>
      <c r="AG41" s="4">
        <f>$O$41*$AA$41</f>
        <v>0</v>
      </c>
    </row>
    <row r="42" spans="1:33" ht="11.25" customHeight="1" x14ac:dyDescent="0.25">
      <c r="A42" s="3" t="s">
        <v>21</v>
      </c>
      <c r="B42" s="3" t="s">
        <v>33</v>
      </c>
      <c r="C42" s="3" t="s">
        <v>34</v>
      </c>
      <c r="D42" s="3" t="s">
        <v>42</v>
      </c>
      <c r="E42" s="3" t="s">
        <v>25</v>
      </c>
      <c r="F42" s="3" t="s">
        <v>25</v>
      </c>
      <c r="G42" s="3" t="s">
        <v>25</v>
      </c>
      <c r="H42" s="3" t="s">
        <v>25</v>
      </c>
      <c r="I42" s="6">
        <v>44409</v>
      </c>
      <c r="J42" s="4">
        <v>158</v>
      </c>
      <c r="K42" s="4">
        <v>158</v>
      </c>
      <c r="L42" s="4">
        <v>0</v>
      </c>
      <c r="M42" s="4">
        <v>0</v>
      </c>
      <c r="N42" s="4">
        <v>0</v>
      </c>
      <c r="O42" s="4">
        <v>0</v>
      </c>
      <c r="P42" s="4">
        <v>3</v>
      </c>
      <c r="Q42" s="3" t="s">
        <v>26</v>
      </c>
      <c r="R42" s="3">
        <v>0</v>
      </c>
      <c r="S42" s="4">
        <v>22</v>
      </c>
      <c r="T42" s="4">
        <v>0</v>
      </c>
      <c r="U42" s="4">
        <v>0</v>
      </c>
      <c r="V42" s="4">
        <f>IF(ISERROR(VLOOKUP($S$42,'TAR FIN'!$A$1:$O$85,15,0)),0,VLOOKUP($S$42,'TAR FIN'!$A$1:$O$85,15,0))</f>
        <v>63.83</v>
      </c>
      <c r="W42" s="4">
        <f>IF(ISERROR(VLOOKUP($T$42,'TAR FIN'!$A$1:$O$85,15,0)),0,VLOOKUP($T$42,'TAR FIN'!$A$1:$O$85,15,0))</f>
        <v>0</v>
      </c>
      <c r="X42" s="4">
        <f>IF(ISERROR(VLOOKUP($U$42,'TAR FIN'!$A$1:$O$85,15,0)),0,VLOOKUP($U$42,'TAR FIN'!$A$1:$O$85,15,0))</f>
        <v>0</v>
      </c>
      <c r="Y42" s="4">
        <f ca="1">('TUSD BE'!$AM$10+'TUSD BF'!$AM$10+'TUSD CVA'!$AM$10)*1</f>
        <v>77.970056746860777</v>
      </c>
      <c r="Z42" s="4"/>
      <c r="AA42" s="4"/>
      <c r="AB42" s="4">
        <f>$K$42*$V$42</f>
        <v>10085.14</v>
      </c>
      <c r="AC42" s="4">
        <f>$M$42*$W$42</f>
        <v>0</v>
      </c>
      <c r="AD42" s="4">
        <f>$O$42*$X$42</f>
        <v>0</v>
      </c>
      <c r="AE42" s="4">
        <f ca="1">$K$42*$Y$42</f>
        <v>12319.268966004003</v>
      </c>
      <c r="AF42" s="4">
        <f>$M$42*$Z$42</f>
        <v>0</v>
      </c>
      <c r="AG42" s="4">
        <f>$O$42*$AA$42</f>
        <v>0</v>
      </c>
    </row>
    <row r="43" spans="1:33" ht="11.25" customHeight="1" x14ac:dyDescent="0.25">
      <c r="A43" s="3" t="s">
        <v>21</v>
      </c>
      <c r="B43" s="3" t="s">
        <v>33</v>
      </c>
      <c r="C43" s="3" t="s">
        <v>34</v>
      </c>
      <c r="D43" s="3" t="s">
        <v>42</v>
      </c>
      <c r="E43" s="3" t="s">
        <v>25</v>
      </c>
      <c r="F43" s="3" t="s">
        <v>25</v>
      </c>
      <c r="G43" s="3" t="s">
        <v>25</v>
      </c>
      <c r="H43" s="3" t="s">
        <v>25</v>
      </c>
      <c r="I43" s="6">
        <v>44440</v>
      </c>
      <c r="J43" s="4">
        <v>158</v>
      </c>
      <c r="K43" s="4">
        <v>158</v>
      </c>
      <c r="L43" s="4">
        <v>0</v>
      </c>
      <c r="M43" s="4">
        <v>0</v>
      </c>
      <c r="N43" s="4">
        <v>0</v>
      </c>
      <c r="O43" s="4">
        <v>0</v>
      </c>
      <c r="P43" s="4">
        <v>3</v>
      </c>
      <c r="Q43" s="3" t="s">
        <v>26</v>
      </c>
      <c r="R43" s="3">
        <v>0</v>
      </c>
      <c r="S43" s="4">
        <v>22</v>
      </c>
      <c r="T43" s="4">
        <v>0</v>
      </c>
      <c r="U43" s="4">
        <v>0</v>
      </c>
      <c r="V43" s="4">
        <f>IF(ISERROR(VLOOKUP($S$43,'TAR FIN'!$A$1:$O$85,15,0)),0,VLOOKUP($S$43,'TAR FIN'!$A$1:$O$85,15,0))</f>
        <v>63.83</v>
      </c>
      <c r="W43" s="4">
        <f>IF(ISERROR(VLOOKUP($T$43,'TAR FIN'!$A$1:$O$85,15,0)),0,VLOOKUP($T$43,'TAR FIN'!$A$1:$O$85,15,0))</f>
        <v>0</v>
      </c>
      <c r="X43" s="4">
        <f>IF(ISERROR(VLOOKUP($U$43,'TAR FIN'!$A$1:$O$85,15,0)),0,VLOOKUP($U$43,'TAR FIN'!$A$1:$O$85,15,0))</f>
        <v>0</v>
      </c>
      <c r="Y43" s="4">
        <f ca="1">('TUSD BE'!$AM$10+'TUSD BF'!$AM$10+'TUSD CVA'!$AM$10)*1</f>
        <v>77.970056746860777</v>
      </c>
      <c r="Z43" s="4"/>
      <c r="AA43" s="4"/>
      <c r="AB43" s="4">
        <f>$K$43*$V$43</f>
        <v>10085.14</v>
      </c>
      <c r="AC43" s="4">
        <f>$M$43*$W$43</f>
        <v>0</v>
      </c>
      <c r="AD43" s="4">
        <f>$O$43*$X$43</f>
        <v>0</v>
      </c>
      <c r="AE43" s="4">
        <f ca="1">$K$43*$Y$43</f>
        <v>12319.268966004003</v>
      </c>
      <c r="AF43" s="4">
        <f>$M$43*$Z$43</f>
        <v>0</v>
      </c>
      <c r="AG43" s="4">
        <f>$O$43*$AA$43</f>
        <v>0</v>
      </c>
    </row>
    <row r="44" spans="1:33" ht="11.25" customHeight="1" x14ac:dyDescent="0.25">
      <c r="A44" s="3" t="s">
        <v>21</v>
      </c>
      <c r="B44" s="3" t="s">
        <v>33</v>
      </c>
      <c r="C44" s="3" t="s">
        <v>34</v>
      </c>
      <c r="D44" s="3" t="s">
        <v>42</v>
      </c>
      <c r="E44" s="3" t="s">
        <v>25</v>
      </c>
      <c r="F44" s="3" t="s">
        <v>25</v>
      </c>
      <c r="G44" s="3" t="s">
        <v>25</v>
      </c>
      <c r="H44" s="3" t="s">
        <v>25</v>
      </c>
      <c r="I44" s="6">
        <v>44470</v>
      </c>
      <c r="J44" s="4">
        <v>163</v>
      </c>
      <c r="K44" s="4">
        <v>163</v>
      </c>
      <c r="L44" s="4">
        <v>0</v>
      </c>
      <c r="M44" s="4">
        <v>0</v>
      </c>
      <c r="N44" s="4">
        <v>0</v>
      </c>
      <c r="O44" s="4">
        <v>0</v>
      </c>
      <c r="P44" s="4">
        <v>3</v>
      </c>
      <c r="Q44" s="3" t="s">
        <v>26</v>
      </c>
      <c r="R44" s="3">
        <v>0</v>
      </c>
      <c r="S44" s="4">
        <v>22</v>
      </c>
      <c r="T44" s="4">
        <v>0</v>
      </c>
      <c r="U44" s="4">
        <v>0</v>
      </c>
      <c r="V44" s="4">
        <f>IF(ISERROR(VLOOKUP($S$44,'TAR FIN'!$A$1:$O$85,15,0)),0,VLOOKUP($S$44,'TAR FIN'!$A$1:$O$85,15,0))</f>
        <v>63.83</v>
      </c>
      <c r="W44" s="4">
        <f>IF(ISERROR(VLOOKUP($T$44,'TAR FIN'!$A$1:$O$85,15,0)),0,VLOOKUP($T$44,'TAR FIN'!$A$1:$O$85,15,0))</f>
        <v>0</v>
      </c>
      <c r="X44" s="4">
        <f>IF(ISERROR(VLOOKUP($U$44,'TAR FIN'!$A$1:$O$85,15,0)),0,VLOOKUP($U$44,'TAR FIN'!$A$1:$O$85,15,0))</f>
        <v>0</v>
      </c>
      <c r="Y44" s="4">
        <f ca="1">('TUSD BE'!$AM$10+'TUSD BF'!$AM$10+'TUSD CVA'!$AM$10)*1</f>
        <v>77.970056746860777</v>
      </c>
      <c r="Z44" s="4"/>
      <c r="AA44" s="4"/>
      <c r="AB44" s="4">
        <f>$K$44*$V$44</f>
        <v>10404.289999999999</v>
      </c>
      <c r="AC44" s="4">
        <f>$M$44*$W$44</f>
        <v>0</v>
      </c>
      <c r="AD44" s="4">
        <f>$O$44*$X$44</f>
        <v>0</v>
      </c>
      <c r="AE44" s="4">
        <f ca="1">$K$44*$Y$44</f>
        <v>12709.119249738307</v>
      </c>
      <c r="AF44" s="4">
        <f>$M$44*$Z$44</f>
        <v>0</v>
      </c>
      <c r="AG44" s="4">
        <f>$O$44*$AA$44</f>
        <v>0</v>
      </c>
    </row>
    <row r="45" spans="1:33" ht="11.25" customHeight="1" x14ac:dyDescent="0.25">
      <c r="A45" s="3" t="s">
        <v>21</v>
      </c>
      <c r="B45" s="3" t="s">
        <v>33</v>
      </c>
      <c r="C45" s="3" t="s">
        <v>34</v>
      </c>
      <c r="D45" s="3" t="s">
        <v>42</v>
      </c>
      <c r="E45" s="3" t="s">
        <v>25</v>
      </c>
      <c r="F45" s="3" t="s">
        <v>25</v>
      </c>
      <c r="G45" s="3" t="s">
        <v>25</v>
      </c>
      <c r="H45" s="3" t="s">
        <v>25</v>
      </c>
      <c r="I45" s="6">
        <v>44501</v>
      </c>
      <c r="J45" s="4">
        <v>158</v>
      </c>
      <c r="K45" s="4">
        <v>158</v>
      </c>
      <c r="L45" s="4">
        <v>0</v>
      </c>
      <c r="M45" s="4">
        <v>0</v>
      </c>
      <c r="N45" s="4">
        <v>0</v>
      </c>
      <c r="O45" s="4">
        <v>0</v>
      </c>
      <c r="P45" s="4">
        <v>3</v>
      </c>
      <c r="Q45" s="3" t="s">
        <v>26</v>
      </c>
      <c r="R45" s="3">
        <v>0</v>
      </c>
      <c r="S45" s="4">
        <v>22</v>
      </c>
      <c r="T45" s="4">
        <v>0</v>
      </c>
      <c r="U45" s="4">
        <v>0</v>
      </c>
      <c r="V45" s="4">
        <f>IF(ISERROR(VLOOKUP($S$45,'TAR FIN'!$A$1:$O$85,15,0)),0,VLOOKUP($S$45,'TAR FIN'!$A$1:$O$85,15,0))</f>
        <v>63.83</v>
      </c>
      <c r="W45" s="4">
        <f>IF(ISERROR(VLOOKUP($T$45,'TAR FIN'!$A$1:$O$85,15,0)),0,VLOOKUP($T$45,'TAR FIN'!$A$1:$O$85,15,0))</f>
        <v>0</v>
      </c>
      <c r="X45" s="4">
        <f>IF(ISERROR(VLOOKUP($U$45,'TAR FIN'!$A$1:$O$85,15,0)),0,VLOOKUP($U$45,'TAR FIN'!$A$1:$O$85,15,0))</f>
        <v>0</v>
      </c>
      <c r="Y45" s="4">
        <f ca="1">('TUSD BE'!$AM$10+'TUSD BF'!$AM$10+'TUSD CVA'!$AM$10)*1</f>
        <v>77.970056746860777</v>
      </c>
      <c r="Z45" s="4"/>
      <c r="AA45" s="4"/>
      <c r="AB45" s="4">
        <f>$K$45*$V$45</f>
        <v>10085.14</v>
      </c>
      <c r="AC45" s="4">
        <f>$M$45*$W$45</f>
        <v>0</v>
      </c>
      <c r="AD45" s="4">
        <f>$O$45*$X$45</f>
        <v>0</v>
      </c>
      <c r="AE45" s="4">
        <f ca="1">$K$45*$Y$45</f>
        <v>12319.268966004003</v>
      </c>
      <c r="AF45" s="4">
        <f>$M$45*$Z$45</f>
        <v>0</v>
      </c>
      <c r="AG45" s="4">
        <f>$O$45*$AA$45</f>
        <v>0</v>
      </c>
    </row>
    <row r="46" spans="1:33" ht="11.25" customHeight="1" x14ac:dyDescent="0.25">
      <c r="A46" s="3" t="s">
        <v>21</v>
      </c>
      <c r="B46" s="3" t="s">
        <v>33</v>
      </c>
      <c r="C46" s="3" t="s">
        <v>34</v>
      </c>
      <c r="D46" s="3" t="s">
        <v>42</v>
      </c>
      <c r="E46" s="3" t="s">
        <v>25</v>
      </c>
      <c r="F46" s="3" t="s">
        <v>25</v>
      </c>
      <c r="G46" s="3" t="s">
        <v>25</v>
      </c>
      <c r="H46" s="3" t="s">
        <v>25</v>
      </c>
      <c r="I46" s="6">
        <v>44531</v>
      </c>
      <c r="J46" s="4">
        <v>167</v>
      </c>
      <c r="K46" s="4">
        <v>167</v>
      </c>
      <c r="L46" s="4">
        <v>0</v>
      </c>
      <c r="M46" s="4">
        <v>0</v>
      </c>
      <c r="N46" s="4">
        <v>0</v>
      </c>
      <c r="O46" s="4">
        <v>0</v>
      </c>
      <c r="P46" s="4">
        <v>3</v>
      </c>
      <c r="Q46" s="3" t="s">
        <v>26</v>
      </c>
      <c r="R46" s="3">
        <v>0</v>
      </c>
      <c r="S46" s="4">
        <v>22</v>
      </c>
      <c r="T46" s="4">
        <v>0</v>
      </c>
      <c r="U46" s="4">
        <v>0</v>
      </c>
      <c r="V46" s="4">
        <f>IF(ISERROR(VLOOKUP($S$46,'TAR FIN'!$A$1:$O$85,15,0)),0,VLOOKUP($S$46,'TAR FIN'!$A$1:$O$85,15,0))</f>
        <v>63.83</v>
      </c>
      <c r="W46" s="4">
        <f>IF(ISERROR(VLOOKUP($T$46,'TAR FIN'!$A$1:$O$85,15,0)),0,VLOOKUP($T$46,'TAR FIN'!$A$1:$O$85,15,0))</f>
        <v>0</v>
      </c>
      <c r="X46" s="4">
        <f>IF(ISERROR(VLOOKUP($U$46,'TAR FIN'!$A$1:$O$85,15,0)),0,VLOOKUP($U$46,'TAR FIN'!$A$1:$O$85,15,0))</f>
        <v>0</v>
      </c>
      <c r="Y46" s="4">
        <f ca="1">('TUSD BE'!$AM$10+'TUSD BF'!$AM$10+'TUSD CVA'!$AM$10)*1</f>
        <v>77.970056746860777</v>
      </c>
      <c r="Z46" s="4"/>
      <c r="AA46" s="4"/>
      <c r="AB46" s="4">
        <f>$K$46*$V$46</f>
        <v>10659.61</v>
      </c>
      <c r="AC46" s="4">
        <f>$M$46*$W$46</f>
        <v>0</v>
      </c>
      <c r="AD46" s="4">
        <f>$O$46*$X$46</f>
        <v>0</v>
      </c>
      <c r="AE46" s="4">
        <f ca="1">$K$46*$Y$46</f>
        <v>13020.99947672575</v>
      </c>
      <c r="AF46" s="4">
        <f>$M$46*$Z$46</f>
        <v>0</v>
      </c>
      <c r="AG46" s="4">
        <f>$O$46*$AA$46</f>
        <v>0</v>
      </c>
    </row>
    <row r="47" spans="1:33" ht="11.25" customHeight="1" x14ac:dyDescent="0.25">
      <c r="A47" s="3" t="s">
        <v>21</v>
      </c>
      <c r="B47" s="3" t="s">
        <v>33</v>
      </c>
      <c r="C47" s="3" t="s">
        <v>34</v>
      </c>
      <c r="D47" s="3" t="s">
        <v>42</v>
      </c>
      <c r="E47" s="3" t="s">
        <v>25</v>
      </c>
      <c r="F47" s="3" t="s">
        <v>25</v>
      </c>
      <c r="G47" s="3" t="s">
        <v>25</v>
      </c>
      <c r="H47" s="3" t="s">
        <v>25</v>
      </c>
      <c r="I47" s="6">
        <v>44562</v>
      </c>
      <c r="J47" s="4">
        <v>176</v>
      </c>
      <c r="K47" s="4">
        <v>176</v>
      </c>
      <c r="L47" s="4">
        <v>0</v>
      </c>
      <c r="M47" s="4">
        <v>0</v>
      </c>
      <c r="N47" s="4">
        <v>0</v>
      </c>
      <c r="O47" s="4">
        <v>0</v>
      </c>
      <c r="P47" s="4">
        <v>3</v>
      </c>
      <c r="Q47" s="3" t="s">
        <v>26</v>
      </c>
      <c r="R47" s="3">
        <v>0</v>
      </c>
      <c r="S47" s="4">
        <v>22</v>
      </c>
      <c r="T47" s="4">
        <v>0</v>
      </c>
      <c r="U47" s="4">
        <v>0</v>
      </c>
      <c r="V47" s="4">
        <f>IF(ISERROR(VLOOKUP($S$47,'TAR FIN'!$A$1:$O$85,15,0)),0,VLOOKUP($S$47,'TAR FIN'!$A$1:$O$85,15,0))</f>
        <v>63.83</v>
      </c>
      <c r="W47" s="4">
        <f>IF(ISERROR(VLOOKUP($T$47,'TAR FIN'!$A$1:$O$85,15,0)),0,VLOOKUP($T$47,'TAR FIN'!$A$1:$O$85,15,0))</f>
        <v>0</v>
      </c>
      <c r="X47" s="4">
        <f>IF(ISERROR(VLOOKUP($U$47,'TAR FIN'!$A$1:$O$85,15,0)),0,VLOOKUP($U$47,'TAR FIN'!$A$1:$O$85,15,0))</f>
        <v>0</v>
      </c>
      <c r="Y47" s="4">
        <f ca="1">('TUSD BE'!$AM$10+'TUSD BF'!$AM$10+'TUSD CVA'!$AM$10)*1</f>
        <v>77.970056746860777</v>
      </c>
      <c r="Z47" s="4"/>
      <c r="AA47" s="4"/>
      <c r="AB47" s="4">
        <f>$K$47*$V$47</f>
        <v>11234.08</v>
      </c>
      <c r="AC47" s="4">
        <f>$M$47*$W$47</f>
        <v>0</v>
      </c>
      <c r="AD47" s="4">
        <f>$O$47*$X$47</f>
        <v>0</v>
      </c>
      <c r="AE47" s="4">
        <f ca="1">$K$47*$Y$47</f>
        <v>13722.729987447497</v>
      </c>
      <c r="AF47" s="4">
        <f>$M$47*$Z$47</f>
        <v>0</v>
      </c>
      <c r="AG47" s="4">
        <f>$O$47*$AA$47</f>
        <v>0</v>
      </c>
    </row>
    <row r="48" spans="1:33" ht="11.25" customHeight="1" x14ac:dyDescent="0.25">
      <c r="A48" s="3" t="s">
        <v>21</v>
      </c>
      <c r="B48" s="3" t="s">
        <v>33</v>
      </c>
      <c r="C48" s="3" t="s">
        <v>34</v>
      </c>
      <c r="D48" s="3" t="s">
        <v>42</v>
      </c>
      <c r="E48" s="3" t="s">
        <v>25</v>
      </c>
      <c r="F48" s="3" t="s">
        <v>25</v>
      </c>
      <c r="G48" s="3" t="s">
        <v>25</v>
      </c>
      <c r="H48" s="3" t="s">
        <v>25</v>
      </c>
      <c r="I48" s="6">
        <v>44593</v>
      </c>
      <c r="J48" s="4">
        <v>168</v>
      </c>
      <c r="K48" s="4">
        <v>168</v>
      </c>
      <c r="L48" s="4">
        <v>0</v>
      </c>
      <c r="M48" s="4">
        <v>0</v>
      </c>
      <c r="N48" s="4">
        <v>0</v>
      </c>
      <c r="O48" s="4">
        <v>0</v>
      </c>
      <c r="P48" s="4">
        <v>3</v>
      </c>
      <c r="Q48" s="3" t="s">
        <v>26</v>
      </c>
      <c r="R48" s="3">
        <v>0</v>
      </c>
      <c r="S48" s="4">
        <v>22</v>
      </c>
      <c r="T48" s="4">
        <v>0</v>
      </c>
      <c r="U48" s="4">
        <v>0</v>
      </c>
      <c r="V48" s="4">
        <f>IF(ISERROR(VLOOKUP($S$48,'TAR FIN'!$A$1:$O$85,15,0)),0,VLOOKUP($S$48,'TAR FIN'!$A$1:$O$85,15,0))</f>
        <v>63.83</v>
      </c>
      <c r="W48" s="4">
        <f>IF(ISERROR(VLOOKUP($T$48,'TAR FIN'!$A$1:$O$85,15,0)),0,VLOOKUP($T$48,'TAR FIN'!$A$1:$O$85,15,0))</f>
        <v>0</v>
      </c>
      <c r="X48" s="4">
        <f>IF(ISERROR(VLOOKUP($U$48,'TAR FIN'!$A$1:$O$85,15,0)),0,VLOOKUP($U$48,'TAR FIN'!$A$1:$O$85,15,0))</f>
        <v>0</v>
      </c>
      <c r="Y48" s="4">
        <f ca="1">('TUSD BE'!$AM$10+'TUSD BF'!$AM$10+'TUSD CVA'!$AM$10)*1</f>
        <v>77.970056746860777</v>
      </c>
      <c r="Z48" s="4"/>
      <c r="AA48" s="4"/>
      <c r="AB48" s="4">
        <f>$K$48*$V$48</f>
        <v>10723.44</v>
      </c>
      <c r="AC48" s="4">
        <f>$M$48*$W$48</f>
        <v>0</v>
      </c>
      <c r="AD48" s="4">
        <f>$O$48*$X$48</f>
        <v>0</v>
      </c>
      <c r="AE48" s="4">
        <f ca="1">$K$48*$Y$48</f>
        <v>13098.969533472611</v>
      </c>
      <c r="AF48" s="4">
        <f>$M$48*$Z$48</f>
        <v>0</v>
      </c>
      <c r="AG48" s="4">
        <f>$O$48*$AA$48</f>
        <v>0</v>
      </c>
    </row>
    <row r="49" spans="1:33" ht="11.25" customHeight="1" x14ac:dyDescent="0.25">
      <c r="A49" s="3" t="s">
        <v>21</v>
      </c>
      <c r="B49" s="3" t="s">
        <v>33</v>
      </c>
      <c r="C49" s="3" t="s">
        <v>34</v>
      </c>
      <c r="D49" s="3" t="s">
        <v>42</v>
      </c>
      <c r="E49" s="3" t="s">
        <v>25</v>
      </c>
      <c r="F49" s="3" t="s">
        <v>25</v>
      </c>
      <c r="G49" s="3" t="s">
        <v>25</v>
      </c>
      <c r="H49" s="3" t="s">
        <v>25</v>
      </c>
      <c r="I49" s="6">
        <v>44621</v>
      </c>
      <c r="J49" s="4">
        <v>169</v>
      </c>
      <c r="K49" s="4">
        <v>169</v>
      </c>
      <c r="L49" s="4">
        <v>0</v>
      </c>
      <c r="M49" s="4">
        <v>0</v>
      </c>
      <c r="N49" s="4">
        <v>0</v>
      </c>
      <c r="O49" s="4">
        <v>0</v>
      </c>
      <c r="P49" s="4">
        <v>3</v>
      </c>
      <c r="Q49" s="3" t="s">
        <v>26</v>
      </c>
      <c r="R49" s="3">
        <v>0</v>
      </c>
      <c r="S49" s="4">
        <v>22</v>
      </c>
      <c r="T49" s="4">
        <v>0</v>
      </c>
      <c r="U49" s="4">
        <v>0</v>
      </c>
      <c r="V49" s="4">
        <f>IF(ISERROR(VLOOKUP($S$49,'TAR FIN'!$A$1:$O$85,15,0)),0,VLOOKUP($S$49,'TAR FIN'!$A$1:$O$85,15,0))</f>
        <v>63.83</v>
      </c>
      <c r="W49" s="4">
        <f>IF(ISERROR(VLOOKUP($T$49,'TAR FIN'!$A$1:$O$85,15,0)),0,VLOOKUP($T$49,'TAR FIN'!$A$1:$O$85,15,0))</f>
        <v>0</v>
      </c>
      <c r="X49" s="4">
        <f>IF(ISERROR(VLOOKUP($U$49,'TAR FIN'!$A$1:$O$85,15,0)),0,VLOOKUP($U$49,'TAR FIN'!$A$1:$O$85,15,0))</f>
        <v>0</v>
      </c>
      <c r="Y49" s="4">
        <f ca="1">('TUSD BE'!$AM$10+'TUSD BF'!$AM$10+'TUSD CVA'!$AM$10)*1</f>
        <v>77.970056746860777</v>
      </c>
      <c r="Z49" s="4"/>
      <c r="AA49" s="4"/>
      <c r="AB49" s="4">
        <f>$K$49*$V$49</f>
        <v>10787.27</v>
      </c>
      <c r="AC49" s="4">
        <f>$M$49*$W$49</f>
        <v>0</v>
      </c>
      <c r="AD49" s="4">
        <f>$O$49*$X$49</f>
        <v>0</v>
      </c>
      <c r="AE49" s="4">
        <f ca="1">$K$49*$Y$49</f>
        <v>13176.939590219472</v>
      </c>
      <c r="AF49" s="4">
        <f>$M$49*$Z$49</f>
        <v>0</v>
      </c>
      <c r="AG49" s="4">
        <f>$O$49*$AA$49</f>
        <v>0</v>
      </c>
    </row>
    <row r="50" spans="1:33" ht="11.25" customHeight="1" x14ac:dyDescent="0.25">
      <c r="A50" s="3" t="s">
        <v>21</v>
      </c>
      <c r="B50" s="3" t="s">
        <v>33</v>
      </c>
      <c r="C50" s="3" t="s">
        <v>34</v>
      </c>
      <c r="D50" s="3" t="s">
        <v>42</v>
      </c>
      <c r="E50" s="3" t="s">
        <v>25</v>
      </c>
      <c r="F50" s="3" t="s">
        <v>25</v>
      </c>
      <c r="G50" s="3" t="s">
        <v>25</v>
      </c>
      <c r="H50" s="3" t="s">
        <v>35</v>
      </c>
      <c r="I50" s="6">
        <v>44287</v>
      </c>
      <c r="J50" s="4">
        <v>0</v>
      </c>
      <c r="K50" s="4">
        <v>0</v>
      </c>
      <c r="L50" s="4">
        <v>2.8479999999999999</v>
      </c>
      <c r="M50" s="4">
        <v>2.8479999999999999</v>
      </c>
      <c r="N50" s="4">
        <v>2.8479999999999999</v>
      </c>
      <c r="O50" s="4">
        <v>2.8479999999999999</v>
      </c>
      <c r="P50" s="4">
        <v>0</v>
      </c>
      <c r="Q50" s="3" t="s">
        <v>26</v>
      </c>
      <c r="R50" s="3">
        <v>0</v>
      </c>
      <c r="S50" s="4">
        <v>0</v>
      </c>
      <c r="T50" s="4">
        <v>23</v>
      </c>
      <c r="U50" s="4">
        <v>82</v>
      </c>
      <c r="V50" s="4">
        <f>IF(ISERROR(VLOOKUP($S$50,'TAR FIN'!$A$1:$O$85,15,0)),0,VLOOKUP($S$50,'TAR FIN'!$A$1:$O$85,15,0))</f>
        <v>0</v>
      </c>
      <c r="W50" s="4">
        <f>IF(ISERROR(VLOOKUP($T$50,'TAR FIN'!$A$1:$O$85,15,0)),0,VLOOKUP($T$50,'TAR FIN'!$A$1:$O$85,15,0))</f>
        <v>4048.87</v>
      </c>
      <c r="X50" s="4">
        <f>IF(ISERROR(VLOOKUP($U$50,'TAR FIN'!$A$1:$O$85,15,0)),0,VLOOKUP($U$50,'TAR FIN'!$A$1:$O$85,15,0))</f>
        <v>231.33</v>
      </c>
      <c r="Y50" s="4"/>
      <c r="Z50" s="4">
        <f ca="1">('TUSD BE'!$AM$11+'TUSD BF'!$AM$11+'TUSD CVA'!$AM$11)*1</f>
        <v>4890.261914674632</v>
      </c>
      <c r="AA50" s="4">
        <f>('TE BE'!$AA$5+'TE BF'!$AA$5+'TE CVA'!$AA$5)*1</f>
        <v>260.80314197522284</v>
      </c>
      <c r="AB50" s="4">
        <f>$K$50*$V$50</f>
        <v>0</v>
      </c>
      <c r="AC50" s="4">
        <f>$M$50*$W$50</f>
        <v>11531.181759999999</v>
      </c>
      <c r="AD50" s="4">
        <f>$O$50*$X$50</f>
        <v>658.82784000000004</v>
      </c>
      <c r="AE50" s="4">
        <f>$K$50*$Y$50</f>
        <v>0</v>
      </c>
      <c r="AF50" s="4">
        <f ca="1">$M$50*$Z$50</f>
        <v>13927.465932993351</v>
      </c>
      <c r="AG50" s="4">
        <f>$O$50*$AA$50</f>
        <v>742.76734834543458</v>
      </c>
    </row>
    <row r="51" spans="1:33" ht="11.25" customHeight="1" x14ac:dyDescent="0.25">
      <c r="A51" s="3" t="s">
        <v>21</v>
      </c>
      <c r="B51" s="3" t="s">
        <v>33</v>
      </c>
      <c r="C51" s="3" t="s">
        <v>34</v>
      </c>
      <c r="D51" s="3" t="s">
        <v>42</v>
      </c>
      <c r="E51" s="3" t="s">
        <v>25</v>
      </c>
      <c r="F51" s="3" t="s">
        <v>25</v>
      </c>
      <c r="G51" s="3" t="s">
        <v>25</v>
      </c>
      <c r="H51" s="3" t="s">
        <v>35</v>
      </c>
      <c r="I51" s="6">
        <v>44317</v>
      </c>
      <c r="J51" s="4">
        <v>0</v>
      </c>
      <c r="K51" s="4">
        <v>0</v>
      </c>
      <c r="L51" s="4">
        <v>2.8140000000000001</v>
      </c>
      <c r="M51" s="4">
        <v>2.8140000000000001</v>
      </c>
      <c r="N51" s="4">
        <v>2.8140000000000001</v>
      </c>
      <c r="O51" s="4">
        <v>2.8140000000000001</v>
      </c>
      <c r="P51" s="4">
        <v>0</v>
      </c>
      <c r="Q51" s="3" t="s">
        <v>26</v>
      </c>
      <c r="R51" s="3">
        <v>0</v>
      </c>
      <c r="S51" s="4">
        <v>0</v>
      </c>
      <c r="T51" s="4">
        <v>23</v>
      </c>
      <c r="U51" s="4">
        <v>82</v>
      </c>
      <c r="V51" s="4">
        <f>IF(ISERROR(VLOOKUP($S$51,'TAR FIN'!$A$1:$O$85,15,0)),0,VLOOKUP($S$51,'TAR FIN'!$A$1:$O$85,15,0))</f>
        <v>0</v>
      </c>
      <c r="W51" s="4">
        <f>IF(ISERROR(VLOOKUP($T$51,'TAR FIN'!$A$1:$O$85,15,0)),0,VLOOKUP($T$51,'TAR FIN'!$A$1:$O$85,15,0))</f>
        <v>4048.87</v>
      </c>
      <c r="X51" s="4">
        <f>IF(ISERROR(VLOOKUP($U$51,'TAR FIN'!$A$1:$O$85,15,0)),0,VLOOKUP($U$51,'TAR FIN'!$A$1:$O$85,15,0))</f>
        <v>231.33</v>
      </c>
      <c r="Y51" s="4"/>
      <c r="Z51" s="4">
        <f ca="1">('TUSD BE'!$AM$11+'TUSD BF'!$AM$11+'TUSD CVA'!$AM$11)*1</f>
        <v>4890.261914674632</v>
      </c>
      <c r="AA51" s="4">
        <f>('TE BE'!$AA$5+'TE BF'!$AA$5+'TE CVA'!$AA$5)*1</f>
        <v>260.80314197522284</v>
      </c>
      <c r="AB51" s="4">
        <f>$K$51*$V$51</f>
        <v>0</v>
      </c>
      <c r="AC51" s="4">
        <f>$M$51*$W$51</f>
        <v>11393.52018</v>
      </c>
      <c r="AD51" s="4">
        <f>$O$51*$X$51</f>
        <v>650.96262000000002</v>
      </c>
      <c r="AE51" s="4">
        <f>$K$51*$Y$51</f>
        <v>0</v>
      </c>
      <c r="AF51" s="4">
        <f ca="1">$M$51*$Z$51</f>
        <v>13761.197027894415</v>
      </c>
      <c r="AG51" s="4">
        <f>$O$51*$AA$51</f>
        <v>733.90004151827713</v>
      </c>
    </row>
    <row r="52" spans="1:33" ht="11.25" customHeight="1" x14ac:dyDescent="0.25">
      <c r="A52" s="3" t="s">
        <v>21</v>
      </c>
      <c r="B52" s="3" t="s">
        <v>33</v>
      </c>
      <c r="C52" s="3" t="s">
        <v>34</v>
      </c>
      <c r="D52" s="3" t="s">
        <v>42</v>
      </c>
      <c r="E52" s="3" t="s">
        <v>25</v>
      </c>
      <c r="F52" s="3" t="s">
        <v>25</v>
      </c>
      <c r="G52" s="3" t="s">
        <v>25</v>
      </c>
      <c r="H52" s="3" t="s">
        <v>35</v>
      </c>
      <c r="I52" s="6">
        <v>44348</v>
      </c>
      <c r="J52" s="4">
        <v>0</v>
      </c>
      <c r="K52" s="4">
        <v>0</v>
      </c>
      <c r="L52" s="4">
        <v>2.7240000000000002</v>
      </c>
      <c r="M52" s="4">
        <v>2.7240000000000002</v>
      </c>
      <c r="N52" s="4">
        <v>2.7240000000000002</v>
      </c>
      <c r="O52" s="4">
        <v>2.7240000000000002</v>
      </c>
      <c r="P52" s="4">
        <v>0</v>
      </c>
      <c r="Q52" s="3" t="s">
        <v>26</v>
      </c>
      <c r="R52" s="3">
        <v>0</v>
      </c>
      <c r="S52" s="4">
        <v>0</v>
      </c>
      <c r="T52" s="4">
        <v>23</v>
      </c>
      <c r="U52" s="4">
        <v>82</v>
      </c>
      <c r="V52" s="4">
        <f>IF(ISERROR(VLOOKUP($S$52,'TAR FIN'!$A$1:$O$85,15,0)),0,VLOOKUP($S$52,'TAR FIN'!$A$1:$O$85,15,0))</f>
        <v>0</v>
      </c>
      <c r="W52" s="4">
        <f>IF(ISERROR(VLOOKUP($T$52,'TAR FIN'!$A$1:$O$85,15,0)),0,VLOOKUP($T$52,'TAR FIN'!$A$1:$O$85,15,0))</f>
        <v>4048.87</v>
      </c>
      <c r="X52" s="4">
        <f>IF(ISERROR(VLOOKUP($U$52,'TAR FIN'!$A$1:$O$85,15,0)),0,VLOOKUP($U$52,'TAR FIN'!$A$1:$O$85,15,0))</f>
        <v>231.33</v>
      </c>
      <c r="Y52" s="4"/>
      <c r="Z52" s="4">
        <f ca="1">('TUSD BE'!$AM$11+'TUSD BF'!$AM$11+'TUSD CVA'!$AM$11)*1</f>
        <v>4890.261914674632</v>
      </c>
      <c r="AA52" s="4">
        <f>('TE BE'!$AA$5+'TE BF'!$AA$5+'TE CVA'!$AA$5)*1</f>
        <v>260.80314197522284</v>
      </c>
      <c r="AB52" s="4">
        <f>$K$52*$V$52</f>
        <v>0</v>
      </c>
      <c r="AC52" s="4">
        <f>$M$52*$W$52</f>
        <v>11029.121880000001</v>
      </c>
      <c r="AD52" s="4">
        <f>$O$52*$X$52</f>
        <v>630.14292000000012</v>
      </c>
      <c r="AE52" s="4">
        <f>$K$52*$Y$52</f>
        <v>0</v>
      </c>
      <c r="AF52" s="4">
        <f ca="1">$M$52*$Z$52</f>
        <v>13321.073455573698</v>
      </c>
      <c r="AG52" s="4">
        <f>$O$52*$AA$52</f>
        <v>710.4277587405071</v>
      </c>
    </row>
    <row r="53" spans="1:33" ht="11.25" customHeight="1" x14ac:dyDescent="0.25">
      <c r="A53" s="3" t="s">
        <v>21</v>
      </c>
      <c r="B53" s="3" t="s">
        <v>33</v>
      </c>
      <c r="C53" s="3" t="s">
        <v>34</v>
      </c>
      <c r="D53" s="3" t="s">
        <v>42</v>
      </c>
      <c r="E53" s="3" t="s">
        <v>25</v>
      </c>
      <c r="F53" s="3" t="s">
        <v>25</v>
      </c>
      <c r="G53" s="3" t="s">
        <v>25</v>
      </c>
      <c r="H53" s="3" t="s">
        <v>35</v>
      </c>
      <c r="I53" s="6">
        <v>44378</v>
      </c>
      <c r="J53" s="4">
        <v>0</v>
      </c>
      <c r="K53" s="4">
        <v>0</v>
      </c>
      <c r="L53" s="4">
        <v>2.7090000000000001</v>
      </c>
      <c r="M53" s="4">
        <v>2.7090000000000001</v>
      </c>
      <c r="N53" s="4">
        <v>2.7090000000000001</v>
      </c>
      <c r="O53" s="4">
        <v>2.7090000000000001</v>
      </c>
      <c r="P53" s="4">
        <v>0</v>
      </c>
      <c r="Q53" s="3" t="s">
        <v>26</v>
      </c>
      <c r="R53" s="3">
        <v>0</v>
      </c>
      <c r="S53" s="4">
        <v>0</v>
      </c>
      <c r="T53" s="4">
        <v>23</v>
      </c>
      <c r="U53" s="4">
        <v>82</v>
      </c>
      <c r="V53" s="4">
        <f>IF(ISERROR(VLOOKUP($S$53,'TAR FIN'!$A$1:$O$85,15,0)),0,VLOOKUP($S$53,'TAR FIN'!$A$1:$O$85,15,0))</f>
        <v>0</v>
      </c>
      <c r="W53" s="4">
        <f>IF(ISERROR(VLOOKUP($T$53,'TAR FIN'!$A$1:$O$85,15,0)),0,VLOOKUP($T$53,'TAR FIN'!$A$1:$O$85,15,0))</f>
        <v>4048.87</v>
      </c>
      <c r="X53" s="4">
        <f>IF(ISERROR(VLOOKUP($U$53,'TAR FIN'!$A$1:$O$85,15,0)),0,VLOOKUP($U$53,'TAR FIN'!$A$1:$O$85,15,0))</f>
        <v>231.33</v>
      </c>
      <c r="Y53" s="4"/>
      <c r="Z53" s="4">
        <f ca="1">('TUSD BE'!$AM$11+'TUSD BF'!$AM$11+'TUSD CVA'!$AM$11)*1</f>
        <v>4890.261914674632</v>
      </c>
      <c r="AA53" s="4">
        <f>('TE BE'!$AA$5+'TE BF'!$AA$5+'TE CVA'!$AA$5)*1</f>
        <v>260.80314197522284</v>
      </c>
      <c r="AB53" s="4">
        <f>$K$53*$V$53</f>
        <v>0</v>
      </c>
      <c r="AC53" s="4">
        <f>$M$53*$W$53</f>
        <v>10968.38883</v>
      </c>
      <c r="AD53" s="4">
        <f>$O$53*$X$53</f>
        <v>626.67297000000008</v>
      </c>
      <c r="AE53" s="4">
        <f>$K$53*$Y$53</f>
        <v>0</v>
      </c>
      <c r="AF53" s="4">
        <f ca="1">$M$53*$Z$53</f>
        <v>13247.719526853578</v>
      </c>
      <c r="AG53" s="4">
        <f>$O$53*$AA$53</f>
        <v>706.51571161087872</v>
      </c>
    </row>
    <row r="54" spans="1:33" ht="11.25" customHeight="1" x14ac:dyDescent="0.25">
      <c r="A54" s="3" t="s">
        <v>21</v>
      </c>
      <c r="B54" s="3" t="s">
        <v>33</v>
      </c>
      <c r="C54" s="3" t="s">
        <v>34</v>
      </c>
      <c r="D54" s="3" t="s">
        <v>42</v>
      </c>
      <c r="E54" s="3" t="s">
        <v>25</v>
      </c>
      <c r="F54" s="3" t="s">
        <v>25</v>
      </c>
      <c r="G54" s="3" t="s">
        <v>25</v>
      </c>
      <c r="H54" s="3" t="s">
        <v>35</v>
      </c>
      <c r="I54" s="6">
        <v>44409</v>
      </c>
      <c r="J54" s="4">
        <v>0</v>
      </c>
      <c r="K54" s="4">
        <v>0</v>
      </c>
      <c r="L54" s="4">
        <v>2.883</v>
      </c>
      <c r="M54" s="4">
        <v>2.883</v>
      </c>
      <c r="N54" s="4">
        <v>2.883</v>
      </c>
      <c r="O54" s="4">
        <v>2.883</v>
      </c>
      <c r="P54" s="4">
        <v>0</v>
      </c>
      <c r="Q54" s="3" t="s">
        <v>26</v>
      </c>
      <c r="R54" s="3">
        <v>0</v>
      </c>
      <c r="S54" s="4">
        <v>0</v>
      </c>
      <c r="T54" s="4">
        <v>23</v>
      </c>
      <c r="U54" s="4">
        <v>82</v>
      </c>
      <c r="V54" s="4">
        <f>IF(ISERROR(VLOOKUP($S$54,'TAR FIN'!$A$1:$O$85,15,0)),0,VLOOKUP($S$54,'TAR FIN'!$A$1:$O$85,15,0))</f>
        <v>0</v>
      </c>
      <c r="W54" s="4">
        <f>IF(ISERROR(VLOOKUP($T$54,'TAR FIN'!$A$1:$O$85,15,0)),0,VLOOKUP($T$54,'TAR FIN'!$A$1:$O$85,15,0))</f>
        <v>4048.87</v>
      </c>
      <c r="X54" s="4">
        <f>IF(ISERROR(VLOOKUP($U$54,'TAR FIN'!$A$1:$O$85,15,0)),0,VLOOKUP($U$54,'TAR FIN'!$A$1:$O$85,15,0))</f>
        <v>231.33</v>
      </c>
      <c r="Y54" s="4"/>
      <c r="Z54" s="4">
        <f ca="1">('TUSD BE'!$AM$11+'TUSD BF'!$AM$11+'TUSD CVA'!$AM$11)*1</f>
        <v>4890.261914674632</v>
      </c>
      <c r="AA54" s="4">
        <f>('TE BE'!$AA$5+'TE BF'!$AA$5+'TE CVA'!$AA$5)*1</f>
        <v>260.80314197522284</v>
      </c>
      <c r="AB54" s="4">
        <f>$K$54*$V$54</f>
        <v>0</v>
      </c>
      <c r="AC54" s="4">
        <f>$M$54*$W$54</f>
        <v>11672.89221</v>
      </c>
      <c r="AD54" s="4">
        <f>$O$54*$X$54</f>
        <v>666.92439000000002</v>
      </c>
      <c r="AE54" s="4">
        <f>$K$54*$Y$54</f>
        <v>0</v>
      </c>
      <c r="AF54" s="4">
        <f ca="1">$M$54*$Z$54</f>
        <v>14098.625100006964</v>
      </c>
      <c r="AG54" s="4">
        <f>$O$54*$AA$54</f>
        <v>751.89545831456746</v>
      </c>
    </row>
    <row r="55" spans="1:33" ht="11.25" customHeight="1" x14ac:dyDescent="0.25">
      <c r="A55" s="3" t="s">
        <v>21</v>
      </c>
      <c r="B55" s="3" t="s">
        <v>33</v>
      </c>
      <c r="C55" s="3" t="s">
        <v>34</v>
      </c>
      <c r="D55" s="3" t="s">
        <v>42</v>
      </c>
      <c r="E55" s="3" t="s">
        <v>25</v>
      </c>
      <c r="F55" s="3" t="s">
        <v>25</v>
      </c>
      <c r="G55" s="3" t="s">
        <v>25</v>
      </c>
      <c r="H55" s="3" t="s">
        <v>35</v>
      </c>
      <c r="I55" s="6">
        <v>44440</v>
      </c>
      <c r="J55" s="4">
        <v>0</v>
      </c>
      <c r="K55" s="4">
        <v>0</v>
      </c>
      <c r="L55" s="4">
        <v>3.0070000000000001</v>
      </c>
      <c r="M55" s="4">
        <v>3.0070000000000001</v>
      </c>
      <c r="N55" s="4">
        <v>3.0070000000000001</v>
      </c>
      <c r="O55" s="4">
        <v>3.0070000000000001</v>
      </c>
      <c r="P55" s="4">
        <v>0</v>
      </c>
      <c r="Q55" s="3" t="s">
        <v>26</v>
      </c>
      <c r="R55" s="3">
        <v>0</v>
      </c>
      <c r="S55" s="4">
        <v>0</v>
      </c>
      <c r="T55" s="4">
        <v>23</v>
      </c>
      <c r="U55" s="4">
        <v>82</v>
      </c>
      <c r="V55" s="4">
        <f>IF(ISERROR(VLOOKUP($S$55,'TAR FIN'!$A$1:$O$85,15,0)),0,VLOOKUP($S$55,'TAR FIN'!$A$1:$O$85,15,0))</f>
        <v>0</v>
      </c>
      <c r="W55" s="4">
        <f>IF(ISERROR(VLOOKUP($T$55,'TAR FIN'!$A$1:$O$85,15,0)),0,VLOOKUP($T$55,'TAR FIN'!$A$1:$O$85,15,0))</f>
        <v>4048.87</v>
      </c>
      <c r="X55" s="4">
        <f>IF(ISERROR(VLOOKUP($U$55,'TAR FIN'!$A$1:$O$85,15,0)),0,VLOOKUP($U$55,'TAR FIN'!$A$1:$O$85,15,0))</f>
        <v>231.33</v>
      </c>
      <c r="Y55" s="4"/>
      <c r="Z55" s="4">
        <f ca="1">('TUSD BE'!$AM$11+'TUSD BF'!$AM$11+'TUSD CVA'!$AM$11)*1</f>
        <v>4890.261914674632</v>
      </c>
      <c r="AA55" s="4">
        <f>('TE BE'!$AA$5+'TE BF'!$AA$5+'TE CVA'!$AA$5)*1</f>
        <v>260.80314197522284</v>
      </c>
      <c r="AB55" s="4">
        <f>$K$55*$V$55</f>
        <v>0</v>
      </c>
      <c r="AC55" s="4">
        <f>$M$55*$W$55</f>
        <v>12174.952090000001</v>
      </c>
      <c r="AD55" s="4">
        <f>$O$55*$X$55</f>
        <v>695.60931000000005</v>
      </c>
      <c r="AE55" s="4">
        <f>$K$55*$Y$55</f>
        <v>0</v>
      </c>
      <c r="AF55" s="4">
        <f ca="1">$M$55*$Z$55</f>
        <v>14705.017577426619</v>
      </c>
      <c r="AG55" s="4">
        <f>$O$55*$AA$55</f>
        <v>784.23504791949517</v>
      </c>
    </row>
    <row r="56" spans="1:33" ht="11.25" customHeight="1" x14ac:dyDescent="0.25">
      <c r="A56" s="3" t="s">
        <v>21</v>
      </c>
      <c r="B56" s="3" t="s">
        <v>33</v>
      </c>
      <c r="C56" s="3" t="s">
        <v>34</v>
      </c>
      <c r="D56" s="3" t="s">
        <v>42</v>
      </c>
      <c r="E56" s="3" t="s">
        <v>25</v>
      </c>
      <c r="F56" s="3" t="s">
        <v>25</v>
      </c>
      <c r="G56" s="3" t="s">
        <v>25</v>
      </c>
      <c r="H56" s="3" t="s">
        <v>35</v>
      </c>
      <c r="I56" s="6">
        <v>44470</v>
      </c>
      <c r="J56" s="4">
        <v>0</v>
      </c>
      <c r="K56" s="4">
        <v>0</v>
      </c>
      <c r="L56" s="4">
        <v>2.6269999999999998</v>
      </c>
      <c r="M56" s="4">
        <v>2.6269999999999998</v>
      </c>
      <c r="N56" s="4">
        <v>2.6269999999999998</v>
      </c>
      <c r="O56" s="4">
        <v>2.6269999999999998</v>
      </c>
      <c r="P56" s="4">
        <v>0</v>
      </c>
      <c r="Q56" s="3" t="s">
        <v>26</v>
      </c>
      <c r="R56" s="3">
        <v>0</v>
      </c>
      <c r="S56" s="4">
        <v>0</v>
      </c>
      <c r="T56" s="4">
        <v>23</v>
      </c>
      <c r="U56" s="4">
        <v>82</v>
      </c>
      <c r="V56" s="4">
        <f>IF(ISERROR(VLOOKUP($S$56,'TAR FIN'!$A$1:$O$85,15,0)),0,VLOOKUP($S$56,'TAR FIN'!$A$1:$O$85,15,0))</f>
        <v>0</v>
      </c>
      <c r="W56" s="4">
        <f>IF(ISERROR(VLOOKUP($T$56,'TAR FIN'!$A$1:$O$85,15,0)),0,VLOOKUP($T$56,'TAR FIN'!$A$1:$O$85,15,0))</f>
        <v>4048.87</v>
      </c>
      <c r="X56" s="4">
        <f>IF(ISERROR(VLOOKUP($U$56,'TAR FIN'!$A$1:$O$85,15,0)),0,VLOOKUP($U$56,'TAR FIN'!$A$1:$O$85,15,0))</f>
        <v>231.33</v>
      </c>
      <c r="Y56" s="4"/>
      <c r="Z56" s="4">
        <f ca="1">('TUSD BE'!$AM$11+'TUSD BF'!$AM$11+'TUSD CVA'!$AM$11)*1</f>
        <v>4890.261914674632</v>
      </c>
      <c r="AA56" s="4">
        <f>('TE BE'!$AA$5+'TE BF'!$AA$5+'TE CVA'!$AA$5)*1</f>
        <v>260.80314197522284</v>
      </c>
      <c r="AB56" s="4">
        <f>$K$56*$V$56</f>
        <v>0</v>
      </c>
      <c r="AC56" s="4">
        <f>$M$56*$W$56</f>
        <v>10636.381489999998</v>
      </c>
      <c r="AD56" s="4">
        <f>$O$56*$X$56</f>
        <v>607.70390999999995</v>
      </c>
      <c r="AE56" s="4">
        <f>$K$56*$Y$56</f>
        <v>0</v>
      </c>
      <c r="AF56" s="4">
        <f ca="1">$M$56*$Z$56</f>
        <v>12846.718049850257</v>
      </c>
      <c r="AG56" s="4">
        <f>$O$56*$AA$56</f>
        <v>685.12985396891031</v>
      </c>
    </row>
    <row r="57" spans="1:33" ht="11.25" customHeight="1" x14ac:dyDescent="0.25">
      <c r="A57" s="3" t="s">
        <v>21</v>
      </c>
      <c r="B57" s="3" t="s">
        <v>33</v>
      </c>
      <c r="C57" s="3" t="s">
        <v>34</v>
      </c>
      <c r="D57" s="3" t="s">
        <v>42</v>
      </c>
      <c r="E57" s="3" t="s">
        <v>25</v>
      </c>
      <c r="F57" s="3" t="s">
        <v>25</v>
      </c>
      <c r="G57" s="3" t="s">
        <v>25</v>
      </c>
      <c r="H57" s="3" t="s">
        <v>35</v>
      </c>
      <c r="I57" s="6">
        <v>44501</v>
      </c>
      <c r="J57" s="4">
        <v>0</v>
      </c>
      <c r="K57" s="4">
        <v>0</v>
      </c>
      <c r="L57" s="4">
        <v>4.1479999999999997</v>
      </c>
      <c r="M57" s="4">
        <v>4.1479999999999997</v>
      </c>
      <c r="N57" s="4">
        <v>4.1479999999999997</v>
      </c>
      <c r="O57" s="4">
        <v>4.1479999999999997</v>
      </c>
      <c r="P57" s="4">
        <v>0</v>
      </c>
      <c r="Q57" s="3" t="s">
        <v>26</v>
      </c>
      <c r="R57" s="3">
        <v>0</v>
      </c>
      <c r="S57" s="4">
        <v>0</v>
      </c>
      <c r="T57" s="4">
        <v>23</v>
      </c>
      <c r="U57" s="4">
        <v>82</v>
      </c>
      <c r="V57" s="4">
        <f>IF(ISERROR(VLOOKUP($S$57,'TAR FIN'!$A$1:$O$85,15,0)),0,VLOOKUP($S$57,'TAR FIN'!$A$1:$O$85,15,0))</f>
        <v>0</v>
      </c>
      <c r="W57" s="4">
        <f>IF(ISERROR(VLOOKUP($T$57,'TAR FIN'!$A$1:$O$85,15,0)),0,VLOOKUP($T$57,'TAR FIN'!$A$1:$O$85,15,0))</f>
        <v>4048.87</v>
      </c>
      <c r="X57" s="4">
        <f>IF(ISERROR(VLOOKUP($U$57,'TAR FIN'!$A$1:$O$85,15,0)),0,VLOOKUP($U$57,'TAR FIN'!$A$1:$O$85,15,0))</f>
        <v>231.33</v>
      </c>
      <c r="Y57" s="4"/>
      <c r="Z57" s="4">
        <f ca="1">('TUSD BE'!$AM$11+'TUSD BF'!$AM$11+'TUSD CVA'!$AM$11)*1</f>
        <v>4890.261914674632</v>
      </c>
      <c r="AA57" s="4">
        <f>('TE BE'!$AA$5+'TE BF'!$AA$5+'TE CVA'!$AA$5)*1</f>
        <v>260.80314197522284</v>
      </c>
      <c r="AB57" s="4">
        <f>$K$57*$V$57</f>
        <v>0</v>
      </c>
      <c r="AC57" s="4">
        <f>$M$57*$W$57</f>
        <v>16794.712759999999</v>
      </c>
      <c r="AD57" s="4">
        <f>$O$57*$X$57</f>
        <v>959.55683999999997</v>
      </c>
      <c r="AE57" s="4">
        <f>$K$57*$Y$57</f>
        <v>0</v>
      </c>
      <c r="AF57" s="4">
        <f ca="1">$M$57*$Z$57</f>
        <v>20284.806422070371</v>
      </c>
      <c r="AG57" s="4">
        <f>$O$57*$AA$57</f>
        <v>1081.8114329132243</v>
      </c>
    </row>
    <row r="58" spans="1:33" ht="11.25" customHeight="1" x14ac:dyDescent="0.25">
      <c r="A58" s="3" t="s">
        <v>21</v>
      </c>
      <c r="B58" s="3" t="s">
        <v>33</v>
      </c>
      <c r="C58" s="3" t="s">
        <v>34</v>
      </c>
      <c r="D58" s="3" t="s">
        <v>42</v>
      </c>
      <c r="E58" s="3" t="s">
        <v>25</v>
      </c>
      <c r="F58" s="3" t="s">
        <v>25</v>
      </c>
      <c r="G58" s="3" t="s">
        <v>25</v>
      </c>
      <c r="H58" s="3" t="s">
        <v>35</v>
      </c>
      <c r="I58" s="6">
        <v>44531</v>
      </c>
      <c r="J58" s="4">
        <v>0</v>
      </c>
      <c r="K58" s="4">
        <v>0</v>
      </c>
      <c r="L58" s="4">
        <v>5.0679999999999996</v>
      </c>
      <c r="M58" s="4">
        <v>5.0679999999999996</v>
      </c>
      <c r="N58" s="4">
        <v>5.0679999999999996</v>
      </c>
      <c r="O58" s="4">
        <v>5.0679999999999996</v>
      </c>
      <c r="P58" s="4">
        <v>0</v>
      </c>
      <c r="Q58" s="3" t="s">
        <v>26</v>
      </c>
      <c r="R58" s="3">
        <v>0</v>
      </c>
      <c r="S58" s="4">
        <v>0</v>
      </c>
      <c r="T58" s="4">
        <v>23</v>
      </c>
      <c r="U58" s="4">
        <v>82</v>
      </c>
      <c r="V58" s="4">
        <f>IF(ISERROR(VLOOKUP($S$58,'TAR FIN'!$A$1:$O$85,15,0)),0,VLOOKUP($S$58,'TAR FIN'!$A$1:$O$85,15,0))</f>
        <v>0</v>
      </c>
      <c r="W58" s="4">
        <f>IF(ISERROR(VLOOKUP($T$58,'TAR FIN'!$A$1:$O$85,15,0)),0,VLOOKUP($T$58,'TAR FIN'!$A$1:$O$85,15,0))</f>
        <v>4048.87</v>
      </c>
      <c r="X58" s="4">
        <f>IF(ISERROR(VLOOKUP($U$58,'TAR FIN'!$A$1:$O$85,15,0)),0,VLOOKUP($U$58,'TAR FIN'!$A$1:$O$85,15,0))</f>
        <v>231.33</v>
      </c>
      <c r="Y58" s="4"/>
      <c r="Z58" s="4">
        <f ca="1">('TUSD BE'!$AM$11+'TUSD BF'!$AM$11+'TUSD CVA'!$AM$11)*1</f>
        <v>4890.261914674632</v>
      </c>
      <c r="AA58" s="4">
        <f>('TE BE'!$AA$5+'TE BF'!$AA$5+'TE CVA'!$AA$5)*1</f>
        <v>260.80314197522284</v>
      </c>
      <c r="AB58" s="4">
        <f>$K$58*$V$58</f>
        <v>0</v>
      </c>
      <c r="AC58" s="4">
        <f>$M$58*$W$58</f>
        <v>20519.673159999998</v>
      </c>
      <c r="AD58" s="4">
        <f>$O$58*$X$58</f>
        <v>1172.3804399999999</v>
      </c>
      <c r="AE58" s="4">
        <f>$K$58*$Y$58</f>
        <v>0</v>
      </c>
      <c r="AF58" s="4">
        <f ca="1">$M$58*$Z$58</f>
        <v>24783.847383571032</v>
      </c>
      <c r="AG58" s="4">
        <f>$O$58*$AA$58</f>
        <v>1321.7503235304293</v>
      </c>
    </row>
    <row r="59" spans="1:33" ht="11.25" customHeight="1" x14ac:dyDescent="0.25">
      <c r="A59" s="3" t="s">
        <v>21</v>
      </c>
      <c r="B59" s="3" t="s">
        <v>33</v>
      </c>
      <c r="C59" s="3" t="s">
        <v>34</v>
      </c>
      <c r="D59" s="3" t="s">
        <v>42</v>
      </c>
      <c r="E59" s="3" t="s">
        <v>25</v>
      </c>
      <c r="F59" s="3" t="s">
        <v>25</v>
      </c>
      <c r="G59" s="3" t="s">
        <v>25</v>
      </c>
      <c r="H59" s="3" t="s">
        <v>35</v>
      </c>
      <c r="I59" s="6">
        <v>44562</v>
      </c>
      <c r="J59" s="4">
        <v>0</v>
      </c>
      <c r="K59" s="4">
        <v>0</v>
      </c>
      <c r="L59" s="4">
        <v>4.8650000000000002</v>
      </c>
      <c r="M59" s="4">
        <v>4.8650000000000002</v>
      </c>
      <c r="N59" s="4">
        <v>4.8650000000000002</v>
      </c>
      <c r="O59" s="4">
        <v>4.8650000000000002</v>
      </c>
      <c r="P59" s="4">
        <v>0</v>
      </c>
      <c r="Q59" s="3" t="s">
        <v>26</v>
      </c>
      <c r="R59" s="3">
        <v>0</v>
      </c>
      <c r="S59" s="4">
        <v>0</v>
      </c>
      <c r="T59" s="4">
        <v>23</v>
      </c>
      <c r="U59" s="4">
        <v>82</v>
      </c>
      <c r="V59" s="4">
        <f>IF(ISERROR(VLOOKUP($S$59,'TAR FIN'!$A$1:$O$85,15,0)),0,VLOOKUP($S$59,'TAR FIN'!$A$1:$O$85,15,0))</f>
        <v>0</v>
      </c>
      <c r="W59" s="4">
        <f>IF(ISERROR(VLOOKUP($T$59,'TAR FIN'!$A$1:$O$85,15,0)),0,VLOOKUP($T$59,'TAR FIN'!$A$1:$O$85,15,0))</f>
        <v>4048.87</v>
      </c>
      <c r="X59" s="4">
        <f>IF(ISERROR(VLOOKUP($U$59,'TAR FIN'!$A$1:$O$85,15,0)),0,VLOOKUP($U$59,'TAR FIN'!$A$1:$O$85,15,0))</f>
        <v>231.33</v>
      </c>
      <c r="Y59" s="4"/>
      <c r="Z59" s="4">
        <f ca="1">('TUSD BE'!$AM$11+'TUSD BF'!$AM$11+'TUSD CVA'!$AM$11)*1</f>
        <v>4890.261914674632</v>
      </c>
      <c r="AA59" s="4">
        <f>('TE BE'!$AA$5+'TE BF'!$AA$5+'TE CVA'!$AA$5)*1</f>
        <v>260.80314197522284</v>
      </c>
      <c r="AB59" s="4">
        <f>$K$59*$V$59</f>
        <v>0</v>
      </c>
      <c r="AC59" s="4">
        <f>$M$59*$W$59</f>
        <v>19697.752550000001</v>
      </c>
      <c r="AD59" s="4">
        <f>$O$59*$X$59</f>
        <v>1125.4204500000001</v>
      </c>
      <c r="AE59" s="4">
        <f>$K$59*$Y$59</f>
        <v>0</v>
      </c>
      <c r="AF59" s="4">
        <f ca="1">$M$59*$Z$59</f>
        <v>23791.124214892086</v>
      </c>
      <c r="AG59" s="4">
        <f>$O$59*$AA$59</f>
        <v>1268.8072857094592</v>
      </c>
    </row>
    <row r="60" spans="1:33" ht="11.25" customHeight="1" x14ac:dyDescent="0.25">
      <c r="A60" s="3" t="s">
        <v>21</v>
      </c>
      <c r="B60" s="3" t="s">
        <v>33</v>
      </c>
      <c r="C60" s="3" t="s">
        <v>34</v>
      </c>
      <c r="D60" s="3" t="s">
        <v>42</v>
      </c>
      <c r="E60" s="3" t="s">
        <v>25</v>
      </c>
      <c r="F60" s="3" t="s">
        <v>25</v>
      </c>
      <c r="G60" s="3" t="s">
        <v>25</v>
      </c>
      <c r="H60" s="3" t="s">
        <v>35</v>
      </c>
      <c r="I60" s="6">
        <v>44593</v>
      </c>
      <c r="J60" s="4">
        <v>0</v>
      </c>
      <c r="K60" s="4">
        <v>0</v>
      </c>
      <c r="L60" s="4">
        <v>4.78</v>
      </c>
      <c r="M60" s="4">
        <v>4.78</v>
      </c>
      <c r="N60" s="4">
        <v>4.78</v>
      </c>
      <c r="O60" s="4">
        <v>4.78</v>
      </c>
      <c r="P60" s="4">
        <v>0</v>
      </c>
      <c r="Q60" s="3" t="s">
        <v>26</v>
      </c>
      <c r="R60" s="3">
        <v>0</v>
      </c>
      <c r="S60" s="4">
        <v>0</v>
      </c>
      <c r="T60" s="4">
        <v>23</v>
      </c>
      <c r="U60" s="4">
        <v>82</v>
      </c>
      <c r="V60" s="4">
        <f>IF(ISERROR(VLOOKUP($S$60,'TAR FIN'!$A$1:$O$85,15,0)),0,VLOOKUP($S$60,'TAR FIN'!$A$1:$O$85,15,0))</f>
        <v>0</v>
      </c>
      <c r="W60" s="4">
        <f>IF(ISERROR(VLOOKUP($T$60,'TAR FIN'!$A$1:$O$85,15,0)),0,VLOOKUP($T$60,'TAR FIN'!$A$1:$O$85,15,0))</f>
        <v>4048.87</v>
      </c>
      <c r="X60" s="4">
        <f>IF(ISERROR(VLOOKUP($U$60,'TAR FIN'!$A$1:$O$85,15,0)),0,VLOOKUP($U$60,'TAR FIN'!$A$1:$O$85,15,0))</f>
        <v>231.33</v>
      </c>
      <c r="Y60" s="4"/>
      <c r="Z60" s="4">
        <f ca="1">('TUSD BE'!$AM$11+'TUSD BF'!$AM$11+'TUSD CVA'!$AM$11)*1</f>
        <v>4890.261914674632</v>
      </c>
      <c r="AA60" s="4">
        <f>('TE BE'!$AA$5+'TE BF'!$AA$5+'TE CVA'!$AA$5)*1</f>
        <v>260.80314197522284</v>
      </c>
      <c r="AB60" s="4">
        <f>$K$60*$V$60</f>
        <v>0</v>
      </c>
      <c r="AC60" s="4">
        <f>$M$60*$W$60</f>
        <v>19353.598600000001</v>
      </c>
      <c r="AD60" s="4">
        <f>$O$60*$X$60</f>
        <v>1105.7574000000002</v>
      </c>
      <c r="AE60" s="4">
        <f>$K$60*$Y$60</f>
        <v>0</v>
      </c>
      <c r="AF60" s="4">
        <f ca="1">$M$60*$Z$60</f>
        <v>23375.451952144744</v>
      </c>
      <c r="AG60" s="4">
        <f>$O$60*$AA$60</f>
        <v>1246.6390186415651</v>
      </c>
    </row>
    <row r="61" spans="1:33" ht="11.25" customHeight="1" x14ac:dyDescent="0.25">
      <c r="A61" s="3" t="s">
        <v>21</v>
      </c>
      <c r="B61" s="3" t="s">
        <v>33</v>
      </c>
      <c r="C61" s="3" t="s">
        <v>34</v>
      </c>
      <c r="D61" s="3" t="s">
        <v>42</v>
      </c>
      <c r="E61" s="3" t="s">
        <v>25</v>
      </c>
      <c r="F61" s="3" t="s">
        <v>25</v>
      </c>
      <c r="G61" s="3" t="s">
        <v>25</v>
      </c>
      <c r="H61" s="3" t="s">
        <v>35</v>
      </c>
      <c r="I61" s="6">
        <v>44621</v>
      </c>
      <c r="J61" s="4">
        <v>0</v>
      </c>
      <c r="K61" s="4">
        <v>0</v>
      </c>
      <c r="L61" s="4">
        <v>4.2210000000000001</v>
      </c>
      <c r="M61" s="4">
        <v>4.2210000000000001</v>
      </c>
      <c r="N61" s="4">
        <v>4.2210000000000001</v>
      </c>
      <c r="O61" s="4">
        <v>4.2210000000000001</v>
      </c>
      <c r="P61" s="4">
        <v>0</v>
      </c>
      <c r="Q61" s="3" t="s">
        <v>26</v>
      </c>
      <c r="R61" s="3">
        <v>0</v>
      </c>
      <c r="S61" s="4">
        <v>0</v>
      </c>
      <c r="T61" s="4">
        <v>23</v>
      </c>
      <c r="U61" s="4">
        <v>82</v>
      </c>
      <c r="V61" s="4">
        <f>IF(ISERROR(VLOOKUP($S$61,'TAR FIN'!$A$1:$O$85,15,0)),0,VLOOKUP($S$61,'TAR FIN'!$A$1:$O$85,15,0))</f>
        <v>0</v>
      </c>
      <c r="W61" s="4">
        <f>IF(ISERROR(VLOOKUP($T$61,'TAR FIN'!$A$1:$O$85,15,0)),0,VLOOKUP($T$61,'TAR FIN'!$A$1:$O$85,15,0))</f>
        <v>4048.87</v>
      </c>
      <c r="X61" s="4">
        <f>IF(ISERROR(VLOOKUP($U$61,'TAR FIN'!$A$1:$O$85,15,0)),0,VLOOKUP($U$61,'TAR FIN'!$A$1:$O$85,15,0))</f>
        <v>231.33</v>
      </c>
      <c r="Y61" s="4"/>
      <c r="Z61" s="4">
        <f ca="1">('TUSD BE'!$AM$11+'TUSD BF'!$AM$11+'TUSD CVA'!$AM$11)*1</f>
        <v>4890.261914674632</v>
      </c>
      <c r="AA61" s="4">
        <f>('TE BE'!$AA$5+'TE BF'!$AA$5+'TE CVA'!$AA$5)*1</f>
        <v>260.80314197522284</v>
      </c>
      <c r="AB61" s="4">
        <f>$K$61*$V$61</f>
        <v>0</v>
      </c>
      <c r="AC61" s="4">
        <f>$M$61*$W$61</f>
        <v>17090.280269999999</v>
      </c>
      <c r="AD61" s="4">
        <f>$O$61*$X$61</f>
        <v>976.44393000000002</v>
      </c>
      <c r="AE61" s="4">
        <f>$K$61*$Y$61</f>
        <v>0</v>
      </c>
      <c r="AF61" s="4">
        <f ca="1">$M$61*$Z$61</f>
        <v>20641.79554184162</v>
      </c>
      <c r="AG61" s="4">
        <f>$O$61*$AA$61</f>
        <v>1100.8500622774156</v>
      </c>
    </row>
    <row r="62" spans="1:33" ht="11.25" customHeight="1" x14ac:dyDescent="0.25">
      <c r="A62" s="3" t="s">
        <v>21</v>
      </c>
      <c r="B62" s="3" t="s">
        <v>33</v>
      </c>
      <c r="C62" s="3" t="s">
        <v>34</v>
      </c>
      <c r="D62" s="3" t="s">
        <v>40</v>
      </c>
      <c r="E62" s="3" t="s">
        <v>25</v>
      </c>
      <c r="F62" s="3" t="s">
        <v>25</v>
      </c>
      <c r="G62" s="3" t="s">
        <v>25</v>
      </c>
      <c r="H62" s="3" t="s">
        <v>36</v>
      </c>
      <c r="I62" s="6">
        <v>44287</v>
      </c>
      <c r="J62" s="4">
        <v>0</v>
      </c>
      <c r="K62" s="4">
        <v>0</v>
      </c>
      <c r="L62" s="4">
        <v>235.77799999999999</v>
      </c>
      <c r="M62" s="4">
        <v>235.77799999999999</v>
      </c>
      <c r="N62" s="4">
        <v>235.77799999999999</v>
      </c>
      <c r="O62" s="4">
        <v>235.77799999999999</v>
      </c>
      <c r="P62" s="4">
        <v>0</v>
      </c>
      <c r="Q62" s="3" t="s">
        <v>26</v>
      </c>
      <c r="R62" s="3">
        <v>0</v>
      </c>
      <c r="S62" s="4">
        <v>0</v>
      </c>
      <c r="T62" s="4">
        <v>24</v>
      </c>
      <c r="U62" s="4">
        <v>83</v>
      </c>
      <c r="V62" s="4">
        <f>IF(ISERROR(VLOOKUP($S$62,'TAR FIN'!$A$1:$O$85,15,0)),0,VLOOKUP($S$62,'TAR FIN'!$A$1:$O$85,15,0))</f>
        <v>0</v>
      </c>
      <c r="W62" s="4">
        <f>IF(ISERROR(VLOOKUP($T$62,'TAR FIN'!$A$1:$O$85,15,0)),0,VLOOKUP($T$62,'TAR FIN'!$A$1:$O$85,15,0))</f>
        <v>103.26</v>
      </c>
      <c r="X62" s="4">
        <f>IF(ISERROR(VLOOKUP($U$62,'TAR FIN'!$A$1:$O$85,15,0)),0,VLOOKUP($U$62,'TAR FIN'!$A$1:$O$85,15,0))</f>
        <v>231.33</v>
      </c>
      <c r="Y62" s="4"/>
      <c r="Z62" s="4">
        <f ca="1">('TUSD BE'!$AM$12+'TUSD BF'!$AM$12+'TUSD CVA'!$AM$12)*1</f>
        <v>136.85799051957201</v>
      </c>
      <c r="AA62" s="4">
        <f>('TE BE'!$AA$6+'TE BF'!$AA$6+'TE CVA'!$AA$6)*1</f>
        <v>260.80314197522284</v>
      </c>
      <c r="AB62" s="4">
        <f>$K$62*$V$62</f>
        <v>0</v>
      </c>
      <c r="AC62" s="4">
        <f>$M$62*$W$62</f>
        <v>24346.436280000002</v>
      </c>
      <c r="AD62" s="4">
        <f>$O$62*$X$62</f>
        <v>54542.524740000001</v>
      </c>
      <c r="AE62" s="4">
        <f>$K$62*$Y$62</f>
        <v>0</v>
      </c>
      <c r="AF62" s="4">
        <f ca="1">$M$62*$Z$62</f>
        <v>32268.103288723651</v>
      </c>
      <c r="AG62" s="4">
        <f>$O$62*$AA$62</f>
        <v>61491.643208634086</v>
      </c>
    </row>
    <row r="63" spans="1:33" ht="11.25" customHeight="1" x14ac:dyDescent="0.25">
      <c r="A63" s="3" t="s">
        <v>21</v>
      </c>
      <c r="B63" s="3" t="s">
        <v>33</v>
      </c>
      <c r="C63" s="3" t="s">
        <v>34</v>
      </c>
      <c r="D63" s="3" t="s">
        <v>40</v>
      </c>
      <c r="E63" s="3" t="s">
        <v>25</v>
      </c>
      <c r="F63" s="3" t="s">
        <v>25</v>
      </c>
      <c r="G63" s="3" t="s">
        <v>25</v>
      </c>
      <c r="H63" s="3" t="s">
        <v>36</v>
      </c>
      <c r="I63" s="6">
        <v>44317</v>
      </c>
      <c r="J63" s="4">
        <v>0</v>
      </c>
      <c r="K63" s="4">
        <v>0</v>
      </c>
      <c r="L63" s="4">
        <v>159.27199999999999</v>
      </c>
      <c r="M63" s="4">
        <v>159.27199999999999</v>
      </c>
      <c r="N63" s="4">
        <v>159.27199999999999</v>
      </c>
      <c r="O63" s="4">
        <v>159.27199999999999</v>
      </c>
      <c r="P63" s="4">
        <v>0</v>
      </c>
      <c r="Q63" s="3" t="s">
        <v>26</v>
      </c>
      <c r="R63" s="3">
        <v>0</v>
      </c>
      <c r="S63" s="4">
        <v>0</v>
      </c>
      <c r="T63" s="4">
        <v>24</v>
      </c>
      <c r="U63" s="4">
        <v>83</v>
      </c>
      <c r="V63" s="4">
        <f>IF(ISERROR(VLOOKUP($S$63,'TAR FIN'!$A$1:$O$85,15,0)),0,VLOOKUP($S$63,'TAR FIN'!$A$1:$O$85,15,0))</f>
        <v>0</v>
      </c>
      <c r="W63" s="4">
        <f>IF(ISERROR(VLOOKUP($T$63,'TAR FIN'!$A$1:$O$85,15,0)),0,VLOOKUP($T$63,'TAR FIN'!$A$1:$O$85,15,0))</f>
        <v>103.26</v>
      </c>
      <c r="X63" s="4">
        <f>IF(ISERROR(VLOOKUP($U$63,'TAR FIN'!$A$1:$O$85,15,0)),0,VLOOKUP($U$63,'TAR FIN'!$A$1:$O$85,15,0))</f>
        <v>231.33</v>
      </c>
      <c r="Y63" s="4"/>
      <c r="Z63" s="4">
        <f ca="1">('TUSD BE'!$AM$12+'TUSD BF'!$AM$12+'TUSD CVA'!$AM$12)*1</f>
        <v>136.85799051957201</v>
      </c>
      <c r="AA63" s="4">
        <f>('TE BE'!$AA$6+'TE BF'!$AA$6+'TE CVA'!$AA$6)*1</f>
        <v>260.80314197522284</v>
      </c>
      <c r="AB63" s="4">
        <f>$K$63*$V$63</f>
        <v>0</v>
      </c>
      <c r="AC63" s="4">
        <f>$M$63*$W$63</f>
        <v>16446.426719999999</v>
      </c>
      <c r="AD63" s="4">
        <f>$O$63*$X$63</f>
        <v>36844.391759999999</v>
      </c>
      <c r="AE63" s="4">
        <f>$K$63*$Y$63</f>
        <v>0</v>
      </c>
      <c r="AF63" s="4">
        <f ca="1">$M$63*$Z$63</f>
        <v>21797.645866033272</v>
      </c>
      <c r="AG63" s="4">
        <f>$O$63*$AA$63</f>
        <v>41538.638028677691</v>
      </c>
    </row>
    <row r="64" spans="1:33" ht="11.25" customHeight="1" x14ac:dyDescent="0.25">
      <c r="A64" s="3" t="s">
        <v>21</v>
      </c>
      <c r="B64" s="3" t="s">
        <v>33</v>
      </c>
      <c r="C64" s="3" t="s">
        <v>34</v>
      </c>
      <c r="D64" s="3" t="s">
        <v>40</v>
      </c>
      <c r="E64" s="3" t="s">
        <v>25</v>
      </c>
      <c r="F64" s="3" t="s">
        <v>25</v>
      </c>
      <c r="G64" s="3" t="s">
        <v>25</v>
      </c>
      <c r="H64" s="3" t="s">
        <v>36</v>
      </c>
      <c r="I64" s="6">
        <v>44348</v>
      </c>
      <c r="J64" s="4">
        <v>0</v>
      </c>
      <c r="K64" s="4">
        <v>0</v>
      </c>
      <c r="L64" s="4">
        <v>187.75</v>
      </c>
      <c r="M64" s="4">
        <v>187.75</v>
      </c>
      <c r="N64" s="4">
        <v>187.75</v>
      </c>
      <c r="O64" s="4">
        <v>187.75</v>
      </c>
      <c r="P64" s="4">
        <v>0</v>
      </c>
      <c r="Q64" s="3" t="s">
        <v>26</v>
      </c>
      <c r="R64" s="3">
        <v>0</v>
      </c>
      <c r="S64" s="4">
        <v>0</v>
      </c>
      <c r="T64" s="4">
        <v>24</v>
      </c>
      <c r="U64" s="4">
        <v>83</v>
      </c>
      <c r="V64" s="4">
        <f>IF(ISERROR(VLOOKUP($S$64,'TAR FIN'!$A$1:$O$85,15,0)),0,VLOOKUP($S$64,'TAR FIN'!$A$1:$O$85,15,0))</f>
        <v>0</v>
      </c>
      <c r="W64" s="4">
        <f>IF(ISERROR(VLOOKUP($T$64,'TAR FIN'!$A$1:$O$85,15,0)),0,VLOOKUP($T$64,'TAR FIN'!$A$1:$O$85,15,0))</f>
        <v>103.26</v>
      </c>
      <c r="X64" s="4">
        <f>IF(ISERROR(VLOOKUP($U$64,'TAR FIN'!$A$1:$O$85,15,0)),0,VLOOKUP($U$64,'TAR FIN'!$A$1:$O$85,15,0))</f>
        <v>231.33</v>
      </c>
      <c r="Y64" s="4"/>
      <c r="Z64" s="4">
        <f ca="1">('TUSD BE'!$AM$12+'TUSD BF'!$AM$12+'TUSD CVA'!$AM$12)*1</f>
        <v>136.85799051957201</v>
      </c>
      <c r="AA64" s="4">
        <f>('TE BE'!$AA$6+'TE BF'!$AA$6+'TE CVA'!$AA$6)*1</f>
        <v>260.80314197522284</v>
      </c>
      <c r="AB64" s="4">
        <f>$K$64*$V$64</f>
        <v>0</v>
      </c>
      <c r="AC64" s="4">
        <f>$M$64*$W$64</f>
        <v>19387.065000000002</v>
      </c>
      <c r="AD64" s="4">
        <f>$O$64*$X$64</f>
        <v>43432.207500000004</v>
      </c>
      <c r="AE64" s="4">
        <f>$K$64*$Y$64</f>
        <v>0</v>
      </c>
      <c r="AF64" s="4">
        <f ca="1">$M$64*$Z$64</f>
        <v>25695.087720049647</v>
      </c>
      <c r="AG64" s="4">
        <f>$O$64*$AA$64</f>
        <v>48965.789905848091</v>
      </c>
    </row>
    <row r="65" spans="1:33" ht="11.25" customHeight="1" x14ac:dyDescent="0.25">
      <c r="A65" s="3" t="s">
        <v>21</v>
      </c>
      <c r="B65" s="3" t="s">
        <v>33</v>
      </c>
      <c r="C65" s="3" t="s">
        <v>34</v>
      </c>
      <c r="D65" s="3" t="s">
        <v>40</v>
      </c>
      <c r="E65" s="3" t="s">
        <v>25</v>
      </c>
      <c r="F65" s="3" t="s">
        <v>25</v>
      </c>
      <c r="G65" s="3" t="s">
        <v>25</v>
      </c>
      <c r="H65" s="3" t="s">
        <v>36</v>
      </c>
      <c r="I65" s="6">
        <v>44378</v>
      </c>
      <c r="J65" s="4">
        <v>0</v>
      </c>
      <c r="K65" s="4">
        <v>0</v>
      </c>
      <c r="L65" s="4">
        <v>176.40700000000001</v>
      </c>
      <c r="M65" s="4">
        <v>176.40700000000001</v>
      </c>
      <c r="N65" s="4">
        <v>176.40700000000001</v>
      </c>
      <c r="O65" s="4">
        <v>176.40700000000001</v>
      </c>
      <c r="P65" s="4">
        <v>0</v>
      </c>
      <c r="Q65" s="3" t="s">
        <v>26</v>
      </c>
      <c r="R65" s="3">
        <v>0</v>
      </c>
      <c r="S65" s="4">
        <v>0</v>
      </c>
      <c r="T65" s="4">
        <v>24</v>
      </c>
      <c r="U65" s="4">
        <v>83</v>
      </c>
      <c r="V65" s="4">
        <f>IF(ISERROR(VLOOKUP($S$65,'TAR FIN'!$A$1:$O$85,15,0)),0,VLOOKUP($S$65,'TAR FIN'!$A$1:$O$85,15,0))</f>
        <v>0</v>
      </c>
      <c r="W65" s="4">
        <f>IF(ISERROR(VLOOKUP($T$65,'TAR FIN'!$A$1:$O$85,15,0)),0,VLOOKUP($T$65,'TAR FIN'!$A$1:$O$85,15,0))</f>
        <v>103.26</v>
      </c>
      <c r="X65" s="4">
        <f>IF(ISERROR(VLOOKUP($U$65,'TAR FIN'!$A$1:$O$85,15,0)),0,VLOOKUP($U$65,'TAR FIN'!$A$1:$O$85,15,0))</f>
        <v>231.33</v>
      </c>
      <c r="Y65" s="4"/>
      <c r="Z65" s="4">
        <f ca="1">('TUSD BE'!$AM$12+'TUSD BF'!$AM$12+'TUSD CVA'!$AM$12)*1</f>
        <v>136.85799051957201</v>
      </c>
      <c r="AA65" s="4">
        <f>('TE BE'!$AA$6+'TE BF'!$AA$6+'TE CVA'!$AA$6)*1</f>
        <v>260.80314197522284</v>
      </c>
      <c r="AB65" s="4">
        <f>$K$65*$V$65</f>
        <v>0</v>
      </c>
      <c r="AC65" s="4">
        <f>$M$65*$W$65</f>
        <v>18215.786820000001</v>
      </c>
      <c r="AD65" s="4">
        <f>$O$65*$X$65</f>
        <v>40808.231310000003</v>
      </c>
      <c r="AE65" s="4">
        <f>$K$65*$Y$65</f>
        <v>0</v>
      </c>
      <c r="AF65" s="4">
        <f ca="1">$M$65*$Z$65</f>
        <v>24142.707533586141</v>
      </c>
      <c r="AG65" s="4">
        <f>$O$65*$AA$65</f>
        <v>46007.499866423139</v>
      </c>
    </row>
    <row r="66" spans="1:33" ht="11.25" customHeight="1" x14ac:dyDescent="0.25">
      <c r="A66" s="3" t="s">
        <v>21</v>
      </c>
      <c r="B66" s="3" t="s">
        <v>33</v>
      </c>
      <c r="C66" s="3" t="s">
        <v>34</v>
      </c>
      <c r="D66" s="3" t="s">
        <v>40</v>
      </c>
      <c r="E66" s="3" t="s">
        <v>25</v>
      </c>
      <c r="F66" s="3" t="s">
        <v>25</v>
      </c>
      <c r="G66" s="3" t="s">
        <v>25</v>
      </c>
      <c r="H66" s="3" t="s">
        <v>36</v>
      </c>
      <c r="I66" s="6">
        <v>44409</v>
      </c>
      <c r="J66" s="4">
        <v>0</v>
      </c>
      <c r="K66" s="4">
        <v>0</v>
      </c>
      <c r="L66" s="4">
        <v>200.32300000000001</v>
      </c>
      <c r="M66" s="4">
        <v>200.32300000000001</v>
      </c>
      <c r="N66" s="4">
        <v>200.32300000000001</v>
      </c>
      <c r="O66" s="4">
        <v>200.32300000000001</v>
      </c>
      <c r="P66" s="4">
        <v>0</v>
      </c>
      <c r="Q66" s="3" t="s">
        <v>26</v>
      </c>
      <c r="R66" s="3">
        <v>0</v>
      </c>
      <c r="S66" s="4">
        <v>0</v>
      </c>
      <c r="T66" s="4">
        <v>24</v>
      </c>
      <c r="U66" s="4">
        <v>83</v>
      </c>
      <c r="V66" s="4">
        <f>IF(ISERROR(VLOOKUP($S$66,'TAR FIN'!$A$1:$O$85,15,0)),0,VLOOKUP($S$66,'TAR FIN'!$A$1:$O$85,15,0))</f>
        <v>0</v>
      </c>
      <c r="W66" s="4">
        <f>IF(ISERROR(VLOOKUP($T$66,'TAR FIN'!$A$1:$O$85,15,0)),0,VLOOKUP($T$66,'TAR FIN'!$A$1:$O$85,15,0))</f>
        <v>103.26</v>
      </c>
      <c r="X66" s="4">
        <f>IF(ISERROR(VLOOKUP($U$66,'TAR FIN'!$A$1:$O$85,15,0)),0,VLOOKUP($U$66,'TAR FIN'!$A$1:$O$85,15,0))</f>
        <v>231.33</v>
      </c>
      <c r="Y66" s="4"/>
      <c r="Z66" s="4">
        <f ca="1">('TUSD BE'!$AM$12+'TUSD BF'!$AM$12+'TUSD CVA'!$AM$12)*1</f>
        <v>136.85799051957201</v>
      </c>
      <c r="AA66" s="4">
        <f>('TE BE'!$AA$6+'TE BF'!$AA$6+'TE CVA'!$AA$6)*1</f>
        <v>260.80314197522284</v>
      </c>
      <c r="AB66" s="4">
        <f>$K$66*$V$66</f>
        <v>0</v>
      </c>
      <c r="AC66" s="4">
        <f>$M$66*$W$66</f>
        <v>20685.352980000003</v>
      </c>
      <c r="AD66" s="4">
        <f>$O$66*$X$66</f>
        <v>46340.719590000001</v>
      </c>
      <c r="AE66" s="4">
        <f>$K$66*$Y$66</f>
        <v>0</v>
      </c>
      <c r="AF66" s="4">
        <f ca="1">$M$66*$Z$66</f>
        <v>27415.803234852225</v>
      </c>
      <c r="AG66" s="4">
        <f>$O$66*$AA$66</f>
        <v>52244.867809902571</v>
      </c>
    </row>
    <row r="67" spans="1:33" ht="11.25" customHeight="1" x14ac:dyDescent="0.25">
      <c r="A67" s="3" t="s">
        <v>21</v>
      </c>
      <c r="B67" s="3" t="s">
        <v>33</v>
      </c>
      <c r="C67" s="3" t="s">
        <v>34</v>
      </c>
      <c r="D67" s="3" t="s">
        <v>40</v>
      </c>
      <c r="E67" s="3" t="s">
        <v>25</v>
      </c>
      <c r="F67" s="3" t="s">
        <v>25</v>
      </c>
      <c r="G67" s="3" t="s">
        <v>25</v>
      </c>
      <c r="H67" s="3" t="s">
        <v>36</v>
      </c>
      <c r="I67" s="6">
        <v>44440</v>
      </c>
      <c r="J67" s="4">
        <v>0</v>
      </c>
      <c r="K67" s="4">
        <v>0</v>
      </c>
      <c r="L67" s="4">
        <v>206.32599999999999</v>
      </c>
      <c r="M67" s="4">
        <v>206.32599999999999</v>
      </c>
      <c r="N67" s="4">
        <v>206.32599999999999</v>
      </c>
      <c r="O67" s="4">
        <v>206.32599999999999</v>
      </c>
      <c r="P67" s="4">
        <v>0</v>
      </c>
      <c r="Q67" s="3" t="s">
        <v>26</v>
      </c>
      <c r="R67" s="3">
        <v>0</v>
      </c>
      <c r="S67" s="4">
        <v>0</v>
      </c>
      <c r="T67" s="4">
        <v>24</v>
      </c>
      <c r="U67" s="4">
        <v>83</v>
      </c>
      <c r="V67" s="4">
        <f>IF(ISERROR(VLOOKUP($S$67,'TAR FIN'!$A$1:$O$85,15,0)),0,VLOOKUP($S$67,'TAR FIN'!$A$1:$O$85,15,0))</f>
        <v>0</v>
      </c>
      <c r="W67" s="4">
        <f>IF(ISERROR(VLOOKUP($T$67,'TAR FIN'!$A$1:$O$85,15,0)),0,VLOOKUP($T$67,'TAR FIN'!$A$1:$O$85,15,0))</f>
        <v>103.26</v>
      </c>
      <c r="X67" s="4">
        <f>IF(ISERROR(VLOOKUP($U$67,'TAR FIN'!$A$1:$O$85,15,0)),0,VLOOKUP($U$67,'TAR FIN'!$A$1:$O$85,15,0))</f>
        <v>231.33</v>
      </c>
      <c r="Y67" s="4"/>
      <c r="Z67" s="4">
        <f ca="1">('TUSD BE'!$AM$12+'TUSD BF'!$AM$12+'TUSD CVA'!$AM$12)*1</f>
        <v>136.85799051957201</v>
      </c>
      <c r="AA67" s="4">
        <f>('TE BE'!$AA$6+'TE BF'!$AA$6+'TE CVA'!$AA$6)*1</f>
        <v>260.80314197522284</v>
      </c>
      <c r="AB67" s="4">
        <f>$K$67*$V$67</f>
        <v>0</v>
      </c>
      <c r="AC67" s="4">
        <f>$M$67*$W$67</f>
        <v>21305.222760000001</v>
      </c>
      <c r="AD67" s="4">
        <f>$O$67*$X$67</f>
        <v>47729.393580000004</v>
      </c>
      <c r="AE67" s="4">
        <f>$K$67*$Y$67</f>
        <v>0</v>
      </c>
      <c r="AF67" s="4">
        <f ca="1">$M$67*$Z$67</f>
        <v>28237.361751941215</v>
      </c>
      <c r="AG67" s="4">
        <f>$O$67*$AA$67</f>
        <v>53810.469071179825</v>
      </c>
    </row>
    <row r="68" spans="1:33" ht="11.25" customHeight="1" x14ac:dyDescent="0.25">
      <c r="A68" s="3" t="s">
        <v>21</v>
      </c>
      <c r="B68" s="3" t="s">
        <v>33</v>
      </c>
      <c r="C68" s="3" t="s">
        <v>34</v>
      </c>
      <c r="D68" s="3" t="s">
        <v>40</v>
      </c>
      <c r="E68" s="3" t="s">
        <v>25</v>
      </c>
      <c r="F68" s="3" t="s">
        <v>25</v>
      </c>
      <c r="G68" s="3" t="s">
        <v>25</v>
      </c>
      <c r="H68" s="3" t="s">
        <v>36</v>
      </c>
      <c r="I68" s="6">
        <v>44470</v>
      </c>
      <c r="J68" s="4">
        <v>0</v>
      </c>
      <c r="K68" s="4">
        <v>0</v>
      </c>
      <c r="L68" s="4">
        <v>193.61699999999999</v>
      </c>
      <c r="M68" s="4">
        <v>193.61699999999999</v>
      </c>
      <c r="N68" s="4">
        <v>193.61699999999999</v>
      </c>
      <c r="O68" s="4">
        <v>193.61699999999999</v>
      </c>
      <c r="P68" s="4">
        <v>0</v>
      </c>
      <c r="Q68" s="3" t="s">
        <v>26</v>
      </c>
      <c r="R68" s="3">
        <v>0</v>
      </c>
      <c r="S68" s="4">
        <v>0</v>
      </c>
      <c r="T68" s="4">
        <v>24</v>
      </c>
      <c r="U68" s="4">
        <v>83</v>
      </c>
      <c r="V68" s="4">
        <f>IF(ISERROR(VLOOKUP($S$68,'TAR FIN'!$A$1:$O$85,15,0)),0,VLOOKUP($S$68,'TAR FIN'!$A$1:$O$85,15,0))</f>
        <v>0</v>
      </c>
      <c r="W68" s="4">
        <f>IF(ISERROR(VLOOKUP($T$68,'TAR FIN'!$A$1:$O$85,15,0)),0,VLOOKUP($T$68,'TAR FIN'!$A$1:$O$85,15,0))</f>
        <v>103.26</v>
      </c>
      <c r="X68" s="4">
        <f>IF(ISERROR(VLOOKUP($U$68,'TAR FIN'!$A$1:$O$85,15,0)),0,VLOOKUP($U$68,'TAR FIN'!$A$1:$O$85,15,0))</f>
        <v>231.33</v>
      </c>
      <c r="Y68" s="4"/>
      <c r="Z68" s="4">
        <f ca="1">('TUSD BE'!$AM$12+'TUSD BF'!$AM$12+'TUSD CVA'!$AM$12)*1</f>
        <v>136.85799051957201</v>
      </c>
      <c r="AA68" s="4">
        <f>('TE BE'!$AA$6+'TE BF'!$AA$6+'TE CVA'!$AA$6)*1</f>
        <v>260.80314197522284</v>
      </c>
      <c r="AB68" s="4">
        <f>$K$68*$V$68</f>
        <v>0</v>
      </c>
      <c r="AC68" s="4">
        <f>$M$68*$W$68</f>
        <v>19992.89142</v>
      </c>
      <c r="AD68" s="4">
        <f>$O$68*$X$68</f>
        <v>44789.420610000001</v>
      </c>
      <c r="AE68" s="4">
        <f>$K$68*$Y$68</f>
        <v>0</v>
      </c>
      <c r="AF68" s="4">
        <f ca="1">$M$68*$Z$68</f>
        <v>26498.033550427972</v>
      </c>
      <c r="AG68" s="4">
        <f>$O$68*$AA$68</f>
        <v>50495.921939816719</v>
      </c>
    </row>
    <row r="69" spans="1:33" ht="11.25" customHeight="1" x14ac:dyDescent="0.25">
      <c r="A69" s="3" t="s">
        <v>21</v>
      </c>
      <c r="B69" s="3" t="s">
        <v>33</v>
      </c>
      <c r="C69" s="3" t="s">
        <v>34</v>
      </c>
      <c r="D69" s="3" t="s">
        <v>40</v>
      </c>
      <c r="E69" s="3" t="s">
        <v>25</v>
      </c>
      <c r="F69" s="3" t="s">
        <v>25</v>
      </c>
      <c r="G69" s="3" t="s">
        <v>25</v>
      </c>
      <c r="H69" s="3" t="s">
        <v>36</v>
      </c>
      <c r="I69" s="6">
        <v>44501</v>
      </c>
      <c r="J69" s="4">
        <v>0</v>
      </c>
      <c r="K69" s="4">
        <v>0</v>
      </c>
      <c r="L69" s="4">
        <v>195.97399999999999</v>
      </c>
      <c r="M69" s="4">
        <v>195.97399999999999</v>
      </c>
      <c r="N69" s="4">
        <v>195.97399999999999</v>
      </c>
      <c r="O69" s="4">
        <v>195.97399999999999</v>
      </c>
      <c r="P69" s="4">
        <v>0</v>
      </c>
      <c r="Q69" s="3" t="s">
        <v>26</v>
      </c>
      <c r="R69" s="3">
        <v>0</v>
      </c>
      <c r="S69" s="4">
        <v>0</v>
      </c>
      <c r="T69" s="4">
        <v>24</v>
      </c>
      <c r="U69" s="4">
        <v>83</v>
      </c>
      <c r="V69" s="4">
        <f>IF(ISERROR(VLOOKUP($S$69,'TAR FIN'!$A$1:$O$85,15,0)),0,VLOOKUP($S$69,'TAR FIN'!$A$1:$O$85,15,0))</f>
        <v>0</v>
      </c>
      <c r="W69" s="4">
        <f>IF(ISERROR(VLOOKUP($T$69,'TAR FIN'!$A$1:$O$85,15,0)),0,VLOOKUP($T$69,'TAR FIN'!$A$1:$O$85,15,0))</f>
        <v>103.26</v>
      </c>
      <c r="X69" s="4">
        <f>IF(ISERROR(VLOOKUP($U$69,'TAR FIN'!$A$1:$O$85,15,0)),0,VLOOKUP($U$69,'TAR FIN'!$A$1:$O$85,15,0))</f>
        <v>231.33</v>
      </c>
      <c r="Y69" s="4"/>
      <c r="Z69" s="4">
        <f ca="1">('TUSD BE'!$AM$12+'TUSD BF'!$AM$12+'TUSD CVA'!$AM$12)*1</f>
        <v>136.85799051957201</v>
      </c>
      <c r="AA69" s="4">
        <f>('TE BE'!$AA$6+'TE BF'!$AA$6+'TE CVA'!$AA$6)*1</f>
        <v>260.80314197522284</v>
      </c>
      <c r="AB69" s="4">
        <f>$K$69*$V$69</f>
        <v>0</v>
      </c>
      <c r="AC69" s="4">
        <f>$M$69*$W$69</f>
        <v>20236.275239999999</v>
      </c>
      <c r="AD69" s="4">
        <f>$O$69*$X$69</f>
        <v>45334.665419999998</v>
      </c>
      <c r="AE69" s="4">
        <f>$K$69*$Y$69</f>
        <v>0</v>
      </c>
      <c r="AF69" s="4">
        <f ca="1">$M$69*$Z$69</f>
        <v>26820.607834082602</v>
      </c>
      <c r="AG69" s="4">
        <f>$O$69*$AA$69</f>
        <v>51110.634945452315</v>
      </c>
    </row>
    <row r="70" spans="1:33" ht="11.25" customHeight="1" x14ac:dyDescent="0.25">
      <c r="A70" s="3" t="s">
        <v>21</v>
      </c>
      <c r="B70" s="3" t="s">
        <v>33</v>
      </c>
      <c r="C70" s="3" t="s">
        <v>34</v>
      </c>
      <c r="D70" s="3" t="s">
        <v>40</v>
      </c>
      <c r="E70" s="3" t="s">
        <v>25</v>
      </c>
      <c r="F70" s="3" t="s">
        <v>25</v>
      </c>
      <c r="G70" s="3" t="s">
        <v>25</v>
      </c>
      <c r="H70" s="3" t="s">
        <v>36</v>
      </c>
      <c r="I70" s="6">
        <v>44531</v>
      </c>
      <c r="J70" s="4">
        <v>0</v>
      </c>
      <c r="K70" s="4">
        <v>0</v>
      </c>
      <c r="L70" s="4">
        <v>214.75200000000001</v>
      </c>
      <c r="M70" s="4">
        <v>214.75200000000001</v>
      </c>
      <c r="N70" s="4">
        <v>214.75200000000001</v>
      </c>
      <c r="O70" s="4">
        <v>214.75200000000001</v>
      </c>
      <c r="P70" s="4">
        <v>0</v>
      </c>
      <c r="Q70" s="3" t="s">
        <v>26</v>
      </c>
      <c r="R70" s="3">
        <v>0</v>
      </c>
      <c r="S70" s="4">
        <v>0</v>
      </c>
      <c r="T70" s="4">
        <v>24</v>
      </c>
      <c r="U70" s="4">
        <v>83</v>
      </c>
      <c r="V70" s="4">
        <f>IF(ISERROR(VLOOKUP($S$70,'TAR FIN'!$A$1:$O$85,15,0)),0,VLOOKUP($S$70,'TAR FIN'!$A$1:$O$85,15,0))</f>
        <v>0</v>
      </c>
      <c r="W70" s="4">
        <f>IF(ISERROR(VLOOKUP($T$70,'TAR FIN'!$A$1:$O$85,15,0)),0,VLOOKUP($T$70,'TAR FIN'!$A$1:$O$85,15,0))</f>
        <v>103.26</v>
      </c>
      <c r="X70" s="4">
        <f>IF(ISERROR(VLOOKUP($U$70,'TAR FIN'!$A$1:$O$85,15,0)),0,VLOOKUP($U$70,'TAR FIN'!$A$1:$O$85,15,0))</f>
        <v>231.33</v>
      </c>
      <c r="Y70" s="4"/>
      <c r="Z70" s="4">
        <f ca="1">('TUSD BE'!$AM$12+'TUSD BF'!$AM$12+'TUSD CVA'!$AM$12)*1</f>
        <v>136.85799051957201</v>
      </c>
      <c r="AA70" s="4">
        <f>('TE BE'!$AA$6+'TE BF'!$AA$6+'TE CVA'!$AA$6)*1</f>
        <v>260.80314197522284</v>
      </c>
      <c r="AB70" s="4">
        <f>$K$70*$V$70</f>
        <v>0</v>
      </c>
      <c r="AC70" s="4">
        <f>$M$70*$W$70</f>
        <v>22175.291520000002</v>
      </c>
      <c r="AD70" s="4">
        <f>$O$70*$X$70</f>
        <v>49678.580160000005</v>
      </c>
      <c r="AE70" s="4">
        <f>$K$70*$Y$70</f>
        <v>0</v>
      </c>
      <c r="AF70" s="4">
        <f ca="1">$M$70*$Z$70</f>
        <v>29390.527180059129</v>
      </c>
      <c r="AG70" s="4">
        <f>$O$70*$AA$70</f>
        <v>56007.996345463056</v>
      </c>
    </row>
    <row r="71" spans="1:33" ht="11.25" customHeight="1" x14ac:dyDescent="0.25">
      <c r="A71" s="3" t="s">
        <v>21</v>
      </c>
      <c r="B71" s="3" t="s">
        <v>33</v>
      </c>
      <c r="C71" s="3" t="s">
        <v>34</v>
      </c>
      <c r="D71" s="3" t="s">
        <v>40</v>
      </c>
      <c r="E71" s="3" t="s">
        <v>25</v>
      </c>
      <c r="F71" s="3" t="s">
        <v>25</v>
      </c>
      <c r="G71" s="3" t="s">
        <v>25</v>
      </c>
      <c r="H71" s="3" t="s">
        <v>36</v>
      </c>
      <c r="I71" s="6">
        <v>44562</v>
      </c>
      <c r="J71" s="4">
        <v>0</v>
      </c>
      <c r="K71" s="4">
        <v>0</v>
      </c>
      <c r="L71" s="4">
        <v>212.864</v>
      </c>
      <c r="M71" s="4">
        <v>212.864</v>
      </c>
      <c r="N71" s="4">
        <v>212.864</v>
      </c>
      <c r="O71" s="4">
        <v>212.864</v>
      </c>
      <c r="P71" s="4">
        <v>0</v>
      </c>
      <c r="Q71" s="3" t="s">
        <v>26</v>
      </c>
      <c r="R71" s="3">
        <v>0</v>
      </c>
      <c r="S71" s="4">
        <v>0</v>
      </c>
      <c r="T71" s="4">
        <v>24</v>
      </c>
      <c r="U71" s="4">
        <v>83</v>
      </c>
      <c r="V71" s="4">
        <f>IF(ISERROR(VLOOKUP($S$71,'TAR FIN'!$A$1:$O$85,15,0)),0,VLOOKUP($S$71,'TAR FIN'!$A$1:$O$85,15,0))</f>
        <v>0</v>
      </c>
      <c r="W71" s="4">
        <f>IF(ISERROR(VLOOKUP($T$71,'TAR FIN'!$A$1:$O$85,15,0)),0,VLOOKUP($T$71,'TAR FIN'!$A$1:$O$85,15,0))</f>
        <v>103.26</v>
      </c>
      <c r="X71" s="4">
        <f>IF(ISERROR(VLOOKUP($U$71,'TAR FIN'!$A$1:$O$85,15,0)),0,VLOOKUP($U$71,'TAR FIN'!$A$1:$O$85,15,0))</f>
        <v>231.33</v>
      </c>
      <c r="Y71" s="4"/>
      <c r="Z71" s="4">
        <f ca="1">('TUSD BE'!$AM$12+'TUSD BF'!$AM$12+'TUSD CVA'!$AM$12)*1</f>
        <v>136.85799051957201</v>
      </c>
      <c r="AA71" s="4">
        <f>('TE BE'!$AA$6+'TE BF'!$AA$6+'TE CVA'!$AA$6)*1</f>
        <v>260.80314197522284</v>
      </c>
      <c r="AB71" s="4">
        <f>$K$71*$V$71</f>
        <v>0</v>
      </c>
      <c r="AC71" s="4">
        <f>$M$71*$W$71</f>
        <v>21980.336640000001</v>
      </c>
      <c r="AD71" s="4">
        <f>$O$71*$X$71</f>
        <v>49241.829120000002</v>
      </c>
      <c r="AE71" s="4">
        <f>$K$71*$Y$71</f>
        <v>0</v>
      </c>
      <c r="AF71" s="4">
        <f ca="1">$M$71*$Z$71</f>
        <v>29132.139293958178</v>
      </c>
      <c r="AG71" s="4">
        <f>$O$71*$AA$71</f>
        <v>55515.600013413838</v>
      </c>
    </row>
    <row r="72" spans="1:33" ht="11.25" customHeight="1" x14ac:dyDescent="0.25">
      <c r="A72" s="3" t="s">
        <v>21</v>
      </c>
      <c r="B72" s="3" t="s">
        <v>33</v>
      </c>
      <c r="C72" s="3" t="s">
        <v>34</v>
      </c>
      <c r="D72" s="3" t="s">
        <v>40</v>
      </c>
      <c r="E72" s="3" t="s">
        <v>25</v>
      </c>
      <c r="F72" s="3" t="s">
        <v>25</v>
      </c>
      <c r="G72" s="3" t="s">
        <v>25</v>
      </c>
      <c r="H72" s="3" t="s">
        <v>36</v>
      </c>
      <c r="I72" s="6">
        <v>44593</v>
      </c>
      <c r="J72" s="4">
        <v>0</v>
      </c>
      <c r="K72" s="4">
        <v>0</v>
      </c>
      <c r="L72" s="4">
        <v>206.465</v>
      </c>
      <c r="M72" s="4">
        <v>206.465</v>
      </c>
      <c r="N72" s="4">
        <v>206.465</v>
      </c>
      <c r="O72" s="4">
        <v>206.465</v>
      </c>
      <c r="P72" s="4">
        <v>0</v>
      </c>
      <c r="Q72" s="3" t="s">
        <v>26</v>
      </c>
      <c r="R72" s="3">
        <v>0</v>
      </c>
      <c r="S72" s="4">
        <v>0</v>
      </c>
      <c r="T72" s="4">
        <v>24</v>
      </c>
      <c r="U72" s="4">
        <v>83</v>
      </c>
      <c r="V72" s="4">
        <f>IF(ISERROR(VLOOKUP($S$72,'TAR FIN'!$A$1:$O$85,15,0)),0,VLOOKUP($S$72,'TAR FIN'!$A$1:$O$85,15,0))</f>
        <v>0</v>
      </c>
      <c r="W72" s="4">
        <f>IF(ISERROR(VLOOKUP($T$72,'TAR FIN'!$A$1:$O$85,15,0)),0,VLOOKUP($T$72,'TAR FIN'!$A$1:$O$85,15,0))</f>
        <v>103.26</v>
      </c>
      <c r="X72" s="4">
        <f>IF(ISERROR(VLOOKUP($U$72,'TAR FIN'!$A$1:$O$85,15,0)),0,VLOOKUP($U$72,'TAR FIN'!$A$1:$O$85,15,0))</f>
        <v>231.33</v>
      </c>
      <c r="Y72" s="4"/>
      <c r="Z72" s="4">
        <f ca="1">('TUSD BE'!$AM$12+'TUSD BF'!$AM$12+'TUSD CVA'!$AM$12)*1</f>
        <v>136.85799051957201</v>
      </c>
      <c r="AA72" s="4">
        <f>('TE BE'!$AA$6+'TE BF'!$AA$6+'TE CVA'!$AA$6)*1</f>
        <v>260.80314197522284</v>
      </c>
      <c r="AB72" s="4">
        <f>$K$72*$V$72</f>
        <v>0</v>
      </c>
      <c r="AC72" s="4">
        <f>$M$72*$W$72</f>
        <v>21319.5759</v>
      </c>
      <c r="AD72" s="4">
        <f>$O$72*$X$72</f>
        <v>47761.548450000002</v>
      </c>
      <c r="AE72" s="4">
        <f>$K$72*$Y$72</f>
        <v>0</v>
      </c>
      <c r="AF72" s="4">
        <f ca="1">$M$72*$Z$72</f>
        <v>28256.385012623436</v>
      </c>
      <c r="AG72" s="4">
        <f>$O$72*$AA$72</f>
        <v>53846.720707914385</v>
      </c>
    </row>
    <row r="73" spans="1:33" ht="11.25" customHeight="1" x14ac:dyDescent="0.25">
      <c r="A73" s="3" t="s">
        <v>21</v>
      </c>
      <c r="B73" s="3" t="s">
        <v>33</v>
      </c>
      <c r="C73" s="3" t="s">
        <v>34</v>
      </c>
      <c r="D73" s="3" t="s">
        <v>40</v>
      </c>
      <c r="E73" s="3" t="s">
        <v>25</v>
      </c>
      <c r="F73" s="3" t="s">
        <v>25</v>
      </c>
      <c r="G73" s="3" t="s">
        <v>25</v>
      </c>
      <c r="H73" s="3" t="s">
        <v>36</v>
      </c>
      <c r="I73" s="6">
        <v>44621</v>
      </c>
      <c r="J73" s="4">
        <v>0</v>
      </c>
      <c r="K73" s="4">
        <v>0</v>
      </c>
      <c r="L73" s="4">
        <v>229.244</v>
      </c>
      <c r="M73" s="4">
        <v>229.244</v>
      </c>
      <c r="N73" s="4">
        <v>229.244</v>
      </c>
      <c r="O73" s="4">
        <v>229.244</v>
      </c>
      <c r="P73" s="4">
        <v>0</v>
      </c>
      <c r="Q73" s="3" t="s">
        <v>26</v>
      </c>
      <c r="R73" s="3">
        <v>0</v>
      </c>
      <c r="S73" s="4">
        <v>0</v>
      </c>
      <c r="T73" s="4">
        <v>24</v>
      </c>
      <c r="U73" s="4">
        <v>83</v>
      </c>
      <c r="V73" s="4">
        <f>IF(ISERROR(VLOOKUP($S$73,'TAR FIN'!$A$1:$O$85,15,0)),0,VLOOKUP($S$73,'TAR FIN'!$A$1:$O$85,15,0))</f>
        <v>0</v>
      </c>
      <c r="W73" s="4">
        <f>IF(ISERROR(VLOOKUP($T$73,'TAR FIN'!$A$1:$O$85,15,0)),0,VLOOKUP($T$73,'TAR FIN'!$A$1:$O$85,15,0))</f>
        <v>103.26</v>
      </c>
      <c r="X73" s="4">
        <f>IF(ISERROR(VLOOKUP($U$73,'TAR FIN'!$A$1:$O$85,15,0)),0,VLOOKUP($U$73,'TAR FIN'!$A$1:$O$85,15,0))</f>
        <v>231.33</v>
      </c>
      <c r="Y73" s="4"/>
      <c r="Z73" s="4">
        <f ca="1">('TUSD BE'!$AM$12+'TUSD BF'!$AM$12+'TUSD CVA'!$AM$12)*1</f>
        <v>136.85799051957201</v>
      </c>
      <c r="AA73" s="4">
        <f>('TE BE'!$AA$6+'TE BF'!$AA$6+'TE CVA'!$AA$6)*1</f>
        <v>260.80314197522284</v>
      </c>
      <c r="AB73" s="4">
        <f>$K$73*$V$73</f>
        <v>0</v>
      </c>
      <c r="AC73" s="4">
        <f>$M$73*$W$73</f>
        <v>23671.73544</v>
      </c>
      <c r="AD73" s="4">
        <f>$O$73*$X$73</f>
        <v>53031.014520000004</v>
      </c>
      <c r="AE73" s="4">
        <f>$K$73*$Y$73</f>
        <v>0</v>
      </c>
      <c r="AF73" s="4">
        <f ca="1">$M$73*$Z$73</f>
        <v>31373.873178668768</v>
      </c>
      <c r="AG73" s="4">
        <f>$O$73*$AA$73</f>
        <v>59787.555478967988</v>
      </c>
    </row>
    <row r="74" spans="1:33" ht="11.25" customHeight="1" x14ac:dyDescent="0.25">
      <c r="A74" s="3" t="s">
        <v>21</v>
      </c>
      <c r="B74" s="3" t="s">
        <v>33</v>
      </c>
      <c r="C74" s="3" t="s">
        <v>34</v>
      </c>
      <c r="D74" s="3" t="s">
        <v>40</v>
      </c>
      <c r="E74" s="3" t="s">
        <v>25</v>
      </c>
      <c r="F74" s="3" t="s">
        <v>25</v>
      </c>
      <c r="G74" s="3" t="s">
        <v>25</v>
      </c>
      <c r="H74" s="3" t="s">
        <v>25</v>
      </c>
      <c r="I74" s="6">
        <v>44287</v>
      </c>
      <c r="J74" s="4">
        <v>944</v>
      </c>
      <c r="K74" s="4">
        <v>944</v>
      </c>
      <c r="L74" s="4">
        <v>0</v>
      </c>
      <c r="M74" s="4">
        <v>0</v>
      </c>
      <c r="N74" s="4">
        <v>0</v>
      </c>
      <c r="O74" s="4">
        <v>0</v>
      </c>
      <c r="P74" s="4">
        <v>7</v>
      </c>
      <c r="Q74" s="3" t="s">
        <v>26</v>
      </c>
      <c r="R74" s="3">
        <v>0</v>
      </c>
      <c r="S74" s="4">
        <v>22</v>
      </c>
      <c r="T74" s="4">
        <v>0</v>
      </c>
      <c r="U74" s="4">
        <v>0</v>
      </c>
      <c r="V74" s="4">
        <f>IF(ISERROR(VLOOKUP($S$74,'TAR FIN'!$A$1:$O$85,15,0)),0,VLOOKUP($S$74,'TAR FIN'!$A$1:$O$85,15,0))</f>
        <v>63.83</v>
      </c>
      <c r="W74" s="4">
        <f>IF(ISERROR(VLOOKUP($T$74,'TAR FIN'!$A$1:$O$85,15,0)),0,VLOOKUP($T$74,'TAR FIN'!$A$1:$O$85,15,0))</f>
        <v>0</v>
      </c>
      <c r="X74" s="4">
        <f>IF(ISERROR(VLOOKUP($U$74,'TAR FIN'!$A$1:$O$85,15,0)),0,VLOOKUP($U$74,'TAR FIN'!$A$1:$O$85,15,0))</f>
        <v>0</v>
      </c>
      <c r="Y74" s="4">
        <f ca="1">('TUSD BE'!$AM$10+'TUSD BF'!$AM$10+'TUSD CVA'!$AM$10)*1</f>
        <v>77.970056746860777</v>
      </c>
      <c r="Z74" s="4"/>
      <c r="AA74" s="4"/>
      <c r="AB74" s="4">
        <f>$K$74*$V$74</f>
        <v>60255.519999999997</v>
      </c>
      <c r="AC74" s="4">
        <f>$M$74*$W$74</f>
        <v>0</v>
      </c>
      <c r="AD74" s="4">
        <f>$O$74*$X$74</f>
        <v>0</v>
      </c>
      <c r="AE74" s="4">
        <f ca="1">$K$74*$Y$74</f>
        <v>73603.733569036573</v>
      </c>
      <c r="AF74" s="4">
        <f>$M$74*$Z$74</f>
        <v>0</v>
      </c>
      <c r="AG74" s="4">
        <f>$O$74*$AA$74</f>
        <v>0</v>
      </c>
    </row>
    <row r="75" spans="1:33" ht="11.25" customHeight="1" x14ac:dyDescent="0.25">
      <c r="A75" s="3" t="s">
        <v>21</v>
      </c>
      <c r="B75" s="3" t="s">
        <v>33</v>
      </c>
      <c r="C75" s="3" t="s">
        <v>34</v>
      </c>
      <c r="D75" s="3" t="s">
        <v>40</v>
      </c>
      <c r="E75" s="3" t="s">
        <v>25</v>
      </c>
      <c r="F75" s="3" t="s">
        <v>25</v>
      </c>
      <c r="G75" s="3" t="s">
        <v>25</v>
      </c>
      <c r="H75" s="3" t="s">
        <v>25</v>
      </c>
      <c r="I75" s="6">
        <v>44317</v>
      </c>
      <c r="J75" s="4">
        <v>941</v>
      </c>
      <c r="K75" s="4">
        <v>941</v>
      </c>
      <c r="L75" s="4">
        <v>0</v>
      </c>
      <c r="M75" s="4">
        <v>0</v>
      </c>
      <c r="N75" s="4">
        <v>0</v>
      </c>
      <c r="O75" s="4">
        <v>0</v>
      </c>
      <c r="P75" s="4">
        <v>7</v>
      </c>
      <c r="Q75" s="3" t="s">
        <v>26</v>
      </c>
      <c r="R75" s="3">
        <v>0</v>
      </c>
      <c r="S75" s="4">
        <v>22</v>
      </c>
      <c r="T75" s="4">
        <v>0</v>
      </c>
      <c r="U75" s="4">
        <v>0</v>
      </c>
      <c r="V75" s="4">
        <f>IF(ISERROR(VLOOKUP($S$75,'TAR FIN'!$A$1:$O$85,15,0)),0,VLOOKUP($S$75,'TAR FIN'!$A$1:$O$85,15,0))</f>
        <v>63.83</v>
      </c>
      <c r="W75" s="4">
        <f>IF(ISERROR(VLOOKUP($T$75,'TAR FIN'!$A$1:$O$85,15,0)),0,VLOOKUP($T$75,'TAR FIN'!$A$1:$O$85,15,0))</f>
        <v>0</v>
      </c>
      <c r="X75" s="4">
        <f>IF(ISERROR(VLOOKUP($U$75,'TAR FIN'!$A$1:$O$85,15,0)),0,VLOOKUP($U$75,'TAR FIN'!$A$1:$O$85,15,0))</f>
        <v>0</v>
      </c>
      <c r="Y75" s="4">
        <f ca="1">('TUSD BE'!$AM$10+'TUSD BF'!$AM$10+'TUSD CVA'!$AM$10)*1</f>
        <v>77.970056746860777</v>
      </c>
      <c r="Z75" s="4"/>
      <c r="AA75" s="4"/>
      <c r="AB75" s="4">
        <f>$K$75*$V$75</f>
        <v>60064.03</v>
      </c>
      <c r="AC75" s="4">
        <f>$M$75*$W$75</f>
        <v>0</v>
      </c>
      <c r="AD75" s="4">
        <f>$O$75*$X$75</f>
        <v>0</v>
      </c>
      <c r="AE75" s="4">
        <f ca="1">$K$75*$Y$75</f>
        <v>73369.823398795997</v>
      </c>
      <c r="AF75" s="4">
        <f>$M$75*$Z$75</f>
        <v>0</v>
      </c>
      <c r="AG75" s="4">
        <f>$O$75*$AA$75</f>
        <v>0</v>
      </c>
    </row>
    <row r="76" spans="1:33" ht="11.25" customHeight="1" x14ac:dyDescent="0.25">
      <c r="A76" s="3" t="s">
        <v>21</v>
      </c>
      <c r="B76" s="3" t="s">
        <v>33</v>
      </c>
      <c r="C76" s="3" t="s">
        <v>34</v>
      </c>
      <c r="D76" s="3" t="s">
        <v>40</v>
      </c>
      <c r="E76" s="3" t="s">
        <v>25</v>
      </c>
      <c r="F76" s="3" t="s">
        <v>25</v>
      </c>
      <c r="G76" s="3" t="s">
        <v>25</v>
      </c>
      <c r="H76" s="3" t="s">
        <v>25</v>
      </c>
      <c r="I76" s="6">
        <v>44348</v>
      </c>
      <c r="J76" s="4">
        <v>933</v>
      </c>
      <c r="K76" s="4">
        <v>933</v>
      </c>
      <c r="L76" s="4">
        <v>0</v>
      </c>
      <c r="M76" s="4">
        <v>0</v>
      </c>
      <c r="N76" s="4">
        <v>0</v>
      </c>
      <c r="O76" s="4">
        <v>0</v>
      </c>
      <c r="P76" s="4">
        <v>7</v>
      </c>
      <c r="Q76" s="3" t="s">
        <v>26</v>
      </c>
      <c r="R76" s="3">
        <v>0</v>
      </c>
      <c r="S76" s="4">
        <v>22</v>
      </c>
      <c r="T76" s="4">
        <v>0</v>
      </c>
      <c r="U76" s="4">
        <v>0</v>
      </c>
      <c r="V76" s="4">
        <f>IF(ISERROR(VLOOKUP($S$76,'TAR FIN'!$A$1:$O$85,15,0)),0,VLOOKUP($S$76,'TAR FIN'!$A$1:$O$85,15,0))</f>
        <v>63.83</v>
      </c>
      <c r="W76" s="4">
        <f>IF(ISERROR(VLOOKUP($T$76,'TAR FIN'!$A$1:$O$85,15,0)),0,VLOOKUP($T$76,'TAR FIN'!$A$1:$O$85,15,0))</f>
        <v>0</v>
      </c>
      <c r="X76" s="4">
        <f>IF(ISERROR(VLOOKUP($U$76,'TAR FIN'!$A$1:$O$85,15,0)),0,VLOOKUP($U$76,'TAR FIN'!$A$1:$O$85,15,0))</f>
        <v>0</v>
      </c>
      <c r="Y76" s="4">
        <f ca="1">('TUSD BE'!$AM$10+'TUSD BF'!$AM$10+'TUSD CVA'!$AM$10)*1</f>
        <v>77.970056746860777</v>
      </c>
      <c r="Z76" s="4"/>
      <c r="AA76" s="4"/>
      <c r="AB76" s="4">
        <f>$K$76*$V$76</f>
        <v>59553.39</v>
      </c>
      <c r="AC76" s="4">
        <f>$M$76*$W$76</f>
        <v>0</v>
      </c>
      <c r="AD76" s="4">
        <f>$O$76*$X$76</f>
        <v>0</v>
      </c>
      <c r="AE76" s="4">
        <f ca="1">$K$76*$Y$76</f>
        <v>72746.062944821111</v>
      </c>
      <c r="AF76" s="4">
        <f>$M$76*$Z$76</f>
        <v>0</v>
      </c>
      <c r="AG76" s="4">
        <f>$O$76*$AA$76</f>
        <v>0</v>
      </c>
    </row>
    <row r="77" spans="1:33" ht="11.25" customHeight="1" x14ac:dyDescent="0.25">
      <c r="A77" s="3" t="s">
        <v>21</v>
      </c>
      <c r="B77" s="3" t="s">
        <v>33</v>
      </c>
      <c r="C77" s="3" t="s">
        <v>34</v>
      </c>
      <c r="D77" s="3" t="s">
        <v>40</v>
      </c>
      <c r="E77" s="3" t="s">
        <v>25</v>
      </c>
      <c r="F77" s="3" t="s">
        <v>25</v>
      </c>
      <c r="G77" s="3" t="s">
        <v>25</v>
      </c>
      <c r="H77" s="3" t="s">
        <v>25</v>
      </c>
      <c r="I77" s="6">
        <v>44378</v>
      </c>
      <c r="J77" s="4">
        <v>935</v>
      </c>
      <c r="K77" s="4">
        <v>935</v>
      </c>
      <c r="L77" s="4">
        <v>0</v>
      </c>
      <c r="M77" s="4">
        <v>0</v>
      </c>
      <c r="N77" s="4">
        <v>0</v>
      </c>
      <c r="O77" s="4">
        <v>0</v>
      </c>
      <c r="P77" s="4">
        <v>7</v>
      </c>
      <c r="Q77" s="3" t="s">
        <v>26</v>
      </c>
      <c r="R77" s="3">
        <v>0</v>
      </c>
      <c r="S77" s="4">
        <v>22</v>
      </c>
      <c r="T77" s="4">
        <v>0</v>
      </c>
      <c r="U77" s="4">
        <v>0</v>
      </c>
      <c r="V77" s="4">
        <f>IF(ISERROR(VLOOKUP($S$77,'TAR FIN'!$A$1:$O$85,15,0)),0,VLOOKUP($S$77,'TAR FIN'!$A$1:$O$85,15,0))</f>
        <v>63.83</v>
      </c>
      <c r="W77" s="4">
        <f>IF(ISERROR(VLOOKUP($T$77,'TAR FIN'!$A$1:$O$85,15,0)),0,VLOOKUP($T$77,'TAR FIN'!$A$1:$O$85,15,0))</f>
        <v>0</v>
      </c>
      <c r="X77" s="4">
        <f>IF(ISERROR(VLOOKUP($U$77,'TAR FIN'!$A$1:$O$85,15,0)),0,VLOOKUP($U$77,'TAR FIN'!$A$1:$O$85,15,0))</f>
        <v>0</v>
      </c>
      <c r="Y77" s="4">
        <f ca="1">('TUSD BE'!$AM$10+'TUSD BF'!$AM$10+'TUSD CVA'!$AM$10)*1</f>
        <v>77.970056746860777</v>
      </c>
      <c r="Z77" s="4"/>
      <c r="AA77" s="4"/>
      <c r="AB77" s="4">
        <f>$K$77*$V$77</f>
        <v>59681.049999999996</v>
      </c>
      <c r="AC77" s="4">
        <f>$M$77*$W$77</f>
        <v>0</v>
      </c>
      <c r="AD77" s="4">
        <f>$O$77*$X$77</f>
        <v>0</v>
      </c>
      <c r="AE77" s="4">
        <f ca="1">$K$77*$Y$77</f>
        <v>72902.003058314833</v>
      </c>
      <c r="AF77" s="4">
        <f>$M$77*$Z$77</f>
        <v>0</v>
      </c>
      <c r="AG77" s="4">
        <f>$O$77*$AA$77</f>
        <v>0</v>
      </c>
    </row>
    <row r="78" spans="1:33" ht="11.25" customHeight="1" x14ac:dyDescent="0.25">
      <c r="A78" s="3" t="s">
        <v>21</v>
      </c>
      <c r="B78" s="3" t="s">
        <v>33</v>
      </c>
      <c r="C78" s="3" t="s">
        <v>34</v>
      </c>
      <c r="D78" s="3" t="s">
        <v>40</v>
      </c>
      <c r="E78" s="3" t="s">
        <v>25</v>
      </c>
      <c r="F78" s="3" t="s">
        <v>25</v>
      </c>
      <c r="G78" s="3" t="s">
        <v>25</v>
      </c>
      <c r="H78" s="3" t="s">
        <v>25</v>
      </c>
      <c r="I78" s="6">
        <v>44409</v>
      </c>
      <c r="J78" s="4">
        <v>1101</v>
      </c>
      <c r="K78" s="4">
        <v>1101</v>
      </c>
      <c r="L78" s="4">
        <v>0</v>
      </c>
      <c r="M78" s="4">
        <v>0</v>
      </c>
      <c r="N78" s="4">
        <v>0</v>
      </c>
      <c r="O78" s="4">
        <v>0</v>
      </c>
      <c r="P78" s="4">
        <v>8</v>
      </c>
      <c r="Q78" s="3" t="s">
        <v>26</v>
      </c>
      <c r="R78" s="3">
        <v>0</v>
      </c>
      <c r="S78" s="4">
        <v>22</v>
      </c>
      <c r="T78" s="4">
        <v>0</v>
      </c>
      <c r="U78" s="4">
        <v>0</v>
      </c>
      <c r="V78" s="4">
        <f>IF(ISERROR(VLOOKUP($S$78,'TAR FIN'!$A$1:$O$85,15,0)),0,VLOOKUP($S$78,'TAR FIN'!$A$1:$O$85,15,0))</f>
        <v>63.83</v>
      </c>
      <c r="W78" s="4">
        <f>IF(ISERROR(VLOOKUP($T$78,'TAR FIN'!$A$1:$O$85,15,0)),0,VLOOKUP($T$78,'TAR FIN'!$A$1:$O$85,15,0))</f>
        <v>0</v>
      </c>
      <c r="X78" s="4">
        <f>IF(ISERROR(VLOOKUP($U$78,'TAR FIN'!$A$1:$O$85,15,0)),0,VLOOKUP($U$78,'TAR FIN'!$A$1:$O$85,15,0))</f>
        <v>0</v>
      </c>
      <c r="Y78" s="4">
        <f ca="1">('TUSD BE'!$AM$10+'TUSD BF'!$AM$10+'TUSD CVA'!$AM$10)*1</f>
        <v>77.970056746860777</v>
      </c>
      <c r="Z78" s="4"/>
      <c r="AA78" s="4"/>
      <c r="AB78" s="4">
        <f>$K$78*$V$78</f>
        <v>70276.83</v>
      </c>
      <c r="AC78" s="4">
        <f>$M$78*$W$78</f>
        <v>0</v>
      </c>
      <c r="AD78" s="4">
        <f>$O$78*$X$78</f>
        <v>0</v>
      </c>
      <c r="AE78" s="4">
        <f ca="1">$K$78*$Y$78</f>
        <v>85845.03247829371</v>
      </c>
      <c r="AF78" s="4">
        <f>$M$78*$Z$78</f>
        <v>0</v>
      </c>
      <c r="AG78" s="4">
        <f>$O$78*$AA$78</f>
        <v>0</v>
      </c>
    </row>
    <row r="79" spans="1:33" ht="11.25" customHeight="1" x14ac:dyDescent="0.25">
      <c r="A79" s="3" t="s">
        <v>21</v>
      </c>
      <c r="B79" s="3" t="s">
        <v>33</v>
      </c>
      <c r="C79" s="3" t="s">
        <v>34</v>
      </c>
      <c r="D79" s="3" t="s">
        <v>40</v>
      </c>
      <c r="E79" s="3" t="s">
        <v>25</v>
      </c>
      <c r="F79" s="3" t="s">
        <v>25</v>
      </c>
      <c r="G79" s="3" t="s">
        <v>25</v>
      </c>
      <c r="H79" s="3" t="s">
        <v>25</v>
      </c>
      <c r="I79" s="6">
        <v>44440</v>
      </c>
      <c r="J79" s="4">
        <v>990</v>
      </c>
      <c r="K79" s="4">
        <v>990</v>
      </c>
      <c r="L79" s="4">
        <v>0</v>
      </c>
      <c r="M79" s="4">
        <v>0</v>
      </c>
      <c r="N79" s="4">
        <v>0</v>
      </c>
      <c r="O79" s="4">
        <v>0</v>
      </c>
      <c r="P79" s="4">
        <v>8</v>
      </c>
      <c r="Q79" s="3" t="s">
        <v>26</v>
      </c>
      <c r="R79" s="3">
        <v>0</v>
      </c>
      <c r="S79" s="4">
        <v>22</v>
      </c>
      <c r="T79" s="4">
        <v>0</v>
      </c>
      <c r="U79" s="4">
        <v>0</v>
      </c>
      <c r="V79" s="4">
        <f>IF(ISERROR(VLOOKUP($S$79,'TAR FIN'!$A$1:$O$85,15,0)),0,VLOOKUP($S$79,'TAR FIN'!$A$1:$O$85,15,0))</f>
        <v>63.83</v>
      </c>
      <c r="W79" s="4">
        <f>IF(ISERROR(VLOOKUP($T$79,'TAR FIN'!$A$1:$O$85,15,0)),0,VLOOKUP($T$79,'TAR FIN'!$A$1:$O$85,15,0))</f>
        <v>0</v>
      </c>
      <c r="X79" s="4">
        <f>IF(ISERROR(VLOOKUP($U$79,'TAR FIN'!$A$1:$O$85,15,0)),0,VLOOKUP($U$79,'TAR FIN'!$A$1:$O$85,15,0))</f>
        <v>0</v>
      </c>
      <c r="Y79" s="4">
        <f ca="1">('TUSD BE'!$AM$10+'TUSD BF'!$AM$10+'TUSD CVA'!$AM$10)*1</f>
        <v>77.970056746860777</v>
      </c>
      <c r="Z79" s="4"/>
      <c r="AA79" s="4"/>
      <c r="AB79" s="4">
        <f>$K$79*$V$79</f>
        <v>63191.7</v>
      </c>
      <c r="AC79" s="4">
        <f>$M$79*$W$79</f>
        <v>0</v>
      </c>
      <c r="AD79" s="4">
        <f>$O$79*$X$79</f>
        <v>0</v>
      </c>
      <c r="AE79" s="4">
        <f ca="1">$K$79*$Y$79</f>
        <v>77190.356179392169</v>
      </c>
      <c r="AF79" s="4">
        <f>$M$79*$Z$79</f>
        <v>0</v>
      </c>
      <c r="AG79" s="4">
        <f>$O$79*$AA$79</f>
        <v>0</v>
      </c>
    </row>
    <row r="80" spans="1:33" ht="11.25" customHeight="1" x14ac:dyDescent="0.25">
      <c r="A80" s="3" t="s">
        <v>21</v>
      </c>
      <c r="B80" s="3" t="s">
        <v>33</v>
      </c>
      <c r="C80" s="3" t="s">
        <v>34</v>
      </c>
      <c r="D80" s="3" t="s">
        <v>40</v>
      </c>
      <c r="E80" s="3" t="s">
        <v>25</v>
      </c>
      <c r="F80" s="3" t="s">
        <v>25</v>
      </c>
      <c r="G80" s="3" t="s">
        <v>25</v>
      </c>
      <c r="H80" s="3" t="s">
        <v>25</v>
      </c>
      <c r="I80" s="6">
        <v>44470</v>
      </c>
      <c r="J80" s="4">
        <v>1028</v>
      </c>
      <c r="K80" s="4">
        <v>1028</v>
      </c>
      <c r="L80" s="4">
        <v>0</v>
      </c>
      <c r="M80" s="4">
        <v>0</v>
      </c>
      <c r="N80" s="4">
        <v>0</v>
      </c>
      <c r="O80" s="4">
        <v>0</v>
      </c>
      <c r="P80" s="4">
        <v>8</v>
      </c>
      <c r="Q80" s="3" t="s">
        <v>26</v>
      </c>
      <c r="R80" s="3">
        <v>0</v>
      </c>
      <c r="S80" s="4">
        <v>22</v>
      </c>
      <c r="T80" s="4">
        <v>0</v>
      </c>
      <c r="U80" s="4">
        <v>0</v>
      </c>
      <c r="V80" s="4">
        <f>IF(ISERROR(VLOOKUP($S$80,'TAR FIN'!$A$1:$O$85,15,0)),0,VLOOKUP($S$80,'TAR FIN'!$A$1:$O$85,15,0))</f>
        <v>63.83</v>
      </c>
      <c r="W80" s="4">
        <f>IF(ISERROR(VLOOKUP($T$80,'TAR FIN'!$A$1:$O$85,15,0)),0,VLOOKUP($T$80,'TAR FIN'!$A$1:$O$85,15,0))</f>
        <v>0</v>
      </c>
      <c r="X80" s="4">
        <f>IF(ISERROR(VLOOKUP($U$80,'TAR FIN'!$A$1:$O$85,15,0)),0,VLOOKUP($U$80,'TAR FIN'!$A$1:$O$85,15,0))</f>
        <v>0</v>
      </c>
      <c r="Y80" s="4">
        <f ca="1">('TUSD BE'!$AM$10+'TUSD BF'!$AM$10+'TUSD CVA'!$AM$10)*1</f>
        <v>77.970056746860777</v>
      </c>
      <c r="Z80" s="4"/>
      <c r="AA80" s="4"/>
      <c r="AB80" s="4">
        <f>$K$80*$V$80</f>
        <v>65617.240000000005</v>
      </c>
      <c r="AC80" s="4">
        <f>$M$80*$W$80</f>
        <v>0</v>
      </c>
      <c r="AD80" s="4">
        <f>$O$80*$X$80</f>
        <v>0</v>
      </c>
      <c r="AE80" s="4">
        <f ca="1">$K$80*$Y$80</f>
        <v>80153.218335772879</v>
      </c>
      <c r="AF80" s="4">
        <f>$M$80*$Z$80</f>
        <v>0</v>
      </c>
      <c r="AG80" s="4">
        <f>$O$80*$AA$80</f>
        <v>0</v>
      </c>
    </row>
    <row r="81" spans="1:33" ht="11.25" customHeight="1" x14ac:dyDescent="0.25">
      <c r="A81" s="3" t="s">
        <v>21</v>
      </c>
      <c r="B81" s="3" t="s">
        <v>33</v>
      </c>
      <c r="C81" s="3" t="s">
        <v>34</v>
      </c>
      <c r="D81" s="3" t="s">
        <v>40</v>
      </c>
      <c r="E81" s="3" t="s">
        <v>25</v>
      </c>
      <c r="F81" s="3" t="s">
        <v>25</v>
      </c>
      <c r="G81" s="3" t="s">
        <v>25</v>
      </c>
      <c r="H81" s="3" t="s">
        <v>25</v>
      </c>
      <c r="I81" s="6">
        <v>44501</v>
      </c>
      <c r="J81" s="4">
        <v>1011</v>
      </c>
      <c r="K81" s="4">
        <v>1011</v>
      </c>
      <c r="L81" s="4">
        <v>0</v>
      </c>
      <c r="M81" s="4">
        <v>0</v>
      </c>
      <c r="N81" s="4">
        <v>0</v>
      </c>
      <c r="O81" s="4">
        <v>0</v>
      </c>
      <c r="P81" s="4">
        <v>8</v>
      </c>
      <c r="Q81" s="3" t="s">
        <v>26</v>
      </c>
      <c r="R81" s="3">
        <v>0</v>
      </c>
      <c r="S81" s="4">
        <v>22</v>
      </c>
      <c r="T81" s="4">
        <v>0</v>
      </c>
      <c r="U81" s="4">
        <v>0</v>
      </c>
      <c r="V81" s="4">
        <f>IF(ISERROR(VLOOKUP($S$81,'TAR FIN'!$A$1:$O$85,15,0)),0,VLOOKUP($S$81,'TAR FIN'!$A$1:$O$85,15,0))</f>
        <v>63.83</v>
      </c>
      <c r="W81" s="4">
        <f>IF(ISERROR(VLOOKUP($T$81,'TAR FIN'!$A$1:$O$85,15,0)),0,VLOOKUP($T$81,'TAR FIN'!$A$1:$O$85,15,0))</f>
        <v>0</v>
      </c>
      <c r="X81" s="4">
        <f>IF(ISERROR(VLOOKUP($U$81,'TAR FIN'!$A$1:$O$85,15,0)),0,VLOOKUP($U$81,'TAR FIN'!$A$1:$O$85,15,0))</f>
        <v>0</v>
      </c>
      <c r="Y81" s="4">
        <f ca="1">('TUSD BE'!$AM$10+'TUSD BF'!$AM$10+'TUSD CVA'!$AM$10)*1</f>
        <v>77.970056746860777</v>
      </c>
      <c r="Z81" s="4"/>
      <c r="AA81" s="4"/>
      <c r="AB81" s="4">
        <f>$K$81*$V$81</f>
        <v>64532.13</v>
      </c>
      <c r="AC81" s="4">
        <f>$M$81*$W$81</f>
        <v>0</v>
      </c>
      <c r="AD81" s="4">
        <f>$O$81*$X$81</f>
        <v>0</v>
      </c>
      <c r="AE81" s="4">
        <f ca="1">$K$81*$Y$81</f>
        <v>78827.727371076253</v>
      </c>
      <c r="AF81" s="4">
        <f>$M$81*$Z$81</f>
        <v>0</v>
      </c>
      <c r="AG81" s="4">
        <f>$O$81*$AA$81</f>
        <v>0</v>
      </c>
    </row>
    <row r="82" spans="1:33" ht="11.25" customHeight="1" x14ac:dyDescent="0.25">
      <c r="A82" s="3" t="s">
        <v>21</v>
      </c>
      <c r="B82" s="3" t="s">
        <v>33</v>
      </c>
      <c r="C82" s="3" t="s">
        <v>34</v>
      </c>
      <c r="D82" s="3" t="s">
        <v>40</v>
      </c>
      <c r="E82" s="3" t="s">
        <v>25</v>
      </c>
      <c r="F82" s="3" t="s">
        <v>25</v>
      </c>
      <c r="G82" s="3" t="s">
        <v>25</v>
      </c>
      <c r="H82" s="3" t="s">
        <v>25</v>
      </c>
      <c r="I82" s="6">
        <v>44531</v>
      </c>
      <c r="J82" s="4">
        <v>994</v>
      </c>
      <c r="K82" s="4">
        <v>994</v>
      </c>
      <c r="L82" s="4">
        <v>0</v>
      </c>
      <c r="M82" s="4">
        <v>0</v>
      </c>
      <c r="N82" s="4">
        <v>0</v>
      </c>
      <c r="O82" s="4">
        <v>0</v>
      </c>
      <c r="P82" s="4">
        <v>8</v>
      </c>
      <c r="Q82" s="3" t="s">
        <v>26</v>
      </c>
      <c r="R82" s="3">
        <v>0</v>
      </c>
      <c r="S82" s="4">
        <v>22</v>
      </c>
      <c r="T82" s="4">
        <v>0</v>
      </c>
      <c r="U82" s="4">
        <v>0</v>
      </c>
      <c r="V82" s="4">
        <f>IF(ISERROR(VLOOKUP($S$82,'TAR FIN'!$A$1:$O$85,15,0)),0,VLOOKUP($S$82,'TAR FIN'!$A$1:$O$85,15,0))</f>
        <v>63.83</v>
      </c>
      <c r="W82" s="4">
        <f>IF(ISERROR(VLOOKUP($T$82,'TAR FIN'!$A$1:$O$85,15,0)),0,VLOOKUP($T$82,'TAR FIN'!$A$1:$O$85,15,0))</f>
        <v>0</v>
      </c>
      <c r="X82" s="4">
        <f>IF(ISERROR(VLOOKUP($U$82,'TAR FIN'!$A$1:$O$85,15,0)),0,VLOOKUP($U$82,'TAR FIN'!$A$1:$O$85,15,0))</f>
        <v>0</v>
      </c>
      <c r="Y82" s="4">
        <f ca="1">('TUSD BE'!$AM$10+'TUSD BF'!$AM$10+'TUSD CVA'!$AM$10)*1</f>
        <v>77.970056746860777</v>
      </c>
      <c r="Z82" s="4"/>
      <c r="AA82" s="4"/>
      <c r="AB82" s="4">
        <f>$K$82*$V$82</f>
        <v>63447.02</v>
      </c>
      <c r="AC82" s="4">
        <f>$M$82*$W$82</f>
        <v>0</v>
      </c>
      <c r="AD82" s="4">
        <f>$O$82*$X$82</f>
        <v>0</v>
      </c>
      <c r="AE82" s="4">
        <f ca="1">$K$82*$Y$82</f>
        <v>77502.236406379612</v>
      </c>
      <c r="AF82" s="4">
        <f>$M$82*$Z$82</f>
        <v>0</v>
      </c>
      <c r="AG82" s="4">
        <f>$O$82*$AA$82</f>
        <v>0</v>
      </c>
    </row>
    <row r="83" spans="1:33" ht="11.25" customHeight="1" x14ac:dyDescent="0.25">
      <c r="A83" s="3" t="s">
        <v>21</v>
      </c>
      <c r="B83" s="3" t="s">
        <v>33</v>
      </c>
      <c r="C83" s="3" t="s">
        <v>34</v>
      </c>
      <c r="D83" s="3" t="s">
        <v>40</v>
      </c>
      <c r="E83" s="3" t="s">
        <v>25</v>
      </c>
      <c r="F83" s="3" t="s">
        <v>25</v>
      </c>
      <c r="G83" s="3" t="s">
        <v>25</v>
      </c>
      <c r="H83" s="3" t="s">
        <v>25</v>
      </c>
      <c r="I83" s="6">
        <v>44562</v>
      </c>
      <c r="J83" s="4">
        <v>992</v>
      </c>
      <c r="K83" s="4">
        <v>992</v>
      </c>
      <c r="L83" s="4">
        <v>0</v>
      </c>
      <c r="M83" s="4">
        <v>0</v>
      </c>
      <c r="N83" s="4">
        <v>0</v>
      </c>
      <c r="O83" s="4">
        <v>0</v>
      </c>
      <c r="P83" s="4">
        <v>7</v>
      </c>
      <c r="Q83" s="3" t="s">
        <v>26</v>
      </c>
      <c r="R83" s="3">
        <v>0</v>
      </c>
      <c r="S83" s="4">
        <v>22</v>
      </c>
      <c r="T83" s="4">
        <v>0</v>
      </c>
      <c r="U83" s="4">
        <v>0</v>
      </c>
      <c r="V83" s="4">
        <f>IF(ISERROR(VLOOKUP($S$83,'TAR FIN'!$A$1:$O$85,15,0)),0,VLOOKUP($S$83,'TAR FIN'!$A$1:$O$85,15,0))</f>
        <v>63.83</v>
      </c>
      <c r="W83" s="4">
        <f>IF(ISERROR(VLOOKUP($T$83,'TAR FIN'!$A$1:$O$85,15,0)),0,VLOOKUP($T$83,'TAR FIN'!$A$1:$O$85,15,0))</f>
        <v>0</v>
      </c>
      <c r="X83" s="4">
        <f>IF(ISERROR(VLOOKUP($U$83,'TAR FIN'!$A$1:$O$85,15,0)),0,VLOOKUP($U$83,'TAR FIN'!$A$1:$O$85,15,0))</f>
        <v>0</v>
      </c>
      <c r="Y83" s="4">
        <f ca="1">('TUSD BE'!$AM$10+'TUSD BF'!$AM$10+'TUSD CVA'!$AM$10)*1</f>
        <v>77.970056746860777</v>
      </c>
      <c r="Z83" s="4"/>
      <c r="AA83" s="4"/>
      <c r="AB83" s="4">
        <f>$K$83*$V$83</f>
        <v>63319.360000000001</v>
      </c>
      <c r="AC83" s="4">
        <f>$M$83*$W$83</f>
        <v>0</v>
      </c>
      <c r="AD83" s="4">
        <f>$O$83*$X$83</f>
        <v>0</v>
      </c>
      <c r="AE83" s="4">
        <f ca="1">$K$83*$Y$83</f>
        <v>77346.296292885891</v>
      </c>
      <c r="AF83" s="4">
        <f>$M$83*$Z$83</f>
        <v>0</v>
      </c>
      <c r="AG83" s="4">
        <f>$O$83*$AA$83</f>
        <v>0</v>
      </c>
    </row>
    <row r="84" spans="1:33" ht="11.25" customHeight="1" x14ac:dyDescent="0.25">
      <c r="A84" s="3" t="s">
        <v>21</v>
      </c>
      <c r="B84" s="3" t="s">
        <v>33</v>
      </c>
      <c r="C84" s="3" t="s">
        <v>34</v>
      </c>
      <c r="D84" s="3" t="s">
        <v>40</v>
      </c>
      <c r="E84" s="3" t="s">
        <v>25</v>
      </c>
      <c r="F84" s="3" t="s">
        <v>25</v>
      </c>
      <c r="G84" s="3" t="s">
        <v>25</v>
      </c>
      <c r="H84" s="3" t="s">
        <v>25</v>
      </c>
      <c r="I84" s="6">
        <v>44593</v>
      </c>
      <c r="J84" s="4">
        <v>966</v>
      </c>
      <c r="K84" s="4">
        <v>966</v>
      </c>
      <c r="L84" s="4">
        <v>0</v>
      </c>
      <c r="M84" s="4">
        <v>0</v>
      </c>
      <c r="N84" s="4">
        <v>0</v>
      </c>
      <c r="O84" s="4">
        <v>0</v>
      </c>
      <c r="P84" s="4">
        <v>7</v>
      </c>
      <c r="Q84" s="3" t="s">
        <v>26</v>
      </c>
      <c r="R84" s="3">
        <v>0</v>
      </c>
      <c r="S84" s="4">
        <v>22</v>
      </c>
      <c r="T84" s="4">
        <v>0</v>
      </c>
      <c r="U84" s="4">
        <v>0</v>
      </c>
      <c r="V84" s="4">
        <f>IF(ISERROR(VLOOKUP($S$84,'TAR FIN'!$A$1:$O$85,15,0)),0,VLOOKUP($S$84,'TAR FIN'!$A$1:$O$85,15,0))</f>
        <v>63.83</v>
      </c>
      <c r="W84" s="4">
        <f>IF(ISERROR(VLOOKUP($T$84,'TAR FIN'!$A$1:$O$85,15,0)),0,VLOOKUP($T$84,'TAR FIN'!$A$1:$O$85,15,0))</f>
        <v>0</v>
      </c>
      <c r="X84" s="4">
        <f>IF(ISERROR(VLOOKUP($U$84,'TAR FIN'!$A$1:$O$85,15,0)),0,VLOOKUP($U$84,'TAR FIN'!$A$1:$O$85,15,0))</f>
        <v>0</v>
      </c>
      <c r="Y84" s="4">
        <f ca="1">('TUSD BE'!$AM$10+'TUSD BF'!$AM$10+'TUSD CVA'!$AM$10)*1</f>
        <v>77.970056746860777</v>
      </c>
      <c r="Z84" s="4"/>
      <c r="AA84" s="4"/>
      <c r="AB84" s="4">
        <f>$K$84*$V$84</f>
        <v>61659.78</v>
      </c>
      <c r="AC84" s="4">
        <f>$M$84*$W$84</f>
        <v>0</v>
      </c>
      <c r="AD84" s="4">
        <f>$O$84*$X$84</f>
        <v>0</v>
      </c>
      <c r="AE84" s="4">
        <f ca="1">$K$84*$Y$84</f>
        <v>75319.07481746751</v>
      </c>
      <c r="AF84" s="4">
        <f>$M$84*$Z$84</f>
        <v>0</v>
      </c>
      <c r="AG84" s="4">
        <f>$O$84*$AA$84</f>
        <v>0</v>
      </c>
    </row>
    <row r="85" spans="1:33" ht="11.25" customHeight="1" x14ac:dyDescent="0.25">
      <c r="A85" s="3" t="s">
        <v>21</v>
      </c>
      <c r="B85" s="3" t="s">
        <v>33</v>
      </c>
      <c r="C85" s="3" t="s">
        <v>34</v>
      </c>
      <c r="D85" s="3" t="s">
        <v>40</v>
      </c>
      <c r="E85" s="3" t="s">
        <v>25</v>
      </c>
      <c r="F85" s="3" t="s">
        <v>25</v>
      </c>
      <c r="G85" s="3" t="s">
        <v>25</v>
      </c>
      <c r="H85" s="3" t="s">
        <v>25</v>
      </c>
      <c r="I85" s="6">
        <v>44621</v>
      </c>
      <c r="J85" s="4">
        <v>976</v>
      </c>
      <c r="K85" s="4">
        <v>976</v>
      </c>
      <c r="L85" s="4">
        <v>0</v>
      </c>
      <c r="M85" s="4">
        <v>0</v>
      </c>
      <c r="N85" s="4">
        <v>0</v>
      </c>
      <c r="O85" s="4">
        <v>0</v>
      </c>
      <c r="P85" s="4">
        <v>7</v>
      </c>
      <c r="Q85" s="3" t="s">
        <v>26</v>
      </c>
      <c r="R85" s="3">
        <v>0</v>
      </c>
      <c r="S85" s="4">
        <v>22</v>
      </c>
      <c r="T85" s="4">
        <v>0</v>
      </c>
      <c r="U85" s="4">
        <v>0</v>
      </c>
      <c r="V85" s="4">
        <f>IF(ISERROR(VLOOKUP($S$85,'TAR FIN'!$A$1:$O$85,15,0)),0,VLOOKUP($S$85,'TAR FIN'!$A$1:$O$85,15,0))</f>
        <v>63.83</v>
      </c>
      <c r="W85" s="4">
        <f>IF(ISERROR(VLOOKUP($T$85,'TAR FIN'!$A$1:$O$85,15,0)),0,VLOOKUP($T$85,'TAR FIN'!$A$1:$O$85,15,0))</f>
        <v>0</v>
      </c>
      <c r="X85" s="4">
        <f>IF(ISERROR(VLOOKUP($U$85,'TAR FIN'!$A$1:$O$85,15,0)),0,VLOOKUP($U$85,'TAR FIN'!$A$1:$O$85,15,0))</f>
        <v>0</v>
      </c>
      <c r="Y85" s="4">
        <f ca="1">('TUSD BE'!$AM$10+'TUSD BF'!$AM$10+'TUSD CVA'!$AM$10)*1</f>
        <v>77.970056746860777</v>
      </c>
      <c r="Z85" s="4"/>
      <c r="AA85" s="4"/>
      <c r="AB85" s="4">
        <f>$K$85*$V$85</f>
        <v>62298.080000000002</v>
      </c>
      <c r="AC85" s="4">
        <f>$M$85*$W$85</f>
        <v>0</v>
      </c>
      <c r="AD85" s="4">
        <f>$O$85*$X$85</f>
        <v>0</v>
      </c>
      <c r="AE85" s="4">
        <f ca="1">$K$85*$Y$85</f>
        <v>76098.775384936118</v>
      </c>
      <c r="AF85" s="4">
        <f>$M$85*$Z$85</f>
        <v>0</v>
      </c>
      <c r="AG85" s="4">
        <f>$O$85*$AA$85</f>
        <v>0</v>
      </c>
    </row>
    <row r="86" spans="1:33" ht="11.25" customHeight="1" x14ac:dyDescent="0.25">
      <c r="A86" s="3" t="s">
        <v>21</v>
      </c>
      <c r="B86" s="3" t="s">
        <v>33</v>
      </c>
      <c r="C86" s="3" t="s">
        <v>34</v>
      </c>
      <c r="D86" s="3" t="s">
        <v>40</v>
      </c>
      <c r="E86" s="3" t="s">
        <v>25</v>
      </c>
      <c r="F86" s="3" t="s">
        <v>25</v>
      </c>
      <c r="G86" s="3" t="s">
        <v>25</v>
      </c>
      <c r="H86" s="3" t="s">
        <v>35</v>
      </c>
      <c r="I86" s="6">
        <v>44287</v>
      </c>
      <c r="J86" s="4">
        <v>0</v>
      </c>
      <c r="K86" s="4">
        <v>0</v>
      </c>
      <c r="L86" s="4">
        <v>3.3759999999999999</v>
      </c>
      <c r="M86" s="4">
        <v>3.3759999999999999</v>
      </c>
      <c r="N86" s="4">
        <v>3.3759999999999999</v>
      </c>
      <c r="O86" s="4">
        <v>3.3759999999999999</v>
      </c>
      <c r="P86" s="4">
        <v>0</v>
      </c>
      <c r="Q86" s="3" t="s">
        <v>26</v>
      </c>
      <c r="R86" s="3">
        <v>0</v>
      </c>
      <c r="S86" s="4">
        <v>0</v>
      </c>
      <c r="T86" s="4">
        <v>23</v>
      </c>
      <c r="U86" s="4">
        <v>82</v>
      </c>
      <c r="V86" s="4">
        <f>IF(ISERROR(VLOOKUP($S$86,'TAR FIN'!$A$1:$O$85,15,0)),0,VLOOKUP($S$86,'TAR FIN'!$A$1:$O$85,15,0))</f>
        <v>0</v>
      </c>
      <c r="W86" s="4">
        <f>IF(ISERROR(VLOOKUP($T$86,'TAR FIN'!$A$1:$O$85,15,0)),0,VLOOKUP($T$86,'TAR FIN'!$A$1:$O$85,15,0))</f>
        <v>4048.87</v>
      </c>
      <c r="X86" s="4">
        <f>IF(ISERROR(VLOOKUP($U$86,'TAR FIN'!$A$1:$O$85,15,0)),0,VLOOKUP($U$86,'TAR FIN'!$A$1:$O$85,15,0))</f>
        <v>231.33</v>
      </c>
      <c r="Y86" s="4"/>
      <c r="Z86" s="4">
        <f ca="1">('TUSD BE'!$AM$11+'TUSD BF'!$AM$11+'TUSD CVA'!$AM$11)*1</f>
        <v>4890.261914674632</v>
      </c>
      <c r="AA86" s="4">
        <f>('TE BE'!$AA$5+'TE BF'!$AA$5+'TE CVA'!$AA$5)*1</f>
        <v>260.80314197522284</v>
      </c>
      <c r="AB86" s="4">
        <f>$K$86*$V$86</f>
        <v>0</v>
      </c>
      <c r="AC86" s="4">
        <f>$M$86*$W$86</f>
        <v>13668.985119999999</v>
      </c>
      <c r="AD86" s="4">
        <f>$O$86*$X$86</f>
        <v>780.97008000000005</v>
      </c>
      <c r="AE86" s="4">
        <f>$K$86*$Y$86</f>
        <v>0</v>
      </c>
      <c r="AF86" s="4">
        <f ca="1">$M$86*$Z$86</f>
        <v>16509.524223941557</v>
      </c>
      <c r="AG86" s="4">
        <f>$O$86*$AA$86</f>
        <v>880.47140730835224</v>
      </c>
    </row>
    <row r="87" spans="1:33" ht="11.25" customHeight="1" x14ac:dyDescent="0.25">
      <c r="A87" s="3" t="s">
        <v>21</v>
      </c>
      <c r="B87" s="3" t="s">
        <v>33</v>
      </c>
      <c r="C87" s="3" t="s">
        <v>34</v>
      </c>
      <c r="D87" s="3" t="s">
        <v>40</v>
      </c>
      <c r="E87" s="3" t="s">
        <v>25</v>
      </c>
      <c r="F87" s="3" t="s">
        <v>25</v>
      </c>
      <c r="G87" s="3" t="s">
        <v>25</v>
      </c>
      <c r="H87" s="3" t="s">
        <v>35</v>
      </c>
      <c r="I87" s="6">
        <v>44317</v>
      </c>
      <c r="J87" s="4">
        <v>0</v>
      </c>
      <c r="K87" s="4">
        <v>0</v>
      </c>
      <c r="L87" s="4">
        <v>2.3010000000000002</v>
      </c>
      <c r="M87" s="4">
        <v>2.3010000000000002</v>
      </c>
      <c r="N87" s="4">
        <v>2.3010000000000002</v>
      </c>
      <c r="O87" s="4">
        <v>2.3010000000000002</v>
      </c>
      <c r="P87" s="4">
        <v>0</v>
      </c>
      <c r="Q87" s="3" t="s">
        <v>26</v>
      </c>
      <c r="R87" s="3">
        <v>0</v>
      </c>
      <c r="S87" s="4">
        <v>0</v>
      </c>
      <c r="T87" s="4">
        <v>23</v>
      </c>
      <c r="U87" s="4">
        <v>82</v>
      </c>
      <c r="V87" s="4">
        <f>IF(ISERROR(VLOOKUP($S$87,'TAR FIN'!$A$1:$O$85,15,0)),0,VLOOKUP($S$87,'TAR FIN'!$A$1:$O$85,15,0))</f>
        <v>0</v>
      </c>
      <c r="W87" s="4">
        <f>IF(ISERROR(VLOOKUP($T$87,'TAR FIN'!$A$1:$O$85,15,0)),0,VLOOKUP($T$87,'TAR FIN'!$A$1:$O$85,15,0))</f>
        <v>4048.87</v>
      </c>
      <c r="X87" s="4">
        <f>IF(ISERROR(VLOOKUP($U$87,'TAR FIN'!$A$1:$O$85,15,0)),0,VLOOKUP($U$87,'TAR FIN'!$A$1:$O$85,15,0))</f>
        <v>231.33</v>
      </c>
      <c r="Y87" s="4"/>
      <c r="Z87" s="4">
        <f ca="1">('TUSD BE'!$AM$11+'TUSD BF'!$AM$11+'TUSD CVA'!$AM$11)*1</f>
        <v>4890.261914674632</v>
      </c>
      <c r="AA87" s="4">
        <f>('TE BE'!$AA$5+'TE BF'!$AA$5+'TE CVA'!$AA$5)*1</f>
        <v>260.80314197522284</v>
      </c>
      <c r="AB87" s="4">
        <f>$K$87*$V$87</f>
        <v>0</v>
      </c>
      <c r="AC87" s="4">
        <f>$M$87*$W$87</f>
        <v>9316.4498700000004</v>
      </c>
      <c r="AD87" s="4">
        <f>$O$87*$X$87</f>
        <v>532.29033000000004</v>
      </c>
      <c r="AE87" s="4">
        <f>$K$87*$Y$87</f>
        <v>0</v>
      </c>
      <c r="AF87" s="4">
        <f ca="1">$M$87*$Z$87</f>
        <v>11252.492665666328</v>
      </c>
      <c r="AG87" s="4">
        <f>$O$87*$AA$87</f>
        <v>600.10802968498786</v>
      </c>
    </row>
    <row r="88" spans="1:33" ht="11.25" customHeight="1" x14ac:dyDescent="0.25">
      <c r="A88" s="3" t="s">
        <v>21</v>
      </c>
      <c r="B88" s="3" t="s">
        <v>33</v>
      </c>
      <c r="C88" s="3" t="s">
        <v>34</v>
      </c>
      <c r="D88" s="3" t="s">
        <v>40</v>
      </c>
      <c r="E88" s="3" t="s">
        <v>25</v>
      </c>
      <c r="F88" s="3" t="s">
        <v>25</v>
      </c>
      <c r="G88" s="3" t="s">
        <v>25</v>
      </c>
      <c r="H88" s="3" t="s">
        <v>35</v>
      </c>
      <c r="I88" s="6">
        <v>44348</v>
      </c>
      <c r="J88" s="4">
        <v>0</v>
      </c>
      <c r="K88" s="4">
        <v>0</v>
      </c>
      <c r="L88" s="4">
        <v>1.792</v>
      </c>
      <c r="M88" s="4">
        <v>1.792</v>
      </c>
      <c r="N88" s="4">
        <v>1.792</v>
      </c>
      <c r="O88" s="4">
        <v>1.792</v>
      </c>
      <c r="P88" s="4">
        <v>0</v>
      </c>
      <c r="Q88" s="3" t="s">
        <v>26</v>
      </c>
      <c r="R88" s="3">
        <v>0</v>
      </c>
      <c r="S88" s="4">
        <v>0</v>
      </c>
      <c r="T88" s="4">
        <v>23</v>
      </c>
      <c r="U88" s="4">
        <v>82</v>
      </c>
      <c r="V88" s="4">
        <f>IF(ISERROR(VLOOKUP($S$88,'TAR FIN'!$A$1:$O$85,15,0)),0,VLOOKUP($S$88,'TAR FIN'!$A$1:$O$85,15,0))</f>
        <v>0</v>
      </c>
      <c r="W88" s="4">
        <f>IF(ISERROR(VLOOKUP($T$88,'TAR FIN'!$A$1:$O$85,15,0)),0,VLOOKUP($T$88,'TAR FIN'!$A$1:$O$85,15,0))</f>
        <v>4048.87</v>
      </c>
      <c r="X88" s="4">
        <f>IF(ISERROR(VLOOKUP($U$88,'TAR FIN'!$A$1:$O$85,15,0)),0,VLOOKUP($U$88,'TAR FIN'!$A$1:$O$85,15,0))</f>
        <v>231.33</v>
      </c>
      <c r="Y88" s="4"/>
      <c r="Z88" s="4">
        <f ca="1">('TUSD BE'!$AM$11+'TUSD BF'!$AM$11+'TUSD CVA'!$AM$11)*1</f>
        <v>4890.261914674632</v>
      </c>
      <c r="AA88" s="4">
        <f>('TE BE'!$AA$5+'TE BF'!$AA$5+'TE CVA'!$AA$5)*1</f>
        <v>260.80314197522284</v>
      </c>
      <c r="AB88" s="4">
        <f>$K$88*$V$88</f>
        <v>0</v>
      </c>
      <c r="AC88" s="4">
        <f>$M$88*$W$88</f>
        <v>7255.5750399999997</v>
      </c>
      <c r="AD88" s="4">
        <f>$O$88*$X$88</f>
        <v>414.54336000000001</v>
      </c>
      <c r="AE88" s="4">
        <f>$K$88*$Y$88</f>
        <v>0</v>
      </c>
      <c r="AF88" s="4">
        <f ca="1">$M$88*$Z$88</f>
        <v>8763.3493510969402</v>
      </c>
      <c r="AG88" s="4">
        <f>$O$88*$AA$88</f>
        <v>467.35923041959933</v>
      </c>
    </row>
    <row r="89" spans="1:33" ht="11.25" customHeight="1" x14ac:dyDescent="0.25">
      <c r="A89" s="3" t="s">
        <v>21</v>
      </c>
      <c r="B89" s="3" t="s">
        <v>33</v>
      </c>
      <c r="C89" s="3" t="s">
        <v>34</v>
      </c>
      <c r="D89" s="3" t="s">
        <v>40</v>
      </c>
      <c r="E89" s="3" t="s">
        <v>25</v>
      </c>
      <c r="F89" s="3" t="s">
        <v>25</v>
      </c>
      <c r="G89" s="3" t="s">
        <v>25</v>
      </c>
      <c r="H89" s="3" t="s">
        <v>35</v>
      </c>
      <c r="I89" s="6">
        <v>44378</v>
      </c>
      <c r="J89" s="4">
        <v>0</v>
      </c>
      <c r="K89" s="4">
        <v>0</v>
      </c>
      <c r="L89" s="4">
        <v>1.629</v>
      </c>
      <c r="M89" s="4">
        <v>1.629</v>
      </c>
      <c r="N89" s="4">
        <v>1.629</v>
      </c>
      <c r="O89" s="4">
        <v>1.629</v>
      </c>
      <c r="P89" s="4">
        <v>0</v>
      </c>
      <c r="Q89" s="3" t="s">
        <v>26</v>
      </c>
      <c r="R89" s="3">
        <v>0</v>
      </c>
      <c r="S89" s="4">
        <v>0</v>
      </c>
      <c r="T89" s="4">
        <v>23</v>
      </c>
      <c r="U89" s="4">
        <v>82</v>
      </c>
      <c r="V89" s="4">
        <f>IF(ISERROR(VLOOKUP($S$89,'TAR FIN'!$A$1:$O$85,15,0)),0,VLOOKUP($S$89,'TAR FIN'!$A$1:$O$85,15,0))</f>
        <v>0</v>
      </c>
      <c r="W89" s="4">
        <f>IF(ISERROR(VLOOKUP($T$89,'TAR FIN'!$A$1:$O$85,15,0)),0,VLOOKUP($T$89,'TAR FIN'!$A$1:$O$85,15,0))</f>
        <v>4048.87</v>
      </c>
      <c r="X89" s="4">
        <f>IF(ISERROR(VLOOKUP($U$89,'TAR FIN'!$A$1:$O$85,15,0)),0,VLOOKUP($U$89,'TAR FIN'!$A$1:$O$85,15,0))</f>
        <v>231.33</v>
      </c>
      <c r="Y89" s="4"/>
      <c r="Z89" s="4">
        <f ca="1">('TUSD BE'!$AM$11+'TUSD BF'!$AM$11+'TUSD CVA'!$AM$11)*1</f>
        <v>4890.261914674632</v>
      </c>
      <c r="AA89" s="4">
        <f>('TE BE'!$AA$5+'TE BF'!$AA$5+'TE CVA'!$AA$5)*1</f>
        <v>260.80314197522284</v>
      </c>
      <c r="AB89" s="4">
        <f>$K$89*$V$89</f>
        <v>0</v>
      </c>
      <c r="AC89" s="4">
        <f>$M$89*$W$89</f>
        <v>6595.60923</v>
      </c>
      <c r="AD89" s="4">
        <f>$O$89*$X$89</f>
        <v>376.83656999999999</v>
      </c>
      <c r="AE89" s="4">
        <f>$K$89*$Y$89</f>
        <v>0</v>
      </c>
      <c r="AF89" s="4">
        <f ca="1">$M$89*$Z$89</f>
        <v>7966.2366590049751</v>
      </c>
      <c r="AG89" s="4">
        <f>$O$89*$AA$89</f>
        <v>424.84831827763799</v>
      </c>
    </row>
    <row r="90" spans="1:33" ht="11.25" customHeight="1" x14ac:dyDescent="0.25">
      <c r="A90" s="3" t="s">
        <v>21</v>
      </c>
      <c r="B90" s="3" t="s">
        <v>33</v>
      </c>
      <c r="C90" s="3" t="s">
        <v>34</v>
      </c>
      <c r="D90" s="3" t="s">
        <v>40</v>
      </c>
      <c r="E90" s="3" t="s">
        <v>25</v>
      </c>
      <c r="F90" s="3" t="s">
        <v>25</v>
      </c>
      <c r="G90" s="3" t="s">
        <v>25</v>
      </c>
      <c r="H90" s="3" t="s">
        <v>35</v>
      </c>
      <c r="I90" s="6">
        <v>44409</v>
      </c>
      <c r="J90" s="4">
        <v>0</v>
      </c>
      <c r="K90" s="4">
        <v>0</v>
      </c>
      <c r="L90" s="4">
        <v>2.5110000000000001</v>
      </c>
      <c r="M90" s="4">
        <v>2.5110000000000001</v>
      </c>
      <c r="N90" s="4">
        <v>2.5110000000000001</v>
      </c>
      <c r="O90" s="4">
        <v>2.5110000000000001</v>
      </c>
      <c r="P90" s="4">
        <v>0</v>
      </c>
      <c r="Q90" s="3" t="s">
        <v>26</v>
      </c>
      <c r="R90" s="3">
        <v>0</v>
      </c>
      <c r="S90" s="4">
        <v>0</v>
      </c>
      <c r="T90" s="4">
        <v>23</v>
      </c>
      <c r="U90" s="4">
        <v>82</v>
      </c>
      <c r="V90" s="4">
        <f>IF(ISERROR(VLOOKUP($S$90,'TAR FIN'!$A$1:$O$85,15,0)),0,VLOOKUP($S$90,'TAR FIN'!$A$1:$O$85,15,0))</f>
        <v>0</v>
      </c>
      <c r="W90" s="4">
        <f>IF(ISERROR(VLOOKUP($T$90,'TAR FIN'!$A$1:$O$85,15,0)),0,VLOOKUP($T$90,'TAR FIN'!$A$1:$O$85,15,0))</f>
        <v>4048.87</v>
      </c>
      <c r="X90" s="4">
        <f>IF(ISERROR(VLOOKUP($U$90,'TAR FIN'!$A$1:$O$85,15,0)),0,VLOOKUP($U$90,'TAR FIN'!$A$1:$O$85,15,0))</f>
        <v>231.33</v>
      </c>
      <c r="Y90" s="4"/>
      <c r="Z90" s="4">
        <f ca="1">('TUSD BE'!$AM$11+'TUSD BF'!$AM$11+'TUSD CVA'!$AM$11)*1</f>
        <v>4890.261914674632</v>
      </c>
      <c r="AA90" s="4">
        <f>('TE BE'!$AA$5+'TE BF'!$AA$5+'TE CVA'!$AA$5)*1</f>
        <v>260.80314197522284</v>
      </c>
      <c r="AB90" s="4">
        <f>$K$90*$V$90</f>
        <v>0</v>
      </c>
      <c r="AC90" s="4">
        <f>$M$90*$W$90</f>
        <v>10166.71257</v>
      </c>
      <c r="AD90" s="4">
        <f>$O$90*$X$90</f>
        <v>580.86963000000003</v>
      </c>
      <c r="AE90" s="4">
        <f>$K$90*$Y$90</f>
        <v>0</v>
      </c>
      <c r="AF90" s="4">
        <f ca="1">$M$90*$Z$90</f>
        <v>12279.447667748002</v>
      </c>
      <c r="AG90" s="4">
        <f>$O$90*$AA$90</f>
        <v>654.87668949978456</v>
      </c>
    </row>
    <row r="91" spans="1:33" ht="11.25" customHeight="1" x14ac:dyDescent="0.25">
      <c r="A91" s="3" t="s">
        <v>21</v>
      </c>
      <c r="B91" s="3" t="s">
        <v>33</v>
      </c>
      <c r="C91" s="3" t="s">
        <v>34</v>
      </c>
      <c r="D91" s="3" t="s">
        <v>40</v>
      </c>
      <c r="E91" s="3" t="s">
        <v>25</v>
      </c>
      <c r="F91" s="3" t="s">
        <v>25</v>
      </c>
      <c r="G91" s="3" t="s">
        <v>25</v>
      </c>
      <c r="H91" s="3" t="s">
        <v>35</v>
      </c>
      <c r="I91" s="6">
        <v>44440</v>
      </c>
      <c r="J91" s="4">
        <v>0</v>
      </c>
      <c r="K91" s="4">
        <v>0</v>
      </c>
      <c r="L91" s="4">
        <v>2.827</v>
      </c>
      <c r="M91" s="4">
        <v>2.827</v>
      </c>
      <c r="N91" s="4">
        <v>2.827</v>
      </c>
      <c r="O91" s="4">
        <v>2.827</v>
      </c>
      <c r="P91" s="4">
        <v>0</v>
      </c>
      <c r="Q91" s="3" t="s">
        <v>26</v>
      </c>
      <c r="R91" s="3">
        <v>0</v>
      </c>
      <c r="S91" s="4">
        <v>0</v>
      </c>
      <c r="T91" s="4">
        <v>23</v>
      </c>
      <c r="U91" s="4">
        <v>82</v>
      </c>
      <c r="V91" s="4">
        <f>IF(ISERROR(VLOOKUP($S$91,'TAR FIN'!$A$1:$O$85,15,0)),0,VLOOKUP($S$91,'TAR FIN'!$A$1:$O$85,15,0))</f>
        <v>0</v>
      </c>
      <c r="W91" s="4">
        <f>IF(ISERROR(VLOOKUP($T$91,'TAR FIN'!$A$1:$O$85,15,0)),0,VLOOKUP($T$91,'TAR FIN'!$A$1:$O$85,15,0))</f>
        <v>4048.87</v>
      </c>
      <c r="X91" s="4">
        <f>IF(ISERROR(VLOOKUP($U$91,'TAR FIN'!$A$1:$O$85,15,0)),0,VLOOKUP($U$91,'TAR FIN'!$A$1:$O$85,15,0))</f>
        <v>231.33</v>
      </c>
      <c r="Y91" s="4"/>
      <c r="Z91" s="4">
        <f ca="1">('TUSD BE'!$AM$11+'TUSD BF'!$AM$11+'TUSD CVA'!$AM$11)*1</f>
        <v>4890.261914674632</v>
      </c>
      <c r="AA91" s="4">
        <f>('TE BE'!$AA$5+'TE BF'!$AA$5+'TE CVA'!$AA$5)*1</f>
        <v>260.80314197522284</v>
      </c>
      <c r="AB91" s="4">
        <f>$K$91*$V$91</f>
        <v>0</v>
      </c>
      <c r="AC91" s="4">
        <f>$M$91*$W$91</f>
        <v>11446.155489999999</v>
      </c>
      <c r="AD91" s="4">
        <f>$O$91*$X$91</f>
        <v>653.96991000000003</v>
      </c>
      <c r="AE91" s="4">
        <f>$K$91*$Y$91</f>
        <v>0</v>
      </c>
      <c r="AF91" s="4">
        <f ca="1">$M$91*$Z$91</f>
        <v>13824.770432785184</v>
      </c>
      <c r="AG91" s="4">
        <f>$O$91*$AA$91</f>
        <v>737.29048236395499</v>
      </c>
    </row>
    <row r="92" spans="1:33" ht="11.25" customHeight="1" x14ac:dyDescent="0.25">
      <c r="A92" s="3" t="s">
        <v>21</v>
      </c>
      <c r="B92" s="3" t="s">
        <v>33</v>
      </c>
      <c r="C92" s="3" t="s">
        <v>34</v>
      </c>
      <c r="D92" s="3" t="s">
        <v>40</v>
      </c>
      <c r="E92" s="3" t="s">
        <v>25</v>
      </c>
      <c r="F92" s="3" t="s">
        <v>25</v>
      </c>
      <c r="G92" s="3" t="s">
        <v>25</v>
      </c>
      <c r="H92" s="3" t="s">
        <v>35</v>
      </c>
      <c r="I92" s="6">
        <v>44470</v>
      </c>
      <c r="J92" s="4">
        <v>0</v>
      </c>
      <c r="K92" s="4">
        <v>0</v>
      </c>
      <c r="L92" s="4">
        <v>1.7969999999999999</v>
      </c>
      <c r="M92" s="4">
        <v>1.7969999999999999</v>
      </c>
      <c r="N92" s="4">
        <v>1.7969999999999999</v>
      </c>
      <c r="O92" s="4">
        <v>1.7969999999999999</v>
      </c>
      <c r="P92" s="4">
        <v>0</v>
      </c>
      <c r="Q92" s="3" t="s">
        <v>26</v>
      </c>
      <c r="R92" s="3">
        <v>0</v>
      </c>
      <c r="S92" s="4">
        <v>0</v>
      </c>
      <c r="T92" s="4">
        <v>23</v>
      </c>
      <c r="U92" s="4">
        <v>82</v>
      </c>
      <c r="V92" s="4">
        <f>IF(ISERROR(VLOOKUP($S$92,'TAR FIN'!$A$1:$O$85,15,0)),0,VLOOKUP($S$92,'TAR FIN'!$A$1:$O$85,15,0))</f>
        <v>0</v>
      </c>
      <c r="W92" s="4">
        <f>IF(ISERROR(VLOOKUP($T$92,'TAR FIN'!$A$1:$O$85,15,0)),0,VLOOKUP($T$92,'TAR FIN'!$A$1:$O$85,15,0))</f>
        <v>4048.87</v>
      </c>
      <c r="X92" s="4">
        <f>IF(ISERROR(VLOOKUP($U$92,'TAR FIN'!$A$1:$O$85,15,0)),0,VLOOKUP($U$92,'TAR FIN'!$A$1:$O$85,15,0))</f>
        <v>231.33</v>
      </c>
      <c r="Y92" s="4"/>
      <c r="Z92" s="4">
        <f ca="1">('TUSD BE'!$AM$11+'TUSD BF'!$AM$11+'TUSD CVA'!$AM$11)*1</f>
        <v>4890.261914674632</v>
      </c>
      <c r="AA92" s="4">
        <f>('TE BE'!$AA$5+'TE BF'!$AA$5+'TE CVA'!$AA$5)*1</f>
        <v>260.80314197522284</v>
      </c>
      <c r="AB92" s="4">
        <f>$K$92*$V$92</f>
        <v>0</v>
      </c>
      <c r="AC92" s="4">
        <f>$M$92*$W$92</f>
        <v>7275.8193899999997</v>
      </c>
      <c r="AD92" s="4">
        <f>$O$92*$X$92</f>
        <v>415.70001000000002</v>
      </c>
      <c r="AE92" s="4">
        <f>$K$92*$Y$92</f>
        <v>0</v>
      </c>
      <c r="AF92" s="4">
        <f ca="1">$M$92*$Z$92</f>
        <v>8787.8006606703129</v>
      </c>
      <c r="AG92" s="4">
        <f>$O$92*$AA$92</f>
        <v>468.66324612947545</v>
      </c>
    </row>
    <row r="93" spans="1:33" ht="11.25" customHeight="1" x14ac:dyDescent="0.25">
      <c r="A93" s="3" t="s">
        <v>21</v>
      </c>
      <c r="B93" s="3" t="s">
        <v>33</v>
      </c>
      <c r="C93" s="3" t="s">
        <v>34</v>
      </c>
      <c r="D93" s="3" t="s">
        <v>40</v>
      </c>
      <c r="E93" s="3" t="s">
        <v>25</v>
      </c>
      <c r="F93" s="3" t="s">
        <v>25</v>
      </c>
      <c r="G93" s="3" t="s">
        <v>25</v>
      </c>
      <c r="H93" s="3" t="s">
        <v>35</v>
      </c>
      <c r="I93" s="6">
        <v>44501</v>
      </c>
      <c r="J93" s="4">
        <v>0</v>
      </c>
      <c r="K93" s="4">
        <v>0</v>
      </c>
      <c r="L93" s="4">
        <v>2.3839999999999999</v>
      </c>
      <c r="M93" s="4">
        <v>2.3839999999999999</v>
      </c>
      <c r="N93" s="4">
        <v>2.3839999999999999</v>
      </c>
      <c r="O93" s="4">
        <v>2.3839999999999999</v>
      </c>
      <c r="P93" s="4">
        <v>0</v>
      </c>
      <c r="Q93" s="3" t="s">
        <v>26</v>
      </c>
      <c r="R93" s="3">
        <v>0</v>
      </c>
      <c r="S93" s="4">
        <v>0</v>
      </c>
      <c r="T93" s="4">
        <v>23</v>
      </c>
      <c r="U93" s="4">
        <v>82</v>
      </c>
      <c r="V93" s="4">
        <f>IF(ISERROR(VLOOKUP($S$93,'TAR FIN'!$A$1:$O$85,15,0)),0,VLOOKUP($S$93,'TAR FIN'!$A$1:$O$85,15,0))</f>
        <v>0</v>
      </c>
      <c r="W93" s="4">
        <f>IF(ISERROR(VLOOKUP($T$93,'TAR FIN'!$A$1:$O$85,15,0)),0,VLOOKUP($T$93,'TAR FIN'!$A$1:$O$85,15,0))</f>
        <v>4048.87</v>
      </c>
      <c r="X93" s="4">
        <f>IF(ISERROR(VLOOKUP($U$93,'TAR FIN'!$A$1:$O$85,15,0)),0,VLOOKUP($U$93,'TAR FIN'!$A$1:$O$85,15,0))</f>
        <v>231.33</v>
      </c>
      <c r="Y93" s="4"/>
      <c r="Z93" s="4">
        <f ca="1">('TUSD BE'!$AM$11+'TUSD BF'!$AM$11+'TUSD CVA'!$AM$11)*1</f>
        <v>4890.261914674632</v>
      </c>
      <c r="AA93" s="4">
        <f>('TE BE'!$AA$5+'TE BF'!$AA$5+'TE CVA'!$AA$5)*1</f>
        <v>260.80314197522284</v>
      </c>
      <c r="AB93" s="4">
        <f>$K$93*$V$93</f>
        <v>0</v>
      </c>
      <c r="AC93" s="4">
        <f>$M$93*$W$93</f>
        <v>9652.5060799999992</v>
      </c>
      <c r="AD93" s="4">
        <f>$O$93*$X$93</f>
        <v>551.49072000000001</v>
      </c>
      <c r="AE93" s="4">
        <f>$K$93*$Y$93</f>
        <v>0</v>
      </c>
      <c r="AF93" s="4">
        <f ca="1">$M$93*$Z$93</f>
        <v>11658.384404584322</v>
      </c>
      <c r="AG93" s="4">
        <f>$O$93*$AA$93</f>
        <v>621.75469046893124</v>
      </c>
    </row>
    <row r="94" spans="1:33" ht="11.25" customHeight="1" x14ac:dyDescent="0.25">
      <c r="A94" s="3" t="s">
        <v>21</v>
      </c>
      <c r="B94" s="3" t="s">
        <v>33</v>
      </c>
      <c r="C94" s="3" t="s">
        <v>34</v>
      </c>
      <c r="D94" s="3" t="s">
        <v>40</v>
      </c>
      <c r="E94" s="3" t="s">
        <v>25</v>
      </c>
      <c r="F94" s="3" t="s">
        <v>25</v>
      </c>
      <c r="G94" s="3" t="s">
        <v>25</v>
      </c>
      <c r="H94" s="3" t="s">
        <v>35</v>
      </c>
      <c r="I94" s="6">
        <v>44531</v>
      </c>
      <c r="J94" s="4">
        <v>0</v>
      </c>
      <c r="K94" s="4">
        <v>0</v>
      </c>
      <c r="L94" s="4">
        <v>3.4359999999999999</v>
      </c>
      <c r="M94" s="4">
        <v>3.4359999999999999</v>
      </c>
      <c r="N94" s="4">
        <v>3.4359999999999999</v>
      </c>
      <c r="O94" s="4">
        <v>3.4359999999999999</v>
      </c>
      <c r="P94" s="4">
        <v>0</v>
      </c>
      <c r="Q94" s="3" t="s">
        <v>26</v>
      </c>
      <c r="R94" s="3">
        <v>0</v>
      </c>
      <c r="S94" s="4">
        <v>0</v>
      </c>
      <c r="T94" s="4">
        <v>23</v>
      </c>
      <c r="U94" s="4">
        <v>82</v>
      </c>
      <c r="V94" s="4">
        <f>IF(ISERROR(VLOOKUP($S$94,'TAR FIN'!$A$1:$O$85,15,0)),0,VLOOKUP($S$94,'TAR FIN'!$A$1:$O$85,15,0))</f>
        <v>0</v>
      </c>
      <c r="W94" s="4">
        <f>IF(ISERROR(VLOOKUP($T$94,'TAR FIN'!$A$1:$O$85,15,0)),0,VLOOKUP($T$94,'TAR FIN'!$A$1:$O$85,15,0))</f>
        <v>4048.87</v>
      </c>
      <c r="X94" s="4">
        <f>IF(ISERROR(VLOOKUP($U$94,'TAR FIN'!$A$1:$O$85,15,0)),0,VLOOKUP($U$94,'TAR FIN'!$A$1:$O$85,15,0))</f>
        <v>231.33</v>
      </c>
      <c r="Y94" s="4"/>
      <c r="Z94" s="4">
        <f ca="1">('TUSD BE'!$AM$11+'TUSD BF'!$AM$11+'TUSD CVA'!$AM$11)*1</f>
        <v>4890.261914674632</v>
      </c>
      <c r="AA94" s="4">
        <f>('TE BE'!$AA$5+'TE BF'!$AA$5+'TE CVA'!$AA$5)*1</f>
        <v>260.80314197522284</v>
      </c>
      <c r="AB94" s="4">
        <f>$K$94*$V$94</f>
        <v>0</v>
      </c>
      <c r="AC94" s="4">
        <f>$M$94*$W$94</f>
        <v>13911.917319999999</v>
      </c>
      <c r="AD94" s="4">
        <f>$O$94*$X$94</f>
        <v>794.84987999999998</v>
      </c>
      <c r="AE94" s="4">
        <f>$K$94*$Y$94</f>
        <v>0</v>
      </c>
      <c r="AF94" s="4">
        <f ca="1">$M$94*$Z$94</f>
        <v>16802.939938822034</v>
      </c>
      <c r="AG94" s="4">
        <f>$O$94*$AA$94</f>
        <v>896.11959582686563</v>
      </c>
    </row>
    <row r="95" spans="1:33" ht="11.25" customHeight="1" x14ac:dyDescent="0.25">
      <c r="A95" s="3" t="s">
        <v>21</v>
      </c>
      <c r="B95" s="3" t="s">
        <v>33</v>
      </c>
      <c r="C95" s="3" t="s">
        <v>34</v>
      </c>
      <c r="D95" s="3" t="s">
        <v>40</v>
      </c>
      <c r="E95" s="3" t="s">
        <v>25</v>
      </c>
      <c r="F95" s="3" t="s">
        <v>25</v>
      </c>
      <c r="G95" s="3" t="s">
        <v>25</v>
      </c>
      <c r="H95" s="3" t="s">
        <v>35</v>
      </c>
      <c r="I95" s="6">
        <v>44562</v>
      </c>
      <c r="J95" s="4">
        <v>0</v>
      </c>
      <c r="K95" s="4">
        <v>0</v>
      </c>
      <c r="L95" s="4">
        <v>4.0890000000000004</v>
      </c>
      <c r="M95" s="4">
        <v>4.0890000000000004</v>
      </c>
      <c r="N95" s="4">
        <v>4.0890000000000004</v>
      </c>
      <c r="O95" s="4">
        <v>4.0890000000000004</v>
      </c>
      <c r="P95" s="4">
        <v>0</v>
      </c>
      <c r="Q95" s="3" t="s">
        <v>26</v>
      </c>
      <c r="R95" s="3">
        <v>0</v>
      </c>
      <c r="S95" s="4">
        <v>0</v>
      </c>
      <c r="T95" s="4">
        <v>23</v>
      </c>
      <c r="U95" s="4">
        <v>82</v>
      </c>
      <c r="V95" s="4">
        <f>IF(ISERROR(VLOOKUP($S$95,'TAR FIN'!$A$1:$O$85,15,0)),0,VLOOKUP($S$95,'TAR FIN'!$A$1:$O$85,15,0))</f>
        <v>0</v>
      </c>
      <c r="W95" s="4">
        <f>IF(ISERROR(VLOOKUP($T$95,'TAR FIN'!$A$1:$O$85,15,0)),0,VLOOKUP($T$95,'TAR FIN'!$A$1:$O$85,15,0))</f>
        <v>4048.87</v>
      </c>
      <c r="X95" s="4">
        <f>IF(ISERROR(VLOOKUP($U$95,'TAR FIN'!$A$1:$O$85,15,0)),0,VLOOKUP($U$95,'TAR FIN'!$A$1:$O$85,15,0))</f>
        <v>231.33</v>
      </c>
      <c r="Y95" s="4"/>
      <c r="Z95" s="4">
        <f ca="1">('TUSD BE'!$AM$11+'TUSD BF'!$AM$11+'TUSD CVA'!$AM$11)*1</f>
        <v>4890.261914674632</v>
      </c>
      <c r="AA95" s="4">
        <f>('TE BE'!$AA$5+'TE BF'!$AA$5+'TE CVA'!$AA$5)*1</f>
        <v>260.80314197522284</v>
      </c>
      <c r="AB95" s="4">
        <f>$K$95*$V$95</f>
        <v>0</v>
      </c>
      <c r="AC95" s="4">
        <f>$M$95*$W$95</f>
        <v>16555.829430000002</v>
      </c>
      <c r="AD95" s="4">
        <f>$O$95*$X$95</f>
        <v>945.9083700000001</v>
      </c>
      <c r="AE95" s="4">
        <f>$K$95*$Y$95</f>
        <v>0</v>
      </c>
      <c r="AF95" s="4">
        <f ca="1">$M$95*$Z$95</f>
        <v>19996.280969104573</v>
      </c>
      <c r="AG95" s="4">
        <f>$O$95*$AA$95</f>
        <v>1066.4240475366862</v>
      </c>
    </row>
    <row r="96" spans="1:33" ht="11.25" customHeight="1" x14ac:dyDescent="0.25">
      <c r="A96" s="3" t="s">
        <v>21</v>
      </c>
      <c r="B96" s="3" t="s">
        <v>33</v>
      </c>
      <c r="C96" s="3" t="s">
        <v>34</v>
      </c>
      <c r="D96" s="3" t="s">
        <v>40</v>
      </c>
      <c r="E96" s="3" t="s">
        <v>25</v>
      </c>
      <c r="F96" s="3" t="s">
        <v>25</v>
      </c>
      <c r="G96" s="3" t="s">
        <v>25</v>
      </c>
      <c r="H96" s="3" t="s">
        <v>35</v>
      </c>
      <c r="I96" s="6">
        <v>44593</v>
      </c>
      <c r="J96" s="4">
        <v>0</v>
      </c>
      <c r="K96" s="4">
        <v>0</v>
      </c>
      <c r="L96" s="4">
        <v>3.367</v>
      </c>
      <c r="M96" s="4">
        <v>3.367</v>
      </c>
      <c r="N96" s="4">
        <v>3.367</v>
      </c>
      <c r="O96" s="4">
        <v>3.367</v>
      </c>
      <c r="P96" s="4">
        <v>0</v>
      </c>
      <c r="Q96" s="3" t="s">
        <v>26</v>
      </c>
      <c r="R96" s="3">
        <v>0</v>
      </c>
      <c r="S96" s="4">
        <v>0</v>
      </c>
      <c r="T96" s="4">
        <v>23</v>
      </c>
      <c r="U96" s="4">
        <v>82</v>
      </c>
      <c r="V96" s="4">
        <f>IF(ISERROR(VLOOKUP($S$96,'TAR FIN'!$A$1:$O$85,15,0)),0,VLOOKUP($S$96,'TAR FIN'!$A$1:$O$85,15,0))</f>
        <v>0</v>
      </c>
      <c r="W96" s="4">
        <f>IF(ISERROR(VLOOKUP($T$96,'TAR FIN'!$A$1:$O$85,15,0)),0,VLOOKUP($T$96,'TAR FIN'!$A$1:$O$85,15,0))</f>
        <v>4048.87</v>
      </c>
      <c r="X96" s="4">
        <f>IF(ISERROR(VLOOKUP($U$96,'TAR FIN'!$A$1:$O$85,15,0)),0,VLOOKUP($U$96,'TAR FIN'!$A$1:$O$85,15,0))</f>
        <v>231.33</v>
      </c>
      <c r="Y96" s="4"/>
      <c r="Z96" s="4">
        <f ca="1">('TUSD BE'!$AM$11+'TUSD BF'!$AM$11+'TUSD CVA'!$AM$11)*1</f>
        <v>4890.261914674632</v>
      </c>
      <c r="AA96" s="4">
        <f>('TE BE'!$AA$5+'TE BF'!$AA$5+'TE CVA'!$AA$5)*1</f>
        <v>260.80314197522284</v>
      </c>
      <c r="AB96" s="4">
        <f>$K$96*$V$96</f>
        <v>0</v>
      </c>
      <c r="AC96" s="4">
        <f>$M$96*$W$96</f>
        <v>13632.54529</v>
      </c>
      <c r="AD96" s="4">
        <f>$O$96*$X$96</f>
        <v>778.8881100000001</v>
      </c>
      <c r="AE96" s="4">
        <f>$K$96*$Y$96</f>
        <v>0</v>
      </c>
      <c r="AF96" s="4">
        <f ca="1">$M$96*$Z$96</f>
        <v>16465.511866709487</v>
      </c>
      <c r="AG96" s="4">
        <f>$O$96*$AA$96</f>
        <v>878.12417903057531</v>
      </c>
    </row>
    <row r="97" spans="1:33" ht="11.25" customHeight="1" x14ac:dyDescent="0.25">
      <c r="A97" s="3" t="s">
        <v>21</v>
      </c>
      <c r="B97" s="3" t="s">
        <v>33</v>
      </c>
      <c r="C97" s="3" t="s">
        <v>34</v>
      </c>
      <c r="D97" s="3" t="s">
        <v>40</v>
      </c>
      <c r="E97" s="3" t="s">
        <v>25</v>
      </c>
      <c r="F97" s="3" t="s">
        <v>25</v>
      </c>
      <c r="G97" s="3" t="s">
        <v>25</v>
      </c>
      <c r="H97" s="3" t="s">
        <v>35</v>
      </c>
      <c r="I97" s="6">
        <v>44621</v>
      </c>
      <c r="J97" s="4">
        <v>0</v>
      </c>
      <c r="K97" s="4">
        <v>0</v>
      </c>
      <c r="L97" s="4">
        <v>3.593</v>
      </c>
      <c r="M97" s="4">
        <v>3.593</v>
      </c>
      <c r="N97" s="4">
        <v>3.593</v>
      </c>
      <c r="O97" s="4">
        <v>3.593</v>
      </c>
      <c r="P97" s="4">
        <v>0</v>
      </c>
      <c r="Q97" s="3" t="s">
        <v>26</v>
      </c>
      <c r="R97" s="3">
        <v>0</v>
      </c>
      <c r="S97" s="4">
        <v>0</v>
      </c>
      <c r="T97" s="4">
        <v>23</v>
      </c>
      <c r="U97" s="4">
        <v>82</v>
      </c>
      <c r="V97" s="4">
        <f>IF(ISERROR(VLOOKUP($S$97,'TAR FIN'!$A$1:$O$85,15,0)),0,VLOOKUP($S$97,'TAR FIN'!$A$1:$O$85,15,0))</f>
        <v>0</v>
      </c>
      <c r="W97" s="4">
        <f>IF(ISERROR(VLOOKUP($T$97,'TAR FIN'!$A$1:$O$85,15,0)),0,VLOOKUP($T$97,'TAR FIN'!$A$1:$O$85,15,0))</f>
        <v>4048.87</v>
      </c>
      <c r="X97" s="4">
        <f>IF(ISERROR(VLOOKUP($U$97,'TAR FIN'!$A$1:$O$85,15,0)),0,VLOOKUP($U$97,'TAR FIN'!$A$1:$O$85,15,0))</f>
        <v>231.33</v>
      </c>
      <c r="Y97" s="4"/>
      <c r="Z97" s="4">
        <f ca="1">('TUSD BE'!$AM$11+'TUSD BF'!$AM$11+'TUSD CVA'!$AM$11)*1</f>
        <v>4890.261914674632</v>
      </c>
      <c r="AA97" s="4">
        <f>('TE BE'!$AA$5+'TE BF'!$AA$5+'TE CVA'!$AA$5)*1</f>
        <v>260.80314197522284</v>
      </c>
      <c r="AB97" s="4">
        <f>$K$97*$V$97</f>
        <v>0</v>
      </c>
      <c r="AC97" s="4">
        <f>$M$97*$W$97</f>
        <v>14547.589909999999</v>
      </c>
      <c r="AD97" s="4">
        <f>$O$97*$X$97</f>
        <v>831.16869000000008</v>
      </c>
      <c r="AE97" s="4">
        <f>$K$97*$Y$97</f>
        <v>0</v>
      </c>
      <c r="AF97" s="4">
        <f ca="1">$M$97*$Z$97</f>
        <v>17570.711059425954</v>
      </c>
      <c r="AG97" s="4">
        <f>$O$97*$AA$97</f>
        <v>937.0656891169757</v>
      </c>
    </row>
    <row r="98" spans="1:33" ht="11.25" customHeight="1" x14ac:dyDescent="0.25">
      <c r="A98" s="3" t="s">
        <v>21</v>
      </c>
      <c r="B98" s="3" t="s">
        <v>33</v>
      </c>
      <c r="C98" s="3" t="s">
        <v>34</v>
      </c>
      <c r="D98" s="3" t="s">
        <v>45</v>
      </c>
      <c r="E98" s="3" t="s">
        <v>25</v>
      </c>
      <c r="F98" s="3" t="s">
        <v>25</v>
      </c>
      <c r="G98" s="3" t="s">
        <v>25</v>
      </c>
      <c r="H98" s="3" t="s">
        <v>36</v>
      </c>
      <c r="I98" s="6">
        <v>44287</v>
      </c>
      <c r="J98" s="4">
        <v>0</v>
      </c>
      <c r="K98" s="4">
        <v>0</v>
      </c>
      <c r="L98" s="4">
        <v>17.858000000000001</v>
      </c>
      <c r="M98" s="4">
        <v>17.858000000000001</v>
      </c>
      <c r="N98" s="4">
        <v>17.858000000000001</v>
      </c>
      <c r="O98" s="4">
        <v>17.858000000000001</v>
      </c>
      <c r="P98" s="4">
        <v>0</v>
      </c>
      <c r="Q98" s="3" t="s">
        <v>26</v>
      </c>
      <c r="R98" s="3">
        <v>0</v>
      </c>
      <c r="S98" s="4">
        <v>0</v>
      </c>
      <c r="T98" s="4">
        <v>24</v>
      </c>
      <c r="U98" s="4">
        <v>83</v>
      </c>
      <c r="V98" s="4">
        <f>IF(ISERROR(VLOOKUP($S$98,'TAR FIN'!$A$1:$O$85,15,0)),0,VLOOKUP($S$98,'TAR FIN'!$A$1:$O$85,15,0))</f>
        <v>0</v>
      </c>
      <c r="W98" s="4">
        <f>IF(ISERROR(VLOOKUP($T$98,'TAR FIN'!$A$1:$O$85,15,0)),0,VLOOKUP($T$98,'TAR FIN'!$A$1:$O$85,15,0))</f>
        <v>103.26</v>
      </c>
      <c r="X98" s="4">
        <f>IF(ISERROR(VLOOKUP($U$98,'TAR FIN'!$A$1:$O$85,15,0)),0,VLOOKUP($U$98,'TAR FIN'!$A$1:$O$85,15,0))</f>
        <v>231.33</v>
      </c>
      <c r="Y98" s="4"/>
      <c r="Z98" s="4">
        <f ca="1">('TUSD BE'!$AM$12+'TUSD BF'!$AM$12+'TUSD CVA'!$AM$12)*1</f>
        <v>136.85799051957201</v>
      </c>
      <c r="AA98" s="4">
        <f>('TE BE'!$AA$6+'TE BF'!$AA$6+'TE CVA'!$AA$6)*1</f>
        <v>260.80314197522284</v>
      </c>
      <c r="AB98" s="4">
        <f>$K$98*$V$98</f>
        <v>0</v>
      </c>
      <c r="AC98" s="4">
        <f>$M$98*$W$98</f>
        <v>1844.0170800000001</v>
      </c>
      <c r="AD98" s="4">
        <f>$O$98*$X$98</f>
        <v>4131.0911400000005</v>
      </c>
      <c r="AE98" s="4">
        <f>$K$98*$Y$98</f>
        <v>0</v>
      </c>
      <c r="AF98" s="4">
        <f ca="1">$M$98*$Z$98</f>
        <v>2444.0099946985169</v>
      </c>
      <c r="AG98" s="4">
        <f>$O$98*$AA$98</f>
        <v>4657.4225093935293</v>
      </c>
    </row>
    <row r="99" spans="1:33" ht="11.25" customHeight="1" x14ac:dyDescent="0.25">
      <c r="A99" s="3" t="s">
        <v>21</v>
      </c>
      <c r="B99" s="3" t="s">
        <v>33</v>
      </c>
      <c r="C99" s="3" t="s">
        <v>34</v>
      </c>
      <c r="D99" s="3" t="s">
        <v>45</v>
      </c>
      <c r="E99" s="3" t="s">
        <v>25</v>
      </c>
      <c r="F99" s="3" t="s">
        <v>25</v>
      </c>
      <c r="G99" s="3" t="s">
        <v>25</v>
      </c>
      <c r="H99" s="3" t="s">
        <v>36</v>
      </c>
      <c r="I99" s="6">
        <v>44317</v>
      </c>
      <c r="J99" s="4">
        <v>0</v>
      </c>
      <c r="K99" s="4">
        <v>0</v>
      </c>
      <c r="L99" s="4">
        <v>16.908000000000001</v>
      </c>
      <c r="M99" s="4">
        <v>16.908000000000001</v>
      </c>
      <c r="N99" s="4">
        <v>16.908000000000001</v>
      </c>
      <c r="O99" s="4">
        <v>16.908000000000001</v>
      </c>
      <c r="P99" s="4">
        <v>0</v>
      </c>
      <c r="Q99" s="3" t="s">
        <v>26</v>
      </c>
      <c r="R99" s="3">
        <v>0</v>
      </c>
      <c r="S99" s="4">
        <v>0</v>
      </c>
      <c r="T99" s="4">
        <v>24</v>
      </c>
      <c r="U99" s="4">
        <v>83</v>
      </c>
      <c r="V99" s="4">
        <f>IF(ISERROR(VLOOKUP($S$99,'TAR FIN'!$A$1:$O$85,15,0)),0,VLOOKUP($S$99,'TAR FIN'!$A$1:$O$85,15,0))</f>
        <v>0</v>
      </c>
      <c r="W99" s="4">
        <f>IF(ISERROR(VLOOKUP($T$99,'TAR FIN'!$A$1:$O$85,15,0)),0,VLOOKUP($T$99,'TAR FIN'!$A$1:$O$85,15,0))</f>
        <v>103.26</v>
      </c>
      <c r="X99" s="4">
        <f>IF(ISERROR(VLOOKUP($U$99,'TAR FIN'!$A$1:$O$85,15,0)),0,VLOOKUP($U$99,'TAR FIN'!$A$1:$O$85,15,0))</f>
        <v>231.33</v>
      </c>
      <c r="Y99" s="4"/>
      <c r="Z99" s="4">
        <f ca="1">('TUSD BE'!$AM$12+'TUSD BF'!$AM$12+'TUSD CVA'!$AM$12)*1</f>
        <v>136.85799051957201</v>
      </c>
      <c r="AA99" s="4">
        <f>('TE BE'!$AA$6+'TE BF'!$AA$6+'TE CVA'!$AA$6)*1</f>
        <v>260.80314197522284</v>
      </c>
      <c r="AB99" s="4">
        <f>$K$99*$V$99</f>
        <v>0</v>
      </c>
      <c r="AC99" s="4">
        <f>$M$99*$W$99</f>
        <v>1745.9200800000003</v>
      </c>
      <c r="AD99" s="4">
        <f>$O$99*$X$99</f>
        <v>3911.3276400000004</v>
      </c>
      <c r="AE99" s="4">
        <f>$K$99*$Y$99</f>
        <v>0</v>
      </c>
      <c r="AF99" s="4">
        <f ca="1">$M$99*$Z$99</f>
        <v>2313.9949037049237</v>
      </c>
      <c r="AG99" s="4">
        <f>$O$99*$AA$99</f>
        <v>4409.6595245170683</v>
      </c>
    </row>
    <row r="100" spans="1:33" ht="11.25" customHeight="1" x14ac:dyDescent="0.25">
      <c r="A100" s="3" t="s">
        <v>21</v>
      </c>
      <c r="B100" s="3" t="s">
        <v>33</v>
      </c>
      <c r="C100" s="3" t="s">
        <v>34</v>
      </c>
      <c r="D100" s="3" t="s">
        <v>45</v>
      </c>
      <c r="E100" s="3" t="s">
        <v>25</v>
      </c>
      <c r="F100" s="3" t="s">
        <v>25</v>
      </c>
      <c r="G100" s="3" t="s">
        <v>25</v>
      </c>
      <c r="H100" s="3" t="s">
        <v>36</v>
      </c>
      <c r="I100" s="6">
        <v>44348</v>
      </c>
      <c r="J100" s="4">
        <v>0</v>
      </c>
      <c r="K100" s="4">
        <v>0</v>
      </c>
      <c r="L100" s="4">
        <v>14.92</v>
      </c>
      <c r="M100" s="4">
        <v>14.92</v>
      </c>
      <c r="N100" s="4">
        <v>14.92</v>
      </c>
      <c r="O100" s="4">
        <v>14.92</v>
      </c>
      <c r="P100" s="4">
        <v>0</v>
      </c>
      <c r="Q100" s="3" t="s">
        <v>26</v>
      </c>
      <c r="R100" s="3">
        <v>0</v>
      </c>
      <c r="S100" s="4">
        <v>0</v>
      </c>
      <c r="T100" s="4">
        <v>24</v>
      </c>
      <c r="U100" s="4">
        <v>83</v>
      </c>
      <c r="V100" s="4">
        <f>IF(ISERROR(VLOOKUP($S$100,'TAR FIN'!$A$1:$O$85,15,0)),0,VLOOKUP($S$100,'TAR FIN'!$A$1:$O$85,15,0))</f>
        <v>0</v>
      </c>
      <c r="W100" s="4">
        <f>IF(ISERROR(VLOOKUP($T$100,'TAR FIN'!$A$1:$O$85,15,0)),0,VLOOKUP($T$100,'TAR FIN'!$A$1:$O$85,15,0))</f>
        <v>103.26</v>
      </c>
      <c r="X100" s="4">
        <f>IF(ISERROR(VLOOKUP($U$100,'TAR FIN'!$A$1:$O$85,15,0)),0,VLOOKUP($U$100,'TAR FIN'!$A$1:$O$85,15,0))</f>
        <v>231.33</v>
      </c>
      <c r="Y100" s="4"/>
      <c r="Z100" s="4">
        <f ca="1">('TUSD BE'!$AM$12+'TUSD BF'!$AM$12+'TUSD CVA'!$AM$12)*1</f>
        <v>136.85799051957201</v>
      </c>
      <c r="AA100" s="4">
        <f>('TE BE'!$AA$6+'TE BF'!$AA$6+'TE CVA'!$AA$6)*1</f>
        <v>260.80314197522284</v>
      </c>
      <c r="AB100" s="4">
        <f>$K$100*$V$100</f>
        <v>0</v>
      </c>
      <c r="AC100" s="4">
        <f>$M$100*$W$100</f>
        <v>1540.6392000000001</v>
      </c>
      <c r="AD100" s="4">
        <f>$O$100*$X$100</f>
        <v>3451.4436000000001</v>
      </c>
      <c r="AE100" s="4">
        <f>$K$100*$Y$100</f>
        <v>0</v>
      </c>
      <c r="AF100" s="4">
        <f ca="1">$M$100*$Z$100</f>
        <v>2041.9212185520144</v>
      </c>
      <c r="AG100" s="4">
        <f>$O$100*$AA$100</f>
        <v>3891.1828782703246</v>
      </c>
    </row>
    <row r="101" spans="1:33" ht="11.25" customHeight="1" x14ac:dyDescent="0.25">
      <c r="A101" s="3" t="s">
        <v>21</v>
      </c>
      <c r="B101" s="3" t="s">
        <v>33</v>
      </c>
      <c r="C101" s="3" t="s">
        <v>34</v>
      </c>
      <c r="D101" s="3" t="s">
        <v>45</v>
      </c>
      <c r="E101" s="3" t="s">
        <v>25</v>
      </c>
      <c r="F101" s="3" t="s">
        <v>25</v>
      </c>
      <c r="G101" s="3" t="s">
        <v>25</v>
      </c>
      <c r="H101" s="3" t="s">
        <v>36</v>
      </c>
      <c r="I101" s="6">
        <v>44378</v>
      </c>
      <c r="J101" s="4">
        <v>0</v>
      </c>
      <c r="K101" s="4">
        <v>0</v>
      </c>
      <c r="L101" s="4">
        <v>13.882999999999999</v>
      </c>
      <c r="M101" s="4">
        <v>13.882999999999999</v>
      </c>
      <c r="N101" s="4">
        <v>13.882999999999999</v>
      </c>
      <c r="O101" s="4">
        <v>13.882999999999999</v>
      </c>
      <c r="P101" s="4">
        <v>0</v>
      </c>
      <c r="Q101" s="3" t="s">
        <v>26</v>
      </c>
      <c r="R101" s="3">
        <v>0</v>
      </c>
      <c r="S101" s="4">
        <v>0</v>
      </c>
      <c r="T101" s="4">
        <v>24</v>
      </c>
      <c r="U101" s="4">
        <v>83</v>
      </c>
      <c r="V101" s="4">
        <f>IF(ISERROR(VLOOKUP($S$101,'TAR FIN'!$A$1:$O$85,15,0)),0,VLOOKUP($S$101,'TAR FIN'!$A$1:$O$85,15,0))</f>
        <v>0</v>
      </c>
      <c r="W101" s="4">
        <f>IF(ISERROR(VLOOKUP($T$101,'TAR FIN'!$A$1:$O$85,15,0)),0,VLOOKUP($T$101,'TAR FIN'!$A$1:$O$85,15,0))</f>
        <v>103.26</v>
      </c>
      <c r="X101" s="4">
        <f>IF(ISERROR(VLOOKUP($U$101,'TAR FIN'!$A$1:$O$85,15,0)),0,VLOOKUP($U$101,'TAR FIN'!$A$1:$O$85,15,0))</f>
        <v>231.33</v>
      </c>
      <c r="Y101" s="4"/>
      <c r="Z101" s="4">
        <f ca="1">('TUSD BE'!$AM$12+'TUSD BF'!$AM$12+'TUSD CVA'!$AM$12)*1</f>
        <v>136.85799051957201</v>
      </c>
      <c r="AA101" s="4">
        <f>('TE BE'!$AA$6+'TE BF'!$AA$6+'TE CVA'!$AA$6)*1</f>
        <v>260.80314197522284</v>
      </c>
      <c r="AB101" s="4">
        <f>$K$101*$V$101</f>
        <v>0</v>
      </c>
      <c r="AC101" s="4">
        <f>$M$101*$W$101</f>
        <v>1433.5585799999999</v>
      </c>
      <c r="AD101" s="4">
        <f>$O$101*$X$101</f>
        <v>3211.5543899999998</v>
      </c>
      <c r="AE101" s="4">
        <f>$K$101*$Y$101</f>
        <v>0</v>
      </c>
      <c r="AF101" s="4">
        <f ca="1">$M$101*$Z$101</f>
        <v>1899.999482383218</v>
      </c>
      <c r="AG101" s="4">
        <f>$O$101*$AA$101</f>
        <v>3620.7300200420186</v>
      </c>
    </row>
    <row r="102" spans="1:33" ht="11.25" customHeight="1" x14ac:dyDescent="0.25">
      <c r="A102" s="3" t="s">
        <v>21</v>
      </c>
      <c r="B102" s="3" t="s">
        <v>33</v>
      </c>
      <c r="C102" s="3" t="s">
        <v>34</v>
      </c>
      <c r="D102" s="3" t="s">
        <v>45</v>
      </c>
      <c r="E102" s="3" t="s">
        <v>25</v>
      </c>
      <c r="F102" s="3" t="s">
        <v>25</v>
      </c>
      <c r="G102" s="3" t="s">
        <v>25</v>
      </c>
      <c r="H102" s="3" t="s">
        <v>36</v>
      </c>
      <c r="I102" s="6">
        <v>44409</v>
      </c>
      <c r="J102" s="4">
        <v>0</v>
      </c>
      <c r="K102" s="4">
        <v>0</v>
      </c>
      <c r="L102" s="4">
        <v>17.443000000000001</v>
      </c>
      <c r="M102" s="4">
        <v>17.443000000000001</v>
      </c>
      <c r="N102" s="4">
        <v>17.443000000000001</v>
      </c>
      <c r="O102" s="4">
        <v>17.443000000000001</v>
      </c>
      <c r="P102" s="4">
        <v>0</v>
      </c>
      <c r="Q102" s="3" t="s">
        <v>26</v>
      </c>
      <c r="R102" s="3">
        <v>0</v>
      </c>
      <c r="S102" s="4">
        <v>0</v>
      </c>
      <c r="T102" s="4">
        <v>24</v>
      </c>
      <c r="U102" s="4">
        <v>83</v>
      </c>
      <c r="V102" s="4">
        <f>IF(ISERROR(VLOOKUP($S$102,'TAR FIN'!$A$1:$O$85,15,0)),0,VLOOKUP($S$102,'TAR FIN'!$A$1:$O$85,15,0))</f>
        <v>0</v>
      </c>
      <c r="W102" s="4">
        <f>IF(ISERROR(VLOOKUP($T$102,'TAR FIN'!$A$1:$O$85,15,0)),0,VLOOKUP($T$102,'TAR FIN'!$A$1:$O$85,15,0))</f>
        <v>103.26</v>
      </c>
      <c r="X102" s="4">
        <f>IF(ISERROR(VLOOKUP($U$102,'TAR FIN'!$A$1:$O$85,15,0)),0,VLOOKUP($U$102,'TAR FIN'!$A$1:$O$85,15,0))</f>
        <v>231.33</v>
      </c>
      <c r="Y102" s="4"/>
      <c r="Z102" s="4">
        <f ca="1">('TUSD BE'!$AM$12+'TUSD BF'!$AM$12+'TUSD CVA'!$AM$12)*1</f>
        <v>136.85799051957201</v>
      </c>
      <c r="AA102" s="4">
        <f>('TE BE'!$AA$6+'TE BF'!$AA$6+'TE CVA'!$AA$6)*1</f>
        <v>260.80314197522284</v>
      </c>
      <c r="AB102" s="4">
        <f>$K$102*$V$102</f>
        <v>0</v>
      </c>
      <c r="AC102" s="4">
        <f>$M$102*$W$102</f>
        <v>1801.1641800000002</v>
      </c>
      <c r="AD102" s="4">
        <f>$O$102*$X$102</f>
        <v>4035.0891900000006</v>
      </c>
      <c r="AE102" s="4">
        <f>$K$102*$Y$102</f>
        <v>0</v>
      </c>
      <c r="AF102" s="4">
        <f ca="1">$M$102*$Z$102</f>
        <v>2387.2139286328947</v>
      </c>
      <c r="AG102" s="4">
        <f>$O$102*$AA$102</f>
        <v>4549.1892054738128</v>
      </c>
    </row>
    <row r="103" spans="1:33" ht="11.25" customHeight="1" x14ac:dyDescent="0.25">
      <c r="A103" s="3" t="s">
        <v>21</v>
      </c>
      <c r="B103" s="3" t="s">
        <v>33</v>
      </c>
      <c r="C103" s="3" t="s">
        <v>34</v>
      </c>
      <c r="D103" s="3" t="s">
        <v>45</v>
      </c>
      <c r="E103" s="3" t="s">
        <v>25</v>
      </c>
      <c r="F103" s="3" t="s">
        <v>25</v>
      </c>
      <c r="G103" s="3" t="s">
        <v>25</v>
      </c>
      <c r="H103" s="3" t="s">
        <v>36</v>
      </c>
      <c r="I103" s="6">
        <v>44440</v>
      </c>
      <c r="J103" s="4">
        <v>0</v>
      </c>
      <c r="K103" s="4">
        <v>0</v>
      </c>
      <c r="L103" s="4">
        <v>22.948</v>
      </c>
      <c r="M103" s="4">
        <v>22.948</v>
      </c>
      <c r="N103" s="4">
        <v>22.948</v>
      </c>
      <c r="O103" s="4">
        <v>22.948</v>
      </c>
      <c r="P103" s="4">
        <v>0</v>
      </c>
      <c r="Q103" s="3" t="s">
        <v>26</v>
      </c>
      <c r="R103" s="3">
        <v>0</v>
      </c>
      <c r="S103" s="4">
        <v>0</v>
      </c>
      <c r="T103" s="4">
        <v>24</v>
      </c>
      <c r="U103" s="4">
        <v>83</v>
      </c>
      <c r="V103" s="4">
        <f>IF(ISERROR(VLOOKUP($S$103,'TAR FIN'!$A$1:$O$85,15,0)),0,VLOOKUP($S$103,'TAR FIN'!$A$1:$O$85,15,0))</f>
        <v>0</v>
      </c>
      <c r="W103" s="4">
        <f>IF(ISERROR(VLOOKUP($T$103,'TAR FIN'!$A$1:$O$85,15,0)),0,VLOOKUP($T$103,'TAR FIN'!$A$1:$O$85,15,0))</f>
        <v>103.26</v>
      </c>
      <c r="X103" s="4">
        <f>IF(ISERROR(VLOOKUP($U$103,'TAR FIN'!$A$1:$O$85,15,0)),0,VLOOKUP($U$103,'TAR FIN'!$A$1:$O$85,15,0))</f>
        <v>231.33</v>
      </c>
      <c r="Y103" s="4"/>
      <c r="Z103" s="4">
        <f ca="1">('TUSD BE'!$AM$12+'TUSD BF'!$AM$12+'TUSD CVA'!$AM$12)*1</f>
        <v>136.85799051957201</v>
      </c>
      <c r="AA103" s="4">
        <f>('TE BE'!$AA$6+'TE BF'!$AA$6+'TE CVA'!$AA$6)*1</f>
        <v>260.80314197522284</v>
      </c>
      <c r="AB103" s="4">
        <f>$K$103*$V$103</f>
        <v>0</v>
      </c>
      <c r="AC103" s="4">
        <f>$M$103*$W$103</f>
        <v>2369.6104800000003</v>
      </c>
      <c r="AD103" s="4">
        <f>$O$103*$X$103</f>
        <v>5308.5608400000001</v>
      </c>
      <c r="AE103" s="4">
        <f>$K$103*$Y$103</f>
        <v>0</v>
      </c>
      <c r="AF103" s="4">
        <f ca="1">$M$103*$Z$103</f>
        <v>3140.6171664431386</v>
      </c>
      <c r="AG103" s="4">
        <f>$O$103*$AA$103</f>
        <v>5984.9105020474135</v>
      </c>
    </row>
    <row r="104" spans="1:33" ht="11.25" customHeight="1" x14ac:dyDescent="0.25">
      <c r="A104" s="3" t="s">
        <v>21</v>
      </c>
      <c r="B104" s="3" t="s">
        <v>33</v>
      </c>
      <c r="C104" s="3" t="s">
        <v>34</v>
      </c>
      <c r="D104" s="3" t="s">
        <v>45</v>
      </c>
      <c r="E104" s="3" t="s">
        <v>25</v>
      </c>
      <c r="F104" s="3" t="s">
        <v>25</v>
      </c>
      <c r="G104" s="3" t="s">
        <v>25</v>
      </c>
      <c r="H104" s="3" t="s">
        <v>36</v>
      </c>
      <c r="I104" s="6">
        <v>44470</v>
      </c>
      <c r="J104" s="4">
        <v>0</v>
      </c>
      <c r="K104" s="4">
        <v>0</v>
      </c>
      <c r="L104" s="4">
        <v>19.547999999999998</v>
      </c>
      <c r="M104" s="4">
        <v>19.547999999999998</v>
      </c>
      <c r="N104" s="4">
        <v>19.547999999999998</v>
      </c>
      <c r="O104" s="4">
        <v>19.547999999999998</v>
      </c>
      <c r="P104" s="4">
        <v>0</v>
      </c>
      <c r="Q104" s="3" t="s">
        <v>26</v>
      </c>
      <c r="R104" s="3">
        <v>0</v>
      </c>
      <c r="S104" s="4">
        <v>0</v>
      </c>
      <c r="T104" s="4">
        <v>24</v>
      </c>
      <c r="U104" s="4">
        <v>83</v>
      </c>
      <c r="V104" s="4">
        <f>IF(ISERROR(VLOOKUP($S$104,'TAR FIN'!$A$1:$O$85,15,0)),0,VLOOKUP($S$104,'TAR FIN'!$A$1:$O$85,15,0))</f>
        <v>0</v>
      </c>
      <c r="W104" s="4">
        <f>IF(ISERROR(VLOOKUP($T$104,'TAR FIN'!$A$1:$O$85,15,0)),0,VLOOKUP($T$104,'TAR FIN'!$A$1:$O$85,15,0))</f>
        <v>103.26</v>
      </c>
      <c r="X104" s="4">
        <f>IF(ISERROR(VLOOKUP($U$104,'TAR FIN'!$A$1:$O$85,15,0)),0,VLOOKUP($U$104,'TAR FIN'!$A$1:$O$85,15,0))</f>
        <v>231.33</v>
      </c>
      <c r="Y104" s="4"/>
      <c r="Z104" s="4">
        <f ca="1">('TUSD BE'!$AM$12+'TUSD BF'!$AM$12+'TUSD CVA'!$AM$12)*1</f>
        <v>136.85799051957201</v>
      </c>
      <c r="AA104" s="4">
        <f>('TE BE'!$AA$6+'TE BF'!$AA$6+'TE CVA'!$AA$6)*1</f>
        <v>260.80314197522284</v>
      </c>
      <c r="AB104" s="4">
        <f>$K$104*$V$104</f>
        <v>0</v>
      </c>
      <c r="AC104" s="4">
        <f>$M$104*$W$104</f>
        <v>2018.52648</v>
      </c>
      <c r="AD104" s="4">
        <f>$O$104*$X$104</f>
        <v>4522.0388400000002</v>
      </c>
      <c r="AE104" s="4">
        <f>$K$104*$Y$104</f>
        <v>0</v>
      </c>
      <c r="AF104" s="4">
        <f ca="1">$M$104*$Z$104</f>
        <v>2675.2999986765935</v>
      </c>
      <c r="AG104" s="4">
        <f>$O$104*$AA$104</f>
        <v>5098.1798193316554</v>
      </c>
    </row>
    <row r="105" spans="1:33" ht="11.25" customHeight="1" x14ac:dyDescent="0.25">
      <c r="A105" s="3" t="s">
        <v>21</v>
      </c>
      <c r="B105" s="3" t="s">
        <v>33</v>
      </c>
      <c r="C105" s="3" t="s">
        <v>34</v>
      </c>
      <c r="D105" s="3" t="s">
        <v>45</v>
      </c>
      <c r="E105" s="3" t="s">
        <v>25</v>
      </c>
      <c r="F105" s="3" t="s">
        <v>25</v>
      </c>
      <c r="G105" s="3" t="s">
        <v>25</v>
      </c>
      <c r="H105" s="3" t="s">
        <v>36</v>
      </c>
      <c r="I105" s="6">
        <v>44501</v>
      </c>
      <c r="J105" s="4">
        <v>0</v>
      </c>
      <c r="K105" s="4">
        <v>0</v>
      </c>
      <c r="L105" s="4">
        <v>25.852</v>
      </c>
      <c r="M105" s="4">
        <v>25.852</v>
      </c>
      <c r="N105" s="4">
        <v>25.852</v>
      </c>
      <c r="O105" s="4">
        <v>25.852</v>
      </c>
      <c r="P105" s="4">
        <v>0</v>
      </c>
      <c r="Q105" s="3" t="s">
        <v>26</v>
      </c>
      <c r="R105" s="3">
        <v>0</v>
      </c>
      <c r="S105" s="4">
        <v>0</v>
      </c>
      <c r="T105" s="4">
        <v>24</v>
      </c>
      <c r="U105" s="4">
        <v>83</v>
      </c>
      <c r="V105" s="4">
        <f>IF(ISERROR(VLOOKUP($S$105,'TAR FIN'!$A$1:$O$85,15,0)),0,VLOOKUP($S$105,'TAR FIN'!$A$1:$O$85,15,0))</f>
        <v>0</v>
      </c>
      <c r="W105" s="4">
        <f>IF(ISERROR(VLOOKUP($T$105,'TAR FIN'!$A$1:$O$85,15,0)),0,VLOOKUP($T$105,'TAR FIN'!$A$1:$O$85,15,0))</f>
        <v>103.26</v>
      </c>
      <c r="X105" s="4">
        <f>IF(ISERROR(VLOOKUP($U$105,'TAR FIN'!$A$1:$O$85,15,0)),0,VLOOKUP($U$105,'TAR FIN'!$A$1:$O$85,15,0))</f>
        <v>231.33</v>
      </c>
      <c r="Y105" s="4"/>
      <c r="Z105" s="4">
        <f ca="1">('TUSD BE'!$AM$12+'TUSD BF'!$AM$12+'TUSD CVA'!$AM$12)*1</f>
        <v>136.85799051957201</v>
      </c>
      <c r="AA105" s="4">
        <f>('TE BE'!$AA$6+'TE BF'!$AA$6+'TE CVA'!$AA$6)*1</f>
        <v>260.80314197522284</v>
      </c>
      <c r="AB105" s="4">
        <f>$K$105*$V$105</f>
        <v>0</v>
      </c>
      <c r="AC105" s="4">
        <f>$M$105*$W$105</f>
        <v>2669.4775200000004</v>
      </c>
      <c r="AD105" s="4">
        <f>$O$105*$X$105</f>
        <v>5980.3431600000004</v>
      </c>
      <c r="AE105" s="4">
        <f>$K$105*$Y$105</f>
        <v>0</v>
      </c>
      <c r="AF105" s="4">
        <f ca="1">$M$105*$Z$105</f>
        <v>3538.0527709119756</v>
      </c>
      <c r="AG105" s="4">
        <f>$O$105*$AA$105</f>
        <v>6742.2828263434612</v>
      </c>
    </row>
    <row r="106" spans="1:33" ht="11.25" customHeight="1" x14ac:dyDescent="0.25">
      <c r="A106" s="3" t="s">
        <v>21</v>
      </c>
      <c r="B106" s="3" t="s">
        <v>33</v>
      </c>
      <c r="C106" s="3" t="s">
        <v>34</v>
      </c>
      <c r="D106" s="3" t="s">
        <v>45</v>
      </c>
      <c r="E106" s="3" t="s">
        <v>25</v>
      </c>
      <c r="F106" s="3" t="s">
        <v>25</v>
      </c>
      <c r="G106" s="3" t="s">
        <v>25</v>
      </c>
      <c r="H106" s="3" t="s">
        <v>36</v>
      </c>
      <c r="I106" s="6">
        <v>44531</v>
      </c>
      <c r="J106" s="4">
        <v>0</v>
      </c>
      <c r="K106" s="4">
        <v>0</v>
      </c>
      <c r="L106" s="4">
        <v>27.331</v>
      </c>
      <c r="M106" s="4">
        <v>27.331</v>
      </c>
      <c r="N106" s="4">
        <v>27.331</v>
      </c>
      <c r="O106" s="4">
        <v>27.331</v>
      </c>
      <c r="P106" s="4">
        <v>0</v>
      </c>
      <c r="Q106" s="3" t="s">
        <v>26</v>
      </c>
      <c r="R106" s="3">
        <v>0</v>
      </c>
      <c r="S106" s="4">
        <v>0</v>
      </c>
      <c r="T106" s="4">
        <v>24</v>
      </c>
      <c r="U106" s="4">
        <v>83</v>
      </c>
      <c r="V106" s="4">
        <f>IF(ISERROR(VLOOKUP($S$106,'TAR FIN'!$A$1:$O$85,15,0)),0,VLOOKUP($S$106,'TAR FIN'!$A$1:$O$85,15,0))</f>
        <v>0</v>
      </c>
      <c r="W106" s="4">
        <f>IF(ISERROR(VLOOKUP($T$106,'TAR FIN'!$A$1:$O$85,15,0)),0,VLOOKUP($T$106,'TAR FIN'!$A$1:$O$85,15,0))</f>
        <v>103.26</v>
      </c>
      <c r="X106" s="4">
        <f>IF(ISERROR(VLOOKUP($U$106,'TAR FIN'!$A$1:$O$85,15,0)),0,VLOOKUP($U$106,'TAR FIN'!$A$1:$O$85,15,0))</f>
        <v>231.33</v>
      </c>
      <c r="Y106" s="4"/>
      <c r="Z106" s="4">
        <f ca="1">('TUSD BE'!$AM$12+'TUSD BF'!$AM$12+'TUSD CVA'!$AM$12)*1</f>
        <v>136.85799051957201</v>
      </c>
      <c r="AA106" s="4">
        <f>('TE BE'!$AA$6+'TE BF'!$AA$6+'TE CVA'!$AA$6)*1</f>
        <v>260.80314197522284</v>
      </c>
      <c r="AB106" s="4">
        <f>$K$106*$V$106</f>
        <v>0</v>
      </c>
      <c r="AC106" s="4">
        <f>$M$106*$W$106</f>
        <v>2822.1990599999999</v>
      </c>
      <c r="AD106" s="4">
        <f>$O$106*$X$106</f>
        <v>6322.4802300000001</v>
      </c>
      <c r="AE106" s="4">
        <f>$K$106*$Y$106</f>
        <v>0</v>
      </c>
      <c r="AF106" s="4">
        <f ca="1">$M$106*$Z$106</f>
        <v>3740.4657388904225</v>
      </c>
      <c r="AG106" s="4">
        <f>$O$106*$AA$106</f>
        <v>7128.0106733248158</v>
      </c>
    </row>
    <row r="107" spans="1:33" ht="11.25" customHeight="1" x14ac:dyDescent="0.25">
      <c r="A107" s="3" t="s">
        <v>21</v>
      </c>
      <c r="B107" s="3" t="s">
        <v>33</v>
      </c>
      <c r="C107" s="3" t="s">
        <v>34</v>
      </c>
      <c r="D107" s="3" t="s">
        <v>45</v>
      </c>
      <c r="E107" s="3" t="s">
        <v>25</v>
      </c>
      <c r="F107" s="3" t="s">
        <v>25</v>
      </c>
      <c r="G107" s="3" t="s">
        <v>25</v>
      </c>
      <c r="H107" s="3" t="s">
        <v>36</v>
      </c>
      <c r="I107" s="6">
        <v>44562</v>
      </c>
      <c r="J107" s="4">
        <v>0</v>
      </c>
      <c r="K107" s="4">
        <v>0</v>
      </c>
      <c r="L107" s="4">
        <v>31.334</v>
      </c>
      <c r="M107" s="4">
        <v>31.334</v>
      </c>
      <c r="N107" s="4">
        <v>31.334</v>
      </c>
      <c r="O107" s="4">
        <v>31.334</v>
      </c>
      <c r="P107" s="4">
        <v>0</v>
      </c>
      <c r="Q107" s="3" t="s">
        <v>26</v>
      </c>
      <c r="R107" s="3">
        <v>0</v>
      </c>
      <c r="S107" s="4">
        <v>0</v>
      </c>
      <c r="T107" s="4">
        <v>24</v>
      </c>
      <c r="U107" s="4">
        <v>83</v>
      </c>
      <c r="V107" s="4">
        <f>IF(ISERROR(VLOOKUP($S$107,'TAR FIN'!$A$1:$O$85,15,0)),0,VLOOKUP($S$107,'TAR FIN'!$A$1:$O$85,15,0))</f>
        <v>0</v>
      </c>
      <c r="W107" s="4">
        <f>IF(ISERROR(VLOOKUP($T$107,'TAR FIN'!$A$1:$O$85,15,0)),0,VLOOKUP($T$107,'TAR FIN'!$A$1:$O$85,15,0))</f>
        <v>103.26</v>
      </c>
      <c r="X107" s="4">
        <f>IF(ISERROR(VLOOKUP($U$107,'TAR FIN'!$A$1:$O$85,15,0)),0,VLOOKUP($U$107,'TAR FIN'!$A$1:$O$85,15,0))</f>
        <v>231.33</v>
      </c>
      <c r="Y107" s="4"/>
      <c r="Z107" s="4">
        <f ca="1">('TUSD BE'!$AM$12+'TUSD BF'!$AM$12+'TUSD CVA'!$AM$12)*1</f>
        <v>136.85799051957201</v>
      </c>
      <c r="AA107" s="4">
        <f>('TE BE'!$AA$6+'TE BF'!$AA$6+'TE CVA'!$AA$6)*1</f>
        <v>260.80314197522284</v>
      </c>
      <c r="AB107" s="4">
        <f>$K$107*$V$107</f>
        <v>0</v>
      </c>
      <c r="AC107" s="4">
        <f>$M$107*$W$107</f>
        <v>3235.5488399999999</v>
      </c>
      <c r="AD107" s="4">
        <f>$O$107*$X$107</f>
        <v>7248.4942200000005</v>
      </c>
      <c r="AE107" s="4">
        <f>$K$107*$Y$107</f>
        <v>0</v>
      </c>
      <c r="AF107" s="4">
        <f ca="1">$M$107*$Z$107</f>
        <v>4288.3082749402693</v>
      </c>
      <c r="AG107" s="4">
        <f>$O$107*$AA$107</f>
        <v>8172.0056506516321</v>
      </c>
    </row>
    <row r="108" spans="1:33" ht="11.25" customHeight="1" x14ac:dyDescent="0.25">
      <c r="A108" s="3" t="s">
        <v>21</v>
      </c>
      <c r="B108" s="3" t="s">
        <v>33</v>
      </c>
      <c r="C108" s="3" t="s">
        <v>34</v>
      </c>
      <c r="D108" s="3" t="s">
        <v>45</v>
      </c>
      <c r="E108" s="3" t="s">
        <v>25</v>
      </c>
      <c r="F108" s="3" t="s">
        <v>25</v>
      </c>
      <c r="G108" s="3" t="s">
        <v>25</v>
      </c>
      <c r="H108" s="3" t="s">
        <v>36</v>
      </c>
      <c r="I108" s="6">
        <v>44593</v>
      </c>
      <c r="J108" s="4">
        <v>0</v>
      </c>
      <c r="K108" s="4">
        <v>0</v>
      </c>
      <c r="L108" s="4">
        <v>30.015000000000001</v>
      </c>
      <c r="M108" s="4">
        <v>30.015000000000001</v>
      </c>
      <c r="N108" s="4">
        <v>30.015000000000001</v>
      </c>
      <c r="O108" s="4">
        <v>30.015000000000001</v>
      </c>
      <c r="P108" s="4">
        <v>0</v>
      </c>
      <c r="Q108" s="3" t="s">
        <v>26</v>
      </c>
      <c r="R108" s="3">
        <v>0</v>
      </c>
      <c r="S108" s="4">
        <v>0</v>
      </c>
      <c r="T108" s="4">
        <v>24</v>
      </c>
      <c r="U108" s="4">
        <v>83</v>
      </c>
      <c r="V108" s="4">
        <f>IF(ISERROR(VLOOKUP($S$108,'TAR FIN'!$A$1:$O$85,15,0)),0,VLOOKUP($S$108,'TAR FIN'!$A$1:$O$85,15,0))</f>
        <v>0</v>
      </c>
      <c r="W108" s="4">
        <f>IF(ISERROR(VLOOKUP($T$108,'TAR FIN'!$A$1:$O$85,15,0)),0,VLOOKUP($T$108,'TAR FIN'!$A$1:$O$85,15,0))</f>
        <v>103.26</v>
      </c>
      <c r="X108" s="4">
        <f>IF(ISERROR(VLOOKUP($U$108,'TAR FIN'!$A$1:$O$85,15,0)),0,VLOOKUP($U$108,'TAR FIN'!$A$1:$O$85,15,0))</f>
        <v>231.33</v>
      </c>
      <c r="Y108" s="4"/>
      <c r="Z108" s="4">
        <f ca="1">('TUSD BE'!$AM$12+'TUSD BF'!$AM$12+'TUSD CVA'!$AM$12)*1</f>
        <v>136.85799051957201</v>
      </c>
      <c r="AA108" s="4">
        <f>('TE BE'!$AA$6+'TE BF'!$AA$6+'TE CVA'!$AA$6)*1</f>
        <v>260.80314197522284</v>
      </c>
      <c r="AB108" s="4">
        <f>$K$108*$V$108</f>
        <v>0</v>
      </c>
      <c r="AC108" s="4">
        <f>$M$108*$W$108</f>
        <v>3099.3489000000004</v>
      </c>
      <c r="AD108" s="4">
        <f>$O$108*$X$108</f>
        <v>6943.3699500000002</v>
      </c>
      <c r="AE108" s="4">
        <f>$K$108*$Y$108</f>
        <v>0</v>
      </c>
      <c r="AF108" s="4">
        <f ca="1">$M$108*$Z$108</f>
        <v>4107.7925854449541</v>
      </c>
      <c r="AG108" s="4">
        <f>$O$108*$AA$108</f>
        <v>7828.0063063863136</v>
      </c>
    </row>
    <row r="109" spans="1:33" ht="11.25" customHeight="1" x14ac:dyDescent="0.25">
      <c r="A109" s="3" t="s">
        <v>21</v>
      </c>
      <c r="B109" s="3" t="s">
        <v>33</v>
      </c>
      <c r="C109" s="3" t="s">
        <v>34</v>
      </c>
      <c r="D109" s="3" t="s">
        <v>45</v>
      </c>
      <c r="E109" s="3" t="s">
        <v>25</v>
      </c>
      <c r="F109" s="3" t="s">
        <v>25</v>
      </c>
      <c r="G109" s="3" t="s">
        <v>25</v>
      </c>
      <c r="H109" s="3" t="s">
        <v>36</v>
      </c>
      <c r="I109" s="6">
        <v>44621</v>
      </c>
      <c r="J109" s="4">
        <v>0</v>
      </c>
      <c r="K109" s="4">
        <v>0</v>
      </c>
      <c r="L109" s="4">
        <v>42.46</v>
      </c>
      <c r="M109" s="4">
        <v>42.46</v>
      </c>
      <c r="N109" s="4">
        <v>42.46</v>
      </c>
      <c r="O109" s="4">
        <v>42.46</v>
      </c>
      <c r="P109" s="4">
        <v>0</v>
      </c>
      <c r="Q109" s="3" t="s">
        <v>26</v>
      </c>
      <c r="R109" s="3">
        <v>0</v>
      </c>
      <c r="S109" s="4">
        <v>0</v>
      </c>
      <c r="T109" s="4">
        <v>24</v>
      </c>
      <c r="U109" s="4">
        <v>83</v>
      </c>
      <c r="V109" s="4">
        <f>IF(ISERROR(VLOOKUP($S$109,'TAR FIN'!$A$1:$O$85,15,0)),0,VLOOKUP($S$109,'TAR FIN'!$A$1:$O$85,15,0))</f>
        <v>0</v>
      </c>
      <c r="W109" s="4">
        <f>IF(ISERROR(VLOOKUP($T$109,'TAR FIN'!$A$1:$O$85,15,0)),0,VLOOKUP($T$109,'TAR FIN'!$A$1:$O$85,15,0))</f>
        <v>103.26</v>
      </c>
      <c r="X109" s="4">
        <f>IF(ISERROR(VLOOKUP($U$109,'TAR FIN'!$A$1:$O$85,15,0)),0,VLOOKUP($U$109,'TAR FIN'!$A$1:$O$85,15,0))</f>
        <v>231.33</v>
      </c>
      <c r="Y109" s="4"/>
      <c r="Z109" s="4">
        <f ca="1">('TUSD BE'!$AM$12+'TUSD BF'!$AM$12+'TUSD CVA'!$AM$12)*1</f>
        <v>136.85799051957201</v>
      </c>
      <c r="AA109" s="4">
        <f>('TE BE'!$AA$6+'TE BF'!$AA$6+'TE CVA'!$AA$6)*1</f>
        <v>260.80314197522284</v>
      </c>
      <c r="AB109" s="4">
        <f>$K$109*$V$109</f>
        <v>0</v>
      </c>
      <c r="AC109" s="4">
        <f>$M$109*$W$109</f>
        <v>4384.4196000000002</v>
      </c>
      <c r="AD109" s="4">
        <f>$O$109*$X$109</f>
        <v>9822.2718000000004</v>
      </c>
      <c r="AE109" s="4">
        <f>$K$109*$Y$109</f>
        <v>0</v>
      </c>
      <c r="AF109" s="4">
        <f ca="1">$M$109*$Z$109</f>
        <v>5810.9902774610282</v>
      </c>
      <c r="AG109" s="4">
        <f>$O$109*$AA$109</f>
        <v>11073.701408267962</v>
      </c>
    </row>
    <row r="110" spans="1:33" ht="11.25" customHeight="1" x14ac:dyDescent="0.25">
      <c r="A110" s="3" t="s">
        <v>21</v>
      </c>
      <c r="B110" s="3" t="s">
        <v>33</v>
      </c>
      <c r="C110" s="3" t="s">
        <v>34</v>
      </c>
      <c r="D110" s="3" t="s">
        <v>45</v>
      </c>
      <c r="E110" s="3" t="s">
        <v>25</v>
      </c>
      <c r="F110" s="3" t="s">
        <v>25</v>
      </c>
      <c r="G110" s="3" t="s">
        <v>25</v>
      </c>
      <c r="H110" s="3" t="s">
        <v>25</v>
      </c>
      <c r="I110" s="6">
        <v>44287</v>
      </c>
      <c r="J110" s="4">
        <v>240</v>
      </c>
      <c r="K110" s="4">
        <v>240</v>
      </c>
      <c r="L110" s="4">
        <v>0</v>
      </c>
      <c r="M110" s="4">
        <v>0</v>
      </c>
      <c r="N110" s="4">
        <v>0</v>
      </c>
      <c r="O110" s="4">
        <v>0</v>
      </c>
      <c r="P110" s="4">
        <v>2</v>
      </c>
      <c r="Q110" s="3" t="s">
        <v>26</v>
      </c>
      <c r="R110" s="3">
        <v>0</v>
      </c>
      <c r="S110" s="4">
        <v>22</v>
      </c>
      <c r="T110" s="4">
        <v>0</v>
      </c>
      <c r="U110" s="4">
        <v>0</v>
      </c>
      <c r="V110" s="4">
        <f>IF(ISERROR(VLOOKUP($S$110,'TAR FIN'!$A$1:$O$85,15,0)),0,VLOOKUP($S$110,'TAR FIN'!$A$1:$O$85,15,0))</f>
        <v>63.83</v>
      </c>
      <c r="W110" s="4">
        <f>IF(ISERROR(VLOOKUP($T$110,'TAR FIN'!$A$1:$O$85,15,0)),0,VLOOKUP($T$110,'TAR FIN'!$A$1:$O$85,15,0))</f>
        <v>0</v>
      </c>
      <c r="X110" s="4">
        <f>IF(ISERROR(VLOOKUP($U$110,'TAR FIN'!$A$1:$O$85,15,0)),0,VLOOKUP($U$110,'TAR FIN'!$A$1:$O$85,15,0))</f>
        <v>0</v>
      </c>
      <c r="Y110" s="4">
        <f ca="1">('TUSD BE'!$AM$10+'TUSD BF'!$AM$10+'TUSD CVA'!$AM$10)*1</f>
        <v>77.970056746860777</v>
      </c>
      <c r="Z110" s="4"/>
      <c r="AA110" s="4"/>
      <c r="AB110" s="4">
        <f>$K$110*$V$110</f>
        <v>15319.199999999999</v>
      </c>
      <c r="AC110" s="4">
        <f>$M$110*$W$110</f>
        <v>0</v>
      </c>
      <c r="AD110" s="4">
        <f>$O$110*$X$110</f>
        <v>0</v>
      </c>
      <c r="AE110" s="4">
        <f ca="1">$K$110*$Y$110</f>
        <v>18712.813619246586</v>
      </c>
      <c r="AF110" s="4">
        <f>$M$110*$Z$110</f>
        <v>0</v>
      </c>
      <c r="AG110" s="4">
        <f>$O$110*$AA$110</f>
        <v>0</v>
      </c>
    </row>
    <row r="111" spans="1:33" ht="11.25" customHeight="1" x14ac:dyDescent="0.25">
      <c r="A111" s="3" t="s">
        <v>21</v>
      </c>
      <c r="B111" s="3" t="s">
        <v>33</v>
      </c>
      <c r="C111" s="3" t="s">
        <v>34</v>
      </c>
      <c r="D111" s="3" t="s">
        <v>45</v>
      </c>
      <c r="E111" s="3" t="s">
        <v>25</v>
      </c>
      <c r="F111" s="3" t="s">
        <v>25</v>
      </c>
      <c r="G111" s="3" t="s">
        <v>25</v>
      </c>
      <c r="H111" s="3" t="s">
        <v>25</v>
      </c>
      <c r="I111" s="6">
        <v>44317</v>
      </c>
      <c r="J111" s="4">
        <v>240</v>
      </c>
      <c r="K111" s="4">
        <v>240</v>
      </c>
      <c r="L111" s="4">
        <v>0</v>
      </c>
      <c r="M111" s="4">
        <v>0</v>
      </c>
      <c r="N111" s="4">
        <v>0</v>
      </c>
      <c r="O111" s="4">
        <v>0</v>
      </c>
      <c r="P111" s="4">
        <v>2</v>
      </c>
      <c r="Q111" s="3" t="s">
        <v>26</v>
      </c>
      <c r="R111" s="3">
        <v>0</v>
      </c>
      <c r="S111" s="4">
        <v>22</v>
      </c>
      <c r="T111" s="4">
        <v>0</v>
      </c>
      <c r="U111" s="4">
        <v>0</v>
      </c>
      <c r="V111" s="4">
        <f>IF(ISERROR(VLOOKUP($S$111,'TAR FIN'!$A$1:$O$85,15,0)),0,VLOOKUP($S$111,'TAR FIN'!$A$1:$O$85,15,0))</f>
        <v>63.83</v>
      </c>
      <c r="W111" s="4">
        <f>IF(ISERROR(VLOOKUP($T$111,'TAR FIN'!$A$1:$O$85,15,0)),0,VLOOKUP($T$111,'TAR FIN'!$A$1:$O$85,15,0))</f>
        <v>0</v>
      </c>
      <c r="X111" s="4">
        <f>IF(ISERROR(VLOOKUP($U$111,'TAR FIN'!$A$1:$O$85,15,0)),0,VLOOKUP($U$111,'TAR FIN'!$A$1:$O$85,15,0))</f>
        <v>0</v>
      </c>
      <c r="Y111" s="4">
        <f ca="1">('TUSD BE'!$AM$10+'TUSD BF'!$AM$10+'TUSD CVA'!$AM$10)*1</f>
        <v>77.970056746860777</v>
      </c>
      <c r="Z111" s="4"/>
      <c r="AA111" s="4"/>
      <c r="AB111" s="4">
        <f>$K$111*$V$111</f>
        <v>15319.199999999999</v>
      </c>
      <c r="AC111" s="4">
        <f>$M$111*$W$111</f>
        <v>0</v>
      </c>
      <c r="AD111" s="4">
        <f>$O$111*$X$111</f>
        <v>0</v>
      </c>
      <c r="AE111" s="4">
        <f ca="1">$K$111*$Y$111</f>
        <v>18712.813619246586</v>
      </c>
      <c r="AF111" s="4">
        <f>$M$111*$Z$111</f>
        <v>0</v>
      </c>
      <c r="AG111" s="4">
        <f>$O$111*$AA$111</f>
        <v>0</v>
      </c>
    </row>
    <row r="112" spans="1:33" ht="11.25" customHeight="1" x14ac:dyDescent="0.25">
      <c r="A112" s="3" t="s">
        <v>21</v>
      </c>
      <c r="B112" s="3" t="s">
        <v>33</v>
      </c>
      <c r="C112" s="3" t="s">
        <v>34</v>
      </c>
      <c r="D112" s="3" t="s">
        <v>45</v>
      </c>
      <c r="E112" s="3" t="s">
        <v>25</v>
      </c>
      <c r="F112" s="3" t="s">
        <v>25</v>
      </c>
      <c r="G112" s="3" t="s">
        <v>25</v>
      </c>
      <c r="H112" s="3" t="s">
        <v>25</v>
      </c>
      <c r="I112" s="6">
        <v>44348</v>
      </c>
      <c r="J112" s="4">
        <v>240</v>
      </c>
      <c r="K112" s="4">
        <v>240</v>
      </c>
      <c r="L112" s="4">
        <v>0</v>
      </c>
      <c r="M112" s="4">
        <v>0</v>
      </c>
      <c r="N112" s="4">
        <v>0</v>
      </c>
      <c r="O112" s="4">
        <v>0</v>
      </c>
      <c r="P112" s="4">
        <v>2</v>
      </c>
      <c r="Q112" s="3" t="s">
        <v>26</v>
      </c>
      <c r="R112" s="3">
        <v>0</v>
      </c>
      <c r="S112" s="4">
        <v>22</v>
      </c>
      <c r="T112" s="4">
        <v>0</v>
      </c>
      <c r="U112" s="4">
        <v>0</v>
      </c>
      <c r="V112" s="4">
        <f>IF(ISERROR(VLOOKUP($S$112,'TAR FIN'!$A$1:$O$85,15,0)),0,VLOOKUP($S$112,'TAR FIN'!$A$1:$O$85,15,0))</f>
        <v>63.83</v>
      </c>
      <c r="W112" s="4">
        <f>IF(ISERROR(VLOOKUP($T$112,'TAR FIN'!$A$1:$O$85,15,0)),0,VLOOKUP($T$112,'TAR FIN'!$A$1:$O$85,15,0))</f>
        <v>0</v>
      </c>
      <c r="X112" s="4">
        <f>IF(ISERROR(VLOOKUP($U$112,'TAR FIN'!$A$1:$O$85,15,0)),0,VLOOKUP($U$112,'TAR FIN'!$A$1:$O$85,15,0))</f>
        <v>0</v>
      </c>
      <c r="Y112" s="4">
        <f ca="1">('TUSD BE'!$AM$10+'TUSD BF'!$AM$10+'TUSD CVA'!$AM$10)*1</f>
        <v>77.970056746860777</v>
      </c>
      <c r="Z112" s="4"/>
      <c r="AA112" s="4"/>
      <c r="AB112" s="4">
        <f>$K$112*$V$112</f>
        <v>15319.199999999999</v>
      </c>
      <c r="AC112" s="4">
        <f>$M$112*$W$112</f>
        <v>0</v>
      </c>
      <c r="AD112" s="4">
        <f>$O$112*$X$112</f>
        <v>0</v>
      </c>
      <c r="AE112" s="4">
        <f ca="1">$K$112*$Y$112</f>
        <v>18712.813619246586</v>
      </c>
      <c r="AF112" s="4">
        <f>$M$112*$Z$112</f>
        <v>0</v>
      </c>
      <c r="AG112" s="4">
        <f>$O$112*$AA$112</f>
        <v>0</v>
      </c>
    </row>
    <row r="113" spans="1:33" ht="11.25" customHeight="1" x14ac:dyDescent="0.25">
      <c r="A113" s="3" t="s">
        <v>21</v>
      </c>
      <c r="B113" s="3" t="s">
        <v>33</v>
      </c>
      <c r="C113" s="3" t="s">
        <v>34</v>
      </c>
      <c r="D113" s="3" t="s">
        <v>45</v>
      </c>
      <c r="E113" s="3" t="s">
        <v>25</v>
      </c>
      <c r="F113" s="3" t="s">
        <v>25</v>
      </c>
      <c r="G113" s="3" t="s">
        <v>25</v>
      </c>
      <c r="H113" s="3" t="s">
        <v>25</v>
      </c>
      <c r="I113" s="6">
        <v>44378</v>
      </c>
      <c r="J113" s="4">
        <v>240</v>
      </c>
      <c r="K113" s="4">
        <v>240</v>
      </c>
      <c r="L113" s="4">
        <v>0</v>
      </c>
      <c r="M113" s="4">
        <v>0</v>
      </c>
      <c r="N113" s="4">
        <v>0</v>
      </c>
      <c r="O113" s="4">
        <v>0</v>
      </c>
      <c r="P113" s="4">
        <v>2</v>
      </c>
      <c r="Q113" s="3" t="s">
        <v>26</v>
      </c>
      <c r="R113" s="3">
        <v>0</v>
      </c>
      <c r="S113" s="4">
        <v>22</v>
      </c>
      <c r="T113" s="4">
        <v>0</v>
      </c>
      <c r="U113" s="4">
        <v>0</v>
      </c>
      <c r="V113" s="4">
        <f>IF(ISERROR(VLOOKUP($S$113,'TAR FIN'!$A$1:$O$85,15,0)),0,VLOOKUP($S$113,'TAR FIN'!$A$1:$O$85,15,0))</f>
        <v>63.83</v>
      </c>
      <c r="W113" s="4">
        <f>IF(ISERROR(VLOOKUP($T$113,'TAR FIN'!$A$1:$O$85,15,0)),0,VLOOKUP($T$113,'TAR FIN'!$A$1:$O$85,15,0))</f>
        <v>0</v>
      </c>
      <c r="X113" s="4">
        <f>IF(ISERROR(VLOOKUP($U$113,'TAR FIN'!$A$1:$O$85,15,0)),0,VLOOKUP($U$113,'TAR FIN'!$A$1:$O$85,15,0))</f>
        <v>0</v>
      </c>
      <c r="Y113" s="4">
        <f ca="1">('TUSD BE'!$AM$10+'TUSD BF'!$AM$10+'TUSD CVA'!$AM$10)*1</f>
        <v>77.970056746860777</v>
      </c>
      <c r="Z113" s="4"/>
      <c r="AA113" s="4"/>
      <c r="AB113" s="4">
        <f>$K$113*$V$113</f>
        <v>15319.199999999999</v>
      </c>
      <c r="AC113" s="4">
        <f>$M$113*$W$113</f>
        <v>0</v>
      </c>
      <c r="AD113" s="4">
        <f>$O$113*$X$113</f>
        <v>0</v>
      </c>
      <c r="AE113" s="4">
        <f ca="1">$K$113*$Y$113</f>
        <v>18712.813619246586</v>
      </c>
      <c r="AF113" s="4">
        <f>$M$113*$Z$113</f>
        <v>0</v>
      </c>
      <c r="AG113" s="4">
        <f>$O$113*$AA$113</f>
        <v>0</v>
      </c>
    </row>
    <row r="114" spans="1:33" ht="11.25" customHeight="1" x14ac:dyDescent="0.25">
      <c r="A114" s="3" t="s">
        <v>21</v>
      </c>
      <c r="B114" s="3" t="s">
        <v>33</v>
      </c>
      <c r="C114" s="3" t="s">
        <v>34</v>
      </c>
      <c r="D114" s="3" t="s">
        <v>45</v>
      </c>
      <c r="E114" s="3" t="s">
        <v>25</v>
      </c>
      <c r="F114" s="3" t="s">
        <v>25</v>
      </c>
      <c r="G114" s="3" t="s">
        <v>25</v>
      </c>
      <c r="H114" s="3" t="s">
        <v>25</v>
      </c>
      <c r="I114" s="6">
        <v>44409</v>
      </c>
      <c r="J114" s="4">
        <v>240</v>
      </c>
      <c r="K114" s="4">
        <v>240</v>
      </c>
      <c r="L114" s="4">
        <v>0</v>
      </c>
      <c r="M114" s="4">
        <v>0</v>
      </c>
      <c r="N114" s="4">
        <v>0</v>
      </c>
      <c r="O114" s="4">
        <v>0</v>
      </c>
      <c r="P114" s="4">
        <v>2</v>
      </c>
      <c r="Q114" s="3" t="s">
        <v>26</v>
      </c>
      <c r="R114" s="3">
        <v>0</v>
      </c>
      <c r="S114" s="4">
        <v>22</v>
      </c>
      <c r="T114" s="4">
        <v>0</v>
      </c>
      <c r="U114" s="4">
        <v>0</v>
      </c>
      <c r="V114" s="4">
        <f>IF(ISERROR(VLOOKUP($S$114,'TAR FIN'!$A$1:$O$85,15,0)),0,VLOOKUP($S$114,'TAR FIN'!$A$1:$O$85,15,0))</f>
        <v>63.83</v>
      </c>
      <c r="W114" s="4">
        <f>IF(ISERROR(VLOOKUP($T$114,'TAR FIN'!$A$1:$O$85,15,0)),0,VLOOKUP($T$114,'TAR FIN'!$A$1:$O$85,15,0))</f>
        <v>0</v>
      </c>
      <c r="X114" s="4">
        <f>IF(ISERROR(VLOOKUP($U$114,'TAR FIN'!$A$1:$O$85,15,0)),0,VLOOKUP($U$114,'TAR FIN'!$A$1:$O$85,15,0))</f>
        <v>0</v>
      </c>
      <c r="Y114" s="4">
        <f ca="1">('TUSD BE'!$AM$10+'TUSD BF'!$AM$10+'TUSD CVA'!$AM$10)*1</f>
        <v>77.970056746860777</v>
      </c>
      <c r="Z114" s="4"/>
      <c r="AA114" s="4"/>
      <c r="AB114" s="4">
        <f>$K$114*$V$114</f>
        <v>15319.199999999999</v>
      </c>
      <c r="AC114" s="4">
        <f>$M$114*$W$114</f>
        <v>0</v>
      </c>
      <c r="AD114" s="4">
        <f>$O$114*$X$114</f>
        <v>0</v>
      </c>
      <c r="AE114" s="4">
        <f ca="1">$K$114*$Y$114</f>
        <v>18712.813619246586</v>
      </c>
      <c r="AF114" s="4">
        <f>$M$114*$Z$114</f>
        <v>0</v>
      </c>
      <c r="AG114" s="4">
        <f>$O$114*$AA$114</f>
        <v>0</v>
      </c>
    </row>
    <row r="115" spans="1:33" ht="11.25" customHeight="1" x14ac:dyDescent="0.25">
      <c r="A115" s="3" t="s">
        <v>21</v>
      </c>
      <c r="B115" s="3" t="s">
        <v>33</v>
      </c>
      <c r="C115" s="3" t="s">
        <v>34</v>
      </c>
      <c r="D115" s="3" t="s">
        <v>45</v>
      </c>
      <c r="E115" s="3" t="s">
        <v>25</v>
      </c>
      <c r="F115" s="3" t="s">
        <v>25</v>
      </c>
      <c r="G115" s="3" t="s">
        <v>25</v>
      </c>
      <c r="H115" s="3" t="s">
        <v>25</v>
      </c>
      <c r="I115" s="6">
        <v>44440</v>
      </c>
      <c r="J115" s="4">
        <v>240</v>
      </c>
      <c r="K115" s="4">
        <v>240</v>
      </c>
      <c r="L115" s="4">
        <v>0</v>
      </c>
      <c r="M115" s="4">
        <v>0</v>
      </c>
      <c r="N115" s="4">
        <v>0</v>
      </c>
      <c r="O115" s="4">
        <v>0</v>
      </c>
      <c r="P115" s="4">
        <v>2</v>
      </c>
      <c r="Q115" s="3" t="s">
        <v>26</v>
      </c>
      <c r="R115" s="3">
        <v>0</v>
      </c>
      <c r="S115" s="4">
        <v>22</v>
      </c>
      <c r="T115" s="4">
        <v>0</v>
      </c>
      <c r="U115" s="4">
        <v>0</v>
      </c>
      <c r="V115" s="4">
        <f>IF(ISERROR(VLOOKUP($S$115,'TAR FIN'!$A$1:$O$85,15,0)),0,VLOOKUP($S$115,'TAR FIN'!$A$1:$O$85,15,0))</f>
        <v>63.83</v>
      </c>
      <c r="W115" s="4">
        <f>IF(ISERROR(VLOOKUP($T$115,'TAR FIN'!$A$1:$O$85,15,0)),0,VLOOKUP($T$115,'TAR FIN'!$A$1:$O$85,15,0))</f>
        <v>0</v>
      </c>
      <c r="X115" s="4">
        <f>IF(ISERROR(VLOOKUP($U$115,'TAR FIN'!$A$1:$O$85,15,0)),0,VLOOKUP($U$115,'TAR FIN'!$A$1:$O$85,15,0))</f>
        <v>0</v>
      </c>
      <c r="Y115" s="4">
        <f ca="1">('TUSD BE'!$AM$10+'TUSD BF'!$AM$10+'TUSD CVA'!$AM$10)*1</f>
        <v>77.970056746860777</v>
      </c>
      <c r="Z115" s="4"/>
      <c r="AA115" s="4"/>
      <c r="AB115" s="4">
        <f>$K$115*$V$115</f>
        <v>15319.199999999999</v>
      </c>
      <c r="AC115" s="4">
        <f>$M$115*$W$115</f>
        <v>0</v>
      </c>
      <c r="AD115" s="4">
        <f>$O$115*$X$115</f>
        <v>0</v>
      </c>
      <c r="AE115" s="4">
        <f ca="1">$K$115*$Y$115</f>
        <v>18712.813619246586</v>
      </c>
      <c r="AF115" s="4">
        <f>$M$115*$Z$115</f>
        <v>0</v>
      </c>
      <c r="AG115" s="4">
        <f>$O$115*$AA$115</f>
        <v>0</v>
      </c>
    </row>
    <row r="116" spans="1:33" ht="11.25" customHeight="1" x14ac:dyDescent="0.25">
      <c r="A116" s="3" t="s">
        <v>21</v>
      </c>
      <c r="B116" s="3" t="s">
        <v>33</v>
      </c>
      <c r="C116" s="3" t="s">
        <v>34</v>
      </c>
      <c r="D116" s="3" t="s">
        <v>45</v>
      </c>
      <c r="E116" s="3" t="s">
        <v>25</v>
      </c>
      <c r="F116" s="3" t="s">
        <v>25</v>
      </c>
      <c r="G116" s="3" t="s">
        <v>25</v>
      </c>
      <c r="H116" s="3" t="s">
        <v>25</v>
      </c>
      <c r="I116" s="6">
        <v>44470</v>
      </c>
      <c r="J116" s="4">
        <v>240</v>
      </c>
      <c r="K116" s="4">
        <v>240</v>
      </c>
      <c r="L116" s="4">
        <v>0</v>
      </c>
      <c r="M116" s="4">
        <v>0</v>
      </c>
      <c r="N116" s="4">
        <v>0</v>
      </c>
      <c r="O116" s="4">
        <v>0</v>
      </c>
      <c r="P116" s="4">
        <v>2</v>
      </c>
      <c r="Q116" s="3" t="s">
        <v>26</v>
      </c>
      <c r="R116" s="3">
        <v>0</v>
      </c>
      <c r="S116" s="4">
        <v>22</v>
      </c>
      <c r="T116" s="4">
        <v>0</v>
      </c>
      <c r="U116" s="4">
        <v>0</v>
      </c>
      <c r="V116" s="4">
        <f>IF(ISERROR(VLOOKUP($S$116,'TAR FIN'!$A$1:$O$85,15,0)),0,VLOOKUP($S$116,'TAR FIN'!$A$1:$O$85,15,0))</f>
        <v>63.83</v>
      </c>
      <c r="W116" s="4">
        <f>IF(ISERROR(VLOOKUP($T$116,'TAR FIN'!$A$1:$O$85,15,0)),0,VLOOKUP($T$116,'TAR FIN'!$A$1:$O$85,15,0))</f>
        <v>0</v>
      </c>
      <c r="X116" s="4">
        <f>IF(ISERROR(VLOOKUP($U$116,'TAR FIN'!$A$1:$O$85,15,0)),0,VLOOKUP($U$116,'TAR FIN'!$A$1:$O$85,15,0))</f>
        <v>0</v>
      </c>
      <c r="Y116" s="4">
        <f ca="1">('TUSD BE'!$AM$10+'TUSD BF'!$AM$10+'TUSD CVA'!$AM$10)*1</f>
        <v>77.970056746860777</v>
      </c>
      <c r="Z116" s="4"/>
      <c r="AA116" s="4"/>
      <c r="AB116" s="4">
        <f>$K$116*$V$116</f>
        <v>15319.199999999999</v>
      </c>
      <c r="AC116" s="4">
        <f>$M$116*$W$116</f>
        <v>0</v>
      </c>
      <c r="AD116" s="4">
        <f>$O$116*$X$116</f>
        <v>0</v>
      </c>
      <c r="AE116" s="4">
        <f ca="1">$K$116*$Y$116</f>
        <v>18712.813619246586</v>
      </c>
      <c r="AF116" s="4">
        <f>$M$116*$Z$116</f>
        <v>0</v>
      </c>
      <c r="AG116" s="4">
        <f>$O$116*$AA$116</f>
        <v>0</v>
      </c>
    </row>
    <row r="117" spans="1:33" ht="11.25" customHeight="1" x14ac:dyDescent="0.25">
      <c r="A117" s="3" t="s">
        <v>21</v>
      </c>
      <c r="B117" s="3" t="s">
        <v>33</v>
      </c>
      <c r="C117" s="3" t="s">
        <v>34</v>
      </c>
      <c r="D117" s="3" t="s">
        <v>45</v>
      </c>
      <c r="E117" s="3" t="s">
        <v>25</v>
      </c>
      <c r="F117" s="3" t="s">
        <v>25</v>
      </c>
      <c r="G117" s="3" t="s">
        <v>25</v>
      </c>
      <c r="H117" s="3" t="s">
        <v>25</v>
      </c>
      <c r="I117" s="6">
        <v>44501</v>
      </c>
      <c r="J117" s="4">
        <v>241</v>
      </c>
      <c r="K117" s="4">
        <v>241</v>
      </c>
      <c r="L117" s="4">
        <v>0</v>
      </c>
      <c r="M117" s="4">
        <v>0</v>
      </c>
      <c r="N117" s="4">
        <v>0</v>
      </c>
      <c r="O117" s="4">
        <v>0</v>
      </c>
      <c r="P117" s="4">
        <v>2</v>
      </c>
      <c r="Q117" s="3" t="s">
        <v>26</v>
      </c>
      <c r="R117" s="3">
        <v>0</v>
      </c>
      <c r="S117" s="4">
        <v>22</v>
      </c>
      <c r="T117" s="4">
        <v>0</v>
      </c>
      <c r="U117" s="4">
        <v>0</v>
      </c>
      <c r="V117" s="4">
        <f>IF(ISERROR(VLOOKUP($S$117,'TAR FIN'!$A$1:$O$85,15,0)),0,VLOOKUP($S$117,'TAR FIN'!$A$1:$O$85,15,0))</f>
        <v>63.83</v>
      </c>
      <c r="W117" s="4">
        <f>IF(ISERROR(VLOOKUP($T$117,'TAR FIN'!$A$1:$O$85,15,0)),0,VLOOKUP($T$117,'TAR FIN'!$A$1:$O$85,15,0))</f>
        <v>0</v>
      </c>
      <c r="X117" s="4">
        <f>IF(ISERROR(VLOOKUP($U$117,'TAR FIN'!$A$1:$O$85,15,0)),0,VLOOKUP($U$117,'TAR FIN'!$A$1:$O$85,15,0))</f>
        <v>0</v>
      </c>
      <c r="Y117" s="4">
        <f ca="1">('TUSD BE'!$AM$10+'TUSD BF'!$AM$10+'TUSD CVA'!$AM$10)*1</f>
        <v>77.970056746860777</v>
      </c>
      <c r="Z117" s="4"/>
      <c r="AA117" s="4"/>
      <c r="AB117" s="4">
        <f>$K$117*$V$117</f>
        <v>15383.029999999999</v>
      </c>
      <c r="AC117" s="4">
        <f>$M$117*$W$117</f>
        <v>0</v>
      </c>
      <c r="AD117" s="4">
        <f>$O$117*$X$117</f>
        <v>0</v>
      </c>
      <c r="AE117" s="4">
        <f ca="1">$K$117*$Y$117</f>
        <v>18790.783675993447</v>
      </c>
      <c r="AF117" s="4">
        <f>$M$117*$Z$117</f>
        <v>0</v>
      </c>
      <c r="AG117" s="4">
        <f>$O$117*$AA$117</f>
        <v>0</v>
      </c>
    </row>
    <row r="118" spans="1:33" ht="11.25" customHeight="1" x14ac:dyDescent="0.25">
      <c r="A118" s="3" t="s">
        <v>21</v>
      </c>
      <c r="B118" s="3" t="s">
        <v>33</v>
      </c>
      <c r="C118" s="3" t="s">
        <v>34</v>
      </c>
      <c r="D118" s="3" t="s">
        <v>45</v>
      </c>
      <c r="E118" s="3" t="s">
        <v>25</v>
      </c>
      <c r="F118" s="3" t="s">
        <v>25</v>
      </c>
      <c r="G118" s="3" t="s">
        <v>25</v>
      </c>
      <c r="H118" s="3" t="s">
        <v>25</v>
      </c>
      <c r="I118" s="6">
        <v>44531</v>
      </c>
      <c r="J118" s="4">
        <v>240</v>
      </c>
      <c r="K118" s="4">
        <v>240</v>
      </c>
      <c r="L118" s="4">
        <v>0</v>
      </c>
      <c r="M118" s="4">
        <v>0</v>
      </c>
      <c r="N118" s="4">
        <v>0</v>
      </c>
      <c r="O118" s="4">
        <v>0</v>
      </c>
      <c r="P118" s="4">
        <v>2</v>
      </c>
      <c r="Q118" s="3" t="s">
        <v>26</v>
      </c>
      <c r="R118" s="3">
        <v>0</v>
      </c>
      <c r="S118" s="4">
        <v>22</v>
      </c>
      <c r="T118" s="4">
        <v>0</v>
      </c>
      <c r="U118" s="4">
        <v>0</v>
      </c>
      <c r="V118" s="4">
        <f>IF(ISERROR(VLOOKUP($S$118,'TAR FIN'!$A$1:$O$85,15,0)),0,VLOOKUP($S$118,'TAR FIN'!$A$1:$O$85,15,0))</f>
        <v>63.83</v>
      </c>
      <c r="W118" s="4">
        <f>IF(ISERROR(VLOOKUP($T$118,'TAR FIN'!$A$1:$O$85,15,0)),0,VLOOKUP($T$118,'TAR FIN'!$A$1:$O$85,15,0))</f>
        <v>0</v>
      </c>
      <c r="X118" s="4">
        <f>IF(ISERROR(VLOOKUP($U$118,'TAR FIN'!$A$1:$O$85,15,0)),0,VLOOKUP($U$118,'TAR FIN'!$A$1:$O$85,15,0))</f>
        <v>0</v>
      </c>
      <c r="Y118" s="4">
        <f ca="1">('TUSD BE'!$AM$10+'TUSD BF'!$AM$10+'TUSD CVA'!$AM$10)*1</f>
        <v>77.970056746860777</v>
      </c>
      <c r="Z118" s="4"/>
      <c r="AA118" s="4"/>
      <c r="AB118" s="4">
        <f>$K$118*$V$118</f>
        <v>15319.199999999999</v>
      </c>
      <c r="AC118" s="4">
        <f>$M$118*$W$118</f>
        <v>0</v>
      </c>
      <c r="AD118" s="4">
        <f>$O$118*$X$118</f>
        <v>0</v>
      </c>
      <c r="AE118" s="4">
        <f ca="1">$K$118*$Y$118</f>
        <v>18712.813619246586</v>
      </c>
      <c r="AF118" s="4">
        <f>$M$118*$Z$118</f>
        <v>0</v>
      </c>
      <c r="AG118" s="4">
        <f>$O$118*$AA$118</f>
        <v>0</v>
      </c>
    </row>
    <row r="119" spans="1:33" ht="11.25" customHeight="1" x14ac:dyDescent="0.25">
      <c r="A119" s="3" t="s">
        <v>21</v>
      </c>
      <c r="B119" s="3" t="s">
        <v>33</v>
      </c>
      <c r="C119" s="3" t="s">
        <v>34</v>
      </c>
      <c r="D119" s="3" t="s">
        <v>45</v>
      </c>
      <c r="E119" s="3" t="s">
        <v>25</v>
      </c>
      <c r="F119" s="3" t="s">
        <v>25</v>
      </c>
      <c r="G119" s="3" t="s">
        <v>25</v>
      </c>
      <c r="H119" s="3" t="s">
        <v>25</v>
      </c>
      <c r="I119" s="6">
        <v>44562</v>
      </c>
      <c r="J119" s="4">
        <v>244</v>
      </c>
      <c r="K119" s="4">
        <v>244</v>
      </c>
      <c r="L119" s="4">
        <v>0</v>
      </c>
      <c r="M119" s="4">
        <v>0</v>
      </c>
      <c r="N119" s="4">
        <v>0</v>
      </c>
      <c r="O119" s="4">
        <v>0</v>
      </c>
      <c r="P119" s="4">
        <v>2</v>
      </c>
      <c r="Q119" s="3" t="s">
        <v>26</v>
      </c>
      <c r="R119" s="3">
        <v>0</v>
      </c>
      <c r="S119" s="4">
        <v>22</v>
      </c>
      <c r="T119" s="4">
        <v>0</v>
      </c>
      <c r="U119" s="4">
        <v>0</v>
      </c>
      <c r="V119" s="4">
        <f>IF(ISERROR(VLOOKUP($S$119,'TAR FIN'!$A$1:$O$85,15,0)),0,VLOOKUP($S$119,'TAR FIN'!$A$1:$O$85,15,0))</f>
        <v>63.83</v>
      </c>
      <c r="W119" s="4">
        <f>IF(ISERROR(VLOOKUP($T$119,'TAR FIN'!$A$1:$O$85,15,0)),0,VLOOKUP($T$119,'TAR FIN'!$A$1:$O$85,15,0))</f>
        <v>0</v>
      </c>
      <c r="X119" s="4">
        <f>IF(ISERROR(VLOOKUP($U$119,'TAR FIN'!$A$1:$O$85,15,0)),0,VLOOKUP($U$119,'TAR FIN'!$A$1:$O$85,15,0))</f>
        <v>0</v>
      </c>
      <c r="Y119" s="4">
        <f ca="1">('TUSD BE'!$AM$10+'TUSD BF'!$AM$10+'TUSD CVA'!$AM$10)*1</f>
        <v>77.970056746860777</v>
      </c>
      <c r="Z119" s="4"/>
      <c r="AA119" s="4"/>
      <c r="AB119" s="4">
        <f>$K$119*$V$119</f>
        <v>15574.52</v>
      </c>
      <c r="AC119" s="4">
        <f>$M$119*$W$119</f>
        <v>0</v>
      </c>
      <c r="AD119" s="4">
        <f>$O$119*$X$119</f>
        <v>0</v>
      </c>
      <c r="AE119" s="4">
        <f ca="1">$K$119*$Y$119</f>
        <v>19024.693846234029</v>
      </c>
      <c r="AF119" s="4">
        <f>$M$119*$Z$119</f>
        <v>0</v>
      </c>
      <c r="AG119" s="4">
        <f>$O$119*$AA$119</f>
        <v>0</v>
      </c>
    </row>
    <row r="120" spans="1:33" ht="11.25" customHeight="1" x14ac:dyDescent="0.25">
      <c r="A120" s="3" t="s">
        <v>21</v>
      </c>
      <c r="B120" s="3" t="s">
        <v>33</v>
      </c>
      <c r="C120" s="3" t="s">
        <v>34</v>
      </c>
      <c r="D120" s="3" t="s">
        <v>45</v>
      </c>
      <c r="E120" s="3" t="s">
        <v>25</v>
      </c>
      <c r="F120" s="3" t="s">
        <v>25</v>
      </c>
      <c r="G120" s="3" t="s">
        <v>25</v>
      </c>
      <c r="H120" s="3" t="s">
        <v>25</v>
      </c>
      <c r="I120" s="6">
        <v>44593</v>
      </c>
      <c r="J120" s="4">
        <v>240</v>
      </c>
      <c r="K120" s="4">
        <v>240</v>
      </c>
      <c r="L120" s="4">
        <v>0</v>
      </c>
      <c r="M120" s="4">
        <v>0</v>
      </c>
      <c r="N120" s="4">
        <v>0</v>
      </c>
      <c r="O120" s="4">
        <v>0</v>
      </c>
      <c r="P120" s="4">
        <v>2</v>
      </c>
      <c r="Q120" s="3" t="s">
        <v>26</v>
      </c>
      <c r="R120" s="3">
        <v>0</v>
      </c>
      <c r="S120" s="4">
        <v>22</v>
      </c>
      <c r="T120" s="4">
        <v>0</v>
      </c>
      <c r="U120" s="4">
        <v>0</v>
      </c>
      <c r="V120" s="4">
        <f>IF(ISERROR(VLOOKUP($S$120,'TAR FIN'!$A$1:$O$85,15,0)),0,VLOOKUP($S$120,'TAR FIN'!$A$1:$O$85,15,0))</f>
        <v>63.83</v>
      </c>
      <c r="W120" s="4">
        <f>IF(ISERROR(VLOOKUP($T$120,'TAR FIN'!$A$1:$O$85,15,0)),0,VLOOKUP($T$120,'TAR FIN'!$A$1:$O$85,15,0))</f>
        <v>0</v>
      </c>
      <c r="X120" s="4">
        <f>IF(ISERROR(VLOOKUP($U$120,'TAR FIN'!$A$1:$O$85,15,0)),0,VLOOKUP($U$120,'TAR FIN'!$A$1:$O$85,15,0))</f>
        <v>0</v>
      </c>
      <c r="Y120" s="4">
        <f ca="1">('TUSD BE'!$AM$10+'TUSD BF'!$AM$10+'TUSD CVA'!$AM$10)*1</f>
        <v>77.970056746860777</v>
      </c>
      <c r="Z120" s="4"/>
      <c r="AA120" s="4"/>
      <c r="AB120" s="4">
        <f>$K$120*$V$120</f>
        <v>15319.199999999999</v>
      </c>
      <c r="AC120" s="4">
        <f>$M$120*$W$120</f>
        <v>0</v>
      </c>
      <c r="AD120" s="4">
        <f>$O$120*$X$120</f>
        <v>0</v>
      </c>
      <c r="AE120" s="4">
        <f ca="1">$K$120*$Y$120</f>
        <v>18712.813619246586</v>
      </c>
      <c r="AF120" s="4">
        <f>$M$120*$Z$120</f>
        <v>0</v>
      </c>
      <c r="AG120" s="4">
        <f>$O$120*$AA$120</f>
        <v>0</v>
      </c>
    </row>
    <row r="121" spans="1:33" ht="11.25" customHeight="1" x14ac:dyDescent="0.25">
      <c r="A121" s="3" t="s">
        <v>21</v>
      </c>
      <c r="B121" s="3" t="s">
        <v>33</v>
      </c>
      <c r="C121" s="3" t="s">
        <v>34</v>
      </c>
      <c r="D121" s="3" t="s">
        <v>45</v>
      </c>
      <c r="E121" s="3" t="s">
        <v>25</v>
      </c>
      <c r="F121" s="3" t="s">
        <v>25</v>
      </c>
      <c r="G121" s="3" t="s">
        <v>25</v>
      </c>
      <c r="H121" s="3" t="s">
        <v>25</v>
      </c>
      <c r="I121" s="6">
        <v>44621</v>
      </c>
      <c r="J121" s="4">
        <v>244</v>
      </c>
      <c r="K121" s="4">
        <v>244</v>
      </c>
      <c r="L121" s="4">
        <v>0</v>
      </c>
      <c r="M121" s="4">
        <v>0</v>
      </c>
      <c r="N121" s="4">
        <v>0</v>
      </c>
      <c r="O121" s="4">
        <v>0</v>
      </c>
      <c r="P121" s="4">
        <v>2</v>
      </c>
      <c r="Q121" s="3" t="s">
        <v>26</v>
      </c>
      <c r="R121" s="3">
        <v>0</v>
      </c>
      <c r="S121" s="4">
        <v>22</v>
      </c>
      <c r="T121" s="4">
        <v>0</v>
      </c>
      <c r="U121" s="4">
        <v>0</v>
      </c>
      <c r="V121" s="4">
        <f>IF(ISERROR(VLOOKUP($S$121,'TAR FIN'!$A$1:$O$85,15,0)),0,VLOOKUP($S$121,'TAR FIN'!$A$1:$O$85,15,0))</f>
        <v>63.83</v>
      </c>
      <c r="W121" s="4">
        <f>IF(ISERROR(VLOOKUP($T$121,'TAR FIN'!$A$1:$O$85,15,0)),0,VLOOKUP($T$121,'TAR FIN'!$A$1:$O$85,15,0))</f>
        <v>0</v>
      </c>
      <c r="X121" s="4">
        <f>IF(ISERROR(VLOOKUP($U$121,'TAR FIN'!$A$1:$O$85,15,0)),0,VLOOKUP($U$121,'TAR FIN'!$A$1:$O$85,15,0))</f>
        <v>0</v>
      </c>
      <c r="Y121" s="4">
        <f ca="1">('TUSD BE'!$AM$10+'TUSD BF'!$AM$10+'TUSD CVA'!$AM$10)*1</f>
        <v>77.970056746860777</v>
      </c>
      <c r="Z121" s="4"/>
      <c r="AA121" s="4"/>
      <c r="AB121" s="4">
        <f>$K$121*$V$121</f>
        <v>15574.52</v>
      </c>
      <c r="AC121" s="4">
        <f>$M$121*$W$121</f>
        <v>0</v>
      </c>
      <c r="AD121" s="4">
        <f>$O$121*$X$121</f>
        <v>0</v>
      </c>
      <c r="AE121" s="4">
        <f ca="1">$K$121*$Y$121</f>
        <v>19024.693846234029</v>
      </c>
      <c r="AF121" s="4">
        <f>$M$121*$Z$121</f>
        <v>0</v>
      </c>
      <c r="AG121" s="4">
        <f>$O$121*$AA$121</f>
        <v>0</v>
      </c>
    </row>
    <row r="122" spans="1:33" ht="11.25" customHeight="1" x14ac:dyDescent="0.25">
      <c r="A122" s="3" t="s">
        <v>21</v>
      </c>
      <c r="B122" s="3" t="s">
        <v>33</v>
      </c>
      <c r="C122" s="3" t="s">
        <v>34</v>
      </c>
      <c r="D122" s="3" t="s">
        <v>45</v>
      </c>
      <c r="E122" s="3" t="s">
        <v>25</v>
      </c>
      <c r="F122" s="3" t="s">
        <v>25</v>
      </c>
      <c r="G122" s="3" t="s">
        <v>25</v>
      </c>
      <c r="H122" s="3" t="s">
        <v>35</v>
      </c>
      <c r="I122" s="6">
        <v>44287</v>
      </c>
      <c r="J122" s="4">
        <v>0</v>
      </c>
      <c r="K122" s="4">
        <v>0</v>
      </c>
      <c r="L122" s="4">
        <v>0.89200000000000002</v>
      </c>
      <c r="M122" s="4">
        <v>0.89200000000000002</v>
      </c>
      <c r="N122" s="4">
        <v>0.89200000000000002</v>
      </c>
      <c r="O122" s="4">
        <v>0.89200000000000002</v>
      </c>
      <c r="P122" s="4">
        <v>0</v>
      </c>
      <c r="Q122" s="3" t="s">
        <v>26</v>
      </c>
      <c r="R122" s="3">
        <v>0</v>
      </c>
      <c r="S122" s="4">
        <v>0</v>
      </c>
      <c r="T122" s="4">
        <v>23</v>
      </c>
      <c r="U122" s="4">
        <v>82</v>
      </c>
      <c r="V122" s="4">
        <f>IF(ISERROR(VLOOKUP($S$122,'TAR FIN'!$A$1:$O$85,15,0)),0,VLOOKUP($S$122,'TAR FIN'!$A$1:$O$85,15,0))</f>
        <v>0</v>
      </c>
      <c r="W122" s="4">
        <f>IF(ISERROR(VLOOKUP($T$122,'TAR FIN'!$A$1:$O$85,15,0)),0,VLOOKUP($T$122,'TAR FIN'!$A$1:$O$85,15,0))</f>
        <v>4048.87</v>
      </c>
      <c r="X122" s="4">
        <f>IF(ISERROR(VLOOKUP($U$122,'TAR FIN'!$A$1:$O$85,15,0)),0,VLOOKUP($U$122,'TAR FIN'!$A$1:$O$85,15,0))</f>
        <v>231.33</v>
      </c>
      <c r="Y122" s="4"/>
      <c r="Z122" s="4">
        <f ca="1">('TUSD BE'!$AM$11+'TUSD BF'!$AM$11+'TUSD CVA'!$AM$11)*1</f>
        <v>4890.261914674632</v>
      </c>
      <c r="AA122" s="4">
        <f>('TE BE'!$AA$5+'TE BF'!$AA$5+'TE CVA'!$AA$5)*1</f>
        <v>260.80314197522284</v>
      </c>
      <c r="AB122" s="4">
        <f>$K$122*$V$122</f>
        <v>0</v>
      </c>
      <c r="AC122" s="4">
        <f>$M$122*$W$122</f>
        <v>3611.59204</v>
      </c>
      <c r="AD122" s="4">
        <f>$O$122*$X$122</f>
        <v>206.34636</v>
      </c>
      <c r="AE122" s="4">
        <f>$K$122*$Y$122</f>
        <v>0</v>
      </c>
      <c r="AF122" s="4">
        <f ca="1">$M$122*$Z$122</f>
        <v>4362.113627889772</v>
      </c>
      <c r="AG122" s="4">
        <f>$O$122*$AA$122</f>
        <v>232.63640264189877</v>
      </c>
    </row>
    <row r="123" spans="1:33" ht="11.25" customHeight="1" x14ac:dyDescent="0.25">
      <c r="A123" s="3" t="s">
        <v>21</v>
      </c>
      <c r="B123" s="3" t="s">
        <v>33</v>
      </c>
      <c r="C123" s="3" t="s">
        <v>34</v>
      </c>
      <c r="D123" s="3" t="s">
        <v>45</v>
      </c>
      <c r="E123" s="3" t="s">
        <v>25</v>
      </c>
      <c r="F123" s="3" t="s">
        <v>25</v>
      </c>
      <c r="G123" s="3" t="s">
        <v>25</v>
      </c>
      <c r="H123" s="3" t="s">
        <v>35</v>
      </c>
      <c r="I123" s="6">
        <v>44317</v>
      </c>
      <c r="J123" s="4">
        <v>0</v>
      </c>
      <c r="K123" s="4">
        <v>0</v>
      </c>
      <c r="L123" s="4">
        <v>0.84299999999999997</v>
      </c>
      <c r="M123" s="4">
        <v>0.84299999999999997</v>
      </c>
      <c r="N123" s="4">
        <v>0.84299999999999997</v>
      </c>
      <c r="O123" s="4">
        <v>0.84299999999999997</v>
      </c>
      <c r="P123" s="4">
        <v>0</v>
      </c>
      <c r="Q123" s="3" t="s">
        <v>26</v>
      </c>
      <c r="R123" s="3">
        <v>0</v>
      </c>
      <c r="S123" s="4">
        <v>0</v>
      </c>
      <c r="T123" s="4">
        <v>23</v>
      </c>
      <c r="U123" s="4">
        <v>82</v>
      </c>
      <c r="V123" s="4">
        <f>IF(ISERROR(VLOOKUP($S$123,'TAR FIN'!$A$1:$O$85,15,0)),0,VLOOKUP($S$123,'TAR FIN'!$A$1:$O$85,15,0))</f>
        <v>0</v>
      </c>
      <c r="W123" s="4">
        <f>IF(ISERROR(VLOOKUP($T$123,'TAR FIN'!$A$1:$O$85,15,0)),0,VLOOKUP($T$123,'TAR FIN'!$A$1:$O$85,15,0))</f>
        <v>4048.87</v>
      </c>
      <c r="X123" s="4">
        <f>IF(ISERROR(VLOOKUP($U$123,'TAR FIN'!$A$1:$O$85,15,0)),0,VLOOKUP($U$123,'TAR FIN'!$A$1:$O$85,15,0))</f>
        <v>231.33</v>
      </c>
      <c r="Y123" s="4"/>
      <c r="Z123" s="4">
        <f ca="1">('TUSD BE'!$AM$11+'TUSD BF'!$AM$11+'TUSD CVA'!$AM$11)*1</f>
        <v>4890.261914674632</v>
      </c>
      <c r="AA123" s="4">
        <f>('TE BE'!$AA$5+'TE BF'!$AA$5+'TE CVA'!$AA$5)*1</f>
        <v>260.80314197522284</v>
      </c>
      <c r="AB123" s="4">
        <f>$K$123*$V$123</f>
        <v>0</v>
      </c>
      <c r="AC123" s="4">
        <f>$M$123*$W$123</f>
        <v>3413.1974099999998</v>
      </c>
      <c r="AD123" s="4">
        <f>$O$123*$X$123</f>
        <v>195.01119</v>
      </c>
      <c r="AE123" s="4">
        <f>$K$123*$Y$123</f>
        <v>0</v>
      </c>
      <c r="AF123" s="4">
        <f ca="1">$M$123*$Z$123</f>
        <v>4122.4907940707144</v>
      </c>
      <c r="AG123" s="4">
        <f>$O$123*$AA$123</f>
        <v>219.85704868511286</v>
      </c>
    </row>
    <row r="124" spans="1:33" ht="11.25" customHeight="1" x14ac:dyDescent="0.25">
      <c r="A124" s="3" t="s">
        <v>21</v>
      </c>
      <c r="B124" s="3" t="s">
        <v>33</v>
      </c>
      <c r="C124" s="3" t="s">
        <v>34</v>
      </c>
      <c r="D124" s="3" t="s">
        <v>45</v>
      </c>
      <c r="E124" s="3" t="s">
        <v>25</v>
      </c>
      <c r="F124" s="3" t="s">
        <v>25</v>
      </c>
      <c r="G124" s="3" t="s">
        <v>25</v>
      </c>
      <c r="H124" s="3" t="s">
        <v>35</v>
      </c>
      <c r="I124" s="6">
        <v>44348</v>
      </c>
      <c r="J124" s="4">
        <v>0</v>
      </c>
      <c r="K124" s="4">
        <v>0</v>
      </c>
      <c r="L124" s="4">
        <v>0.93100000000000005</v>
      </c>
      <c r="M124" s="4">
        <v>0.93100000000000005</v>
      </c>
      <c r="N124" s="4">
        <v>0.93100000000000005</v>
      </c>
      <c r="O124" s="4">
        <v>0.93100000000000005</v>
      </c>
      <c r="P124" s="4">
        <v>0</v>
      </c>
      <c r="Q124" s="3" t="s">
        <v>26</v>
      </c>
      <c r="R124" s="3">
        <v>0</v>
      </c>
      <c r="S124" s="4">
        <v>0</v>
      </c>
      <c r="T124" s="4">
        <v>23</v>
      </c>
      <c r="U124" s="4">
        <v>82</v>
      </c>
      <c r="V124" s="4">
        <f>IF(ISERROR(VLOOKUP($S$124,'TAR FIN'!$A$1:$O$85,15,0)),0,VLOOKUP($S$124,'TAR FIN'!$A$1:$O$85,15,0))</f>
        <v>0</v>
      </c>
      <c r="W124" s="4">
        <f>IF(ISERROR(VLOOKUP($T$124,'TAR FIN'!$A$1:$O$85,15,0)),0,VLOOKUP($T$124,'TAR FIN'!$A$1:$O$85,15,0))</f>
        <v>4048.87</v>
      </c>
      <c r="X124" s="4">
        <f>IF(ISERROR(VLOOKUP($U$124,'TAR FIN'!$A$1:$O$85,15,0)),0,VLOOKUP($U$124,'TAR FIN'!$A$1:$O$85,15,0))</f>
        <v>231.33</v>
      </c>
      <c r="Y124" s="4"/>
      <c r="Z124" s="4">
        <f ca="1">('TUSD BE'!$AM$11+'TUSD BF'!$AM$11+'TUSD CVA'!$AM$11)*1</f>
        <v>4890.261914674632</v>
      </c>
      <c r="AA124" s="4">
        <f>('TE BE'!$AA$5+'TE BF'!$AA$5+'TE CVA'!$AA$5)*1</f>
        <v>260.80314197522284</v>
      </c>
      <c r="AB124" s="4">
        <f>$K$124*$V$124</f>
        <v>0</v>
      </c>
      <c r="AC124" s="4">
        <f>$M$124*$W$124</f>
        <v>3769.4979699999999</v>
      </c>
      <c r="AD124" s="4">
        <f>$O$124*$X$124</f>
        <v>215.36823000000001</v>
      </c>
      <c r="AE124" s="4">
        <f>$K$124*$Y$124</f>
        <v>0</v>
      </c>
      <c r="AF124" s="4">
        <f ca="1">$M$124*$Z$124</f>
        <v>4552.8338425620823</v>
      </c>
      <c r="AG124" s="4">
        <f>$O$124*$AA$124</f>
        <v>242.80772517893249</v>
      </c>
    </row>
    <row r="125" spans="1:33" ht="11.25" customHeight="1" x14ac:dyDescent="0.25">
      <c r="A125" s="3" t="s">
        <v>21</v>
      </c>
      <c r="B125" s="3" t="s">
        <v>33</v>
      </c>
      <c r="C125" s="3" t="s">
        <v>34</v>
      </c>
      <c r="D125" s="3" t="s">
        <v>45</v>
      </c>
      <c r="E125" s="3" t="s">
        <v>25</v>
      </c>
      <c r="F125" s="3" t="s">
        <v>25</v>
      </c>
      <c r="G125" s="3" t="s">
        <v>25</v>
      </c>
      <c r="H125" s="3" t="s">
        <v>35</v>
      </c>
      <c r="I125" s="6">
        <v>44378</v>
      </c>
      <c r="J125" s="4">
        <v>0</v>
      </c>
      <c r="K125" s="4">
        <v>0</v>
      </c>
      <c r="L125" s="4">
        <v>0.93700000000000006</v>
      </c>
      <c r="M125" s="4">
        <v>0.93700000000000006</v>
      </c>
      <c r="N125" s="4">
        <v>0.93700000000000006</v>
      </c>
      <c r="O125" s="4">
        <v>0.93700000000000006</v>
      </c>
      <c r="P125" s="4">
        <v>0</v>
      </c>
      <c r="Q125" s="3" t="s">
        <v>26</v>
      </c>
      <c r="R125" s="3">
        <v>0</v>
      </c>
      <c r="S125" s="4">
        <v>0</v>
      </c>
      <c r="T125" s="4">
        <v>23</v>
      </c>
      <c r="U125" s="4">
        <v>82</v>
      </c>
      <c r="V125" s="4">
        <f>IF(ISERROR(VLOOKUP($S$125,'TAR FIN'!$A$1:$O$85,15,0)),0,VLOOKUP($S$125,'TAR FIN'!$A$1:$O$85,15,0))</f>
        <v>0</v>
      </c>
      <c r="W125" s="4">
        <f>IF(ISERROR(VLOOKUP($T$125,'TAR FIN'!$A$1:$O$85,15,0)),0,VLOOKUP($T$125,'TAR FIN'!$A$1:$O$85,15,0))</f>
        <v>4048.87</v>
      </c>
      <c r="X125" s="4">
        <f>IF(ISERROR(VLOOKUP($U$125,'TAR FIN'!$A$1:$O$85,15,0)),0,VLOOKUP($U$125,'TAR FIN'!$A$1:$O$85,15,0))</f>
        <v>231.33</v>
      </c>
      <c r="Y125" s="4"/>
      <c r="Z125" s="4">
        <f ca="1">('TUSD BE'!$AM$11+'TUSD BF'!$AM$11+'TUSD CVA'!$AM$11)*1</f>
        <v>4890.261914674632</v>
      </c>
      <c r="AA125" s="4">
        <f>('TE BE'!$AA$5+'TE BF'!$AA$5+'TE CVA'!$AA$5)*1</f>
        <v>260.80314197522284</v>
      </c>
      <c r="AB125" s="4">
        <f>$K$125*$V$125</f>
        <v>0</v>
      </c>
      <c r="AC125" s="4">
        <f>$M$125*$W$125</f>
        <v>3793.7911899999999</v>
      </c>
      <c r="AD125" s="4">
        <f>$O$125*$X$125</f>
        <v>216.75621000000004</v>
      </c>
      <c r="AE125" s="4">
        <f>$K$125*$Y$125</f>
        <v>0</v>
      </c>
      <c r="AF125" s="4">
        <f ca="1">$M$125*$Z$125</f>
        <v>4582.1754140501307</v>
      </c>
      <c r="AG125" s="4">
        <f>$O$125*$AA$125</f>
        <v>244.37254403078381</v>
      </c>
    </row>
    <row r="126" spans="1:33" ht="11.25" customHeight="1" x14ac:dyDescent="0.25">
      <c r="A126" s="3" t="s">
        <v>21</v>
      </c>
      <c r="B126" s="3" t="s">
        <v>33</v>
      </c>
      <c r="C126" s="3" t="s">
        <v>34</v>
      </c>
      <c r="D126" s="3" t="s">
        <v>45</v>
      </c>
      <c r="E126" s="3" t="s">
        <v>25</v>
      </c>
      <c r="F126" s="3" t="s">
        <v>25</v>
      </c>
      <c r="G126" s="3" t="s">
        <v>25</v>
      </c>
      <c r="H126" s="3" t="s">
        <v>35</v>
      </c>
      <c r="I126" s="6">
        <v>44409</v>
      </c>
      <c r="J126" s="4">
        <v>0</v>
      </c>
      <c r="K126" s="4">
        <v>0</v>
      </c>
      <c r="L126" s="4">
        <v>1.1100000000000001</v>
      </c>
      <c r="M126" s="4">
        <v>1.1100000000000001</v>
      </c>
      <c r="N126" s="4">
        <v>1.1100000000000001</v>
      </c>
      <c r="O126" s="4">
        <v>1.1100000000000001</v>
      </c>
      <c r="P126" s="4">
        <v>0</v>
      </c>
      <c r="Q126" s="3" t="s">
        <v>26</v>
      </c>
      <c r="R126" s="3">
        <v>0</v>
      </c>
      <c r="S126" s="4">
        <v>0</v>
      </c>
      <c r="T126" s="4">
        <v>23</v>
      </c>
      <c r="U126" s="4">
        <v>82</v>
      </c>
      <c r="V126" s="4">
        <f>IF(ISERROR(VLOOKUP($S$126,'TAR FIN'!$A$1:$O$85,15,0)),0,VLOOKUP($S$126,'TAR FIN'!$A$1:$O$85,15,0))</f>
        <v>0</v>
      </c>
      <c r="W126" s="4">
        <f>IF(ISERROR(VLOOKUP($T$126,'TAR FIN'!$A$1:$O$85,15,0)),0,VLOOKUP($T$126,'TAR FIN'!$A$1:$O$85,15,0))</f>
        <v>4048.87</v>
      </c>
      <c r="X126" s="4">
        <f>IF(ISERROR(VLOOKUP($U$126,'TAR FIN'!$A$1:$O$85,15,0)),0,VLOOKUP($U$126,'TAR FIN'!$A$1:$O$85,15,0))</f>
        <v>231.33</v>
      </c>
      <c r="Y126" s="4"/>
      <c r="Z126" s="4">
        <f ca="1">('TUSD BE'!$AM$11+'TUSD BF'!$AM$11+'TUSD CVA'!$AM$11)*1</f>
        <v>4890.261914674632</v>
      </c>
      <c r="AA126" s="4">
        <f>('TE BE'!$AA$5+'TE BF'!$AA$5+'TE CVA'!$AA$5)*1</f>
        <v>260.80314197522284</v>
      </c>
      <c r="AB126" s="4">
        <f>$K$126*$V$126</f>
        <v>0</v>
      </c>
      <c r="AC126" s="4">
        <f>$M$126*$W$126</f>
        <v>4494.2457000000004</v>
      </c>
      <c r="AD126" s="4">
        <f>$O$126*$X$126</f>
        <v>256.77630000000005</v>
      </c>
      <c r="AE126" s="4">
        <f>$K$126*$Y$126</f>
        <v>0</v>
      </c>
      <c r="AF126" s="4">
        <f ca="1">$M$126*$Z$126</f>
        <v>5428.1907252888423</v>
      </c>
      <c r="AG126" s="4">
        <f>$O$126*$AA$126</f>
        <v>289.49148759249738</v>
      </c>
    </row>
    <row r="127" spans="1:33" ht="11.25" customHeight="1" x14ac:dyDescent="0.25">
      <c r="A127" s="3" t="s">
        <v>21</v>
      </c>
      <c r="B127" s="3" t="s">
        <v>33</v>
      </c>
      <c r="C127" s="3" t="s">
        <v>34</v>
      </c>
      <c r="D127" s="3" t="s">
        <v>45</v>
      </c>
      <c r="E127" s="3" t="s">
        <v>25</v>
      </c>
      <c r="F127" s="3" t="s">
        <v>25</v>
      </c>
      <c r="G127" s="3" t="s">
        <v>25</v>
      </c>
      <c r="H127" s="3" t="s">
        <v>35</v>
      </c>
      <c r="I127" s="6">
        <v>44440</v>
      </c>
      <c r="J127" s="4">
        <v>0</v>
      </c>
      <c r="K127" s="4">
        <v>0</v>
      </c>
      <c r="L127" s="4">
        <v>1.2989999999999999</v>
      </c>
      <c r="M127" s="4">
        <v>1.2989999999999999</v>
      </c>
      <c r="N127" s="4">
        <v>1.2989999999999999</v>
      </c>
      <c r="O127" s="4">
        <v>1.2989999999999999</v>
      </c>
      <c r="P127" s="4">
        <v>0</v>
      </c>
      <c r="Q127" s="3" t="s">
        <v>26</v>
      </c>
      <c r="R127" s="3">
        <v>0</v>
      </c>
      <c r="S127" s="4">
        <v>0</v>
      </c>
      <c r="T127" s="4">
        <v>23</v>
      </c>
      <c r="U127" s="4">
        <v>82</v>
      </c>
      <c r="V127" s="4">
        <f>IF(ISERROR(VLOOKUP($S$127,'TAR FIN'!$A$1:$O$85,15,0)),0,VLOOKUP($S$127,'TAR FIN'!$A$1:$O$85,15,0))</f>
        <v>0</v>
      </c>
      <c r="W127" s="4">
        <f>IF(ISERROR(VLOOKUP($T$127,'TAR FIN'!$A$1:$O$85,15,0)),0,VLOOKUP($T$127,'TAR FIN'!$A$1:$O$85,15,0))</f>
        <v>4048.87</v>
      </c>
      <c r="X127" s="4">
        <f>IF(ISERROR(VLOOKUP($U$127,'TAR FIN'!$A$1:$O$85,15,0)),0,VLOOKUP($U$127,'TAR FIN'!$A$1:$O$85,15,0))</f>
        <v>231.33</v>
      </c>
      <c r="Y127" s="4"/>
      <c r="Z127" s="4">
        <f ca="1">('TUSD BE'!$AM$11+'TUSD BF'!$AM$11+'TUSD CVA'!$AM$11)*1</f>
        <v>4890.261914674632</v>
      </c>
      <c r="AA127" s="4">
        <f>('TE BE'!$AA$5+'TE BF'!$AA$5+'TE CVA'!$AA$5)*1</f>
        <v>260.80314197522284</v>
      </c>
      <c r="AB127" s="4">
        <f>$K$127*$V$127</f>
        <v>0</v>
      </c>
      <c r="AC127" s="4">
        <f>$M$127*$W$127</f>
        <v>5259.4821299999994</v>
      </c>
      <c r="AD127" s="4">
        <f>$O$127*$X$127</f>
        <v>300.49767000000003</v>
      </c>
      <c r="AE127" s="4">
        <f>$K$127*$Y$127</f>
        <v>0</v>
      </c>
      <c r="AF127" s="4">
        <f ca="1">$M$127*$Z$127</f>
        <v>6352.4502271623469</v>
      </c>
      <c r="AG127" s="4">
        <f>$O$127*$AA$127</f>
        <v>338.78328142581444</v>
      </c>
    </row>
    <row r="128" spans="1:33" ht="11.25" customHeight="1" x14ac:dyDescent="0.25">
      <c r="A128" s="3" t="s">
        <v>21</v>
      </c>
      <c r="B128" s="3" t="s">
        <v>33</v>
      </c>
      <c r="C128" s="3" t="s">
        <v>34</v>
      </c>
      <c r="D128" s="3" t="s">
        <v>45</v>
      </c>
      <c r="E128" s="3" t="s">
        <v>25</v>
      </c>
      <c r="F128" s="3" t="s">
        <v>25</v>
      </c>
      <c r="G128" s="3" t="s">
        <v>25</v>
      </c>
      <c r="H128" s="3" t="s">
        <v>35</v>
      </c>
      <c r="I128" s="6">
        <v>44470</v>
      </c>
      <c r="J128" s="4">
        <v>0</v>
      </c>
      <c r="K128" s="4">
        <v>0</v>
      </c>
      <c r="L128" s="4">
        <v>1.113</v>
      </c>
      <c r="M128" s="4">
        <v>1.113</v>
      </c>
      <c r="N128" s="4">
        <v>1.113</v>
      </c>
      <c r="O128" s="4">
        <v>1.113</v>
      </c>
      <c r="P128" s="4">
        <v>0</v>
      </c>
      <c r="Q128" s="3" t="s">
        <v>26</v>
      </c>
      <c r="R128" s="3">
        <v>0</v>
      </c>
      <c r="S128" s="4">
        <v>0</v>
      </c>
      <c r="T128" s="4">
        <v>23</v>
      </c>
      <c r="U128" s="4">
        <v>82</v>
      </c>
      <c r="V128" s="4">
        <f>IF(ISERROR(VLOOKUP($S$128,'TAR FIN'!$A$1:$O$85,15,0)),0,VLOOKUP($S$128,'TAR FIN'!$A$1:$O$85,15,0))</f>
        <v>0</v>
      </c>
      <c r="W128" s="4">
        <f>IF(ISERROR(VLOOKUP($T$128,'TAR FIN'!$A$1:$O$85,15,0)),0,VLOOKUP($T$128,'TAR FIN'!$A$1:$O$85,15,0))</f>
        <v>4048.87</v>
      </c>
      <c r="X128" s="4">
        <f>IF(ISERROR(VLOOKUP($U$128,'TAR FIN'!$A$1:$O$85,15,0)),0,VLOOKUP($U$128,'TAR FIN'!$A$1:$O$85,15,0))</f>
        <v>231.33</v>
      </c>
      <c r="Y128" s="4"/>
      <c r="Z128" s="4">
        <f ca="1">('TUSD BE'!$AM$11+'TUSD BF'!$AM$11+'TUSD CVA'!$AM$11)*1</f>
        <v>4890.261914674632</v>
      </c>
      <c r="AA128" s="4">
        <f>('TE BE'!$AA$5+'TE BF'!$AA$5+'TE CVA'!$AA$5)*1</f>
        <v>260.80314197522284</v>
      </c>
      <c r="AB128" s="4">
        <f>$K$128*$V$128</f>
        <v>0</v>
      </c>
      <c r="AC128" s="4">
        <f>$M$128*$W$128</f>
        <v>4506.3923100000002</v>
      </c>
      <c r="AD128" s="4">
        <f>$O$128*$X$128</f>
        <v>257.47029000000003</v>
      </c>
      <c r="AE128" s="4">
        <f>$K$128*$Y$128</f>
        <v>0</v>
      </c>
      <c r="AF128" s="4">
        <f ca="1">$M$128*$Z$128</f>
        <v>5442.8615110328656</v>
      </c>
      <c r="AG128" s="4">
        <f>$O$128*$AA$128</f>
        <v>290.27389701842304</v>
      </c>
    </row>
    <row r="129" spans="1:33" ht="11.25" customHeight="1" x14ac:dyDescent="0.25">
      <c r="A129" s="3" t="s">
        <v>21</v>
      </c>
      <c r="B129" s="3" t="s">
        <v>33</v>
      </c>
      <c r="C129" s="3" t="s">
        <v>34</v>
      </c>
      <c r="D129" s="3" t="s">
        <v>45</v>
      </c>
      <c r="E129" s="3" t="s">
        <v>25</v>
      </c>
      <c r="F129" s="3" t="s">
        <v>25</v>
      </c>
      <c r="G129" s="3" t="s">
        <v>25</v>
      </c>
      <c r="H129" s="3" t="s">
        <v>35</v>
      </c>
      <c r="I129" s="6">
        <v>44501</v>
      </c>
      <c r="J129" s="4">
        <v>0</v>
      </c>
      <c r="K129" s="4">
        <v>0</v>
      </c>
      <c r="L129" s="4">
        <v>1.841</v>
      </c>
      <c r="M129" s="4">
        <v>1.841</v>
      </c>
      <c r="N129" s="4">
        <v>1.841</v>
      </c>
      <c r="O129" s="4">
        <v>1.841</v>
      </c>
      <c r="P129" s="4">
        <v>0</v>
      </c>
      <c r="Q129" s="3" t="s">
        <v>26</v>
      </c>
      <c r="R129" s="3">
        <v>0</v>
      </c>
      <c r="S129" s="4">
        <v>0</v>
      </c>
      <c r="T129" s="4">
        <v>23</v>
      </c>
      <c r="U129" s="4">
        <v>82</v>
      </c>
      <c r="V129" s="4">
        <f>IF(ISERROR(VLOOKUP($S$129,'TAR FIN'!$A$1:$O$85,15,0)),0,VLOOKUP($S$129,'TAR FIN'!$A$1:$O$85,15,0))</f>
        <v>0</v>
      </c>
      <c r="W129" s="4">
        <f>IF(ISERROR(VLOOKUP($T$129,'TAR FIN'!$A$1:$O$85,15,0)),0,VLOOKUP($T$129,'TAR FIN'!$A$1:$O$85,15,0))</f>
        <v>4048.87</v>
      </c>
      <c r="X129" s="4">
        <f>IF(ISERROR(VLOOKUP($U$129,'TAR FIN'!$A$1:$O$85,15,0)),0,VLOOKUP($U$129,'TAR FIN'!$A$1:$O$85,15,0))</f>
        <v>231.33</v>
      </c>
      <c r="Y129" s="4"/>
      <c r="Z129" s="4">
        <f ca="1">('TUSD BE'!$AM$11+'TUSD BF'!$AM$11+'TUSD CVA'!$AM$11)*1</f>
        <v>4890.261914674632</v>
      </c>
      <c r="AA129" s="4">
        <f>('TE BE'!$AA$5+'TE BF'!$AA$5+'TE CVA'!$AA$5)*1</f>
        <v>260.80314197522284</v>
      </c>
      <c r="AB129" s="4">
        <f>$K$129*$V$129</f>
        <v>0</v>
      </c>
      <c r="AC129" s="4">
        <f>$M$129*$W$129</f>
        <v>7453.9696699999995</v>
      </c>
      <c r="AD129" s="4">
        <f>$O$129*$X$129</f>
        <v>425.87853000000001</v>
      </c>
      <c r="AE129" s="4">
        <f>$K$129*$Y$129</f>
        <v>0</v>
      </c>
      <c r="AF129" s="4">
        <f ca="1">$M$129*$Z$129</f>
        <v>9002.9721849159978</v>
      </c>
      <c r="AG129" s="4">
        <f>$O$129*$AA$129</f>
        <v>480.13858437638527</v>
      </c>
    </row>
    <row r="130" spans="1:33" ht="11.25" customHeight="1" x14ac:dyDescent="0.25">
      <c r="A130" s="3" t="s">
        <v>21</v>
      </c>
      <c r="B130" s="3" t="s">
        <v>33</v>
      </c>
      <c r="C130" s="3" t="s">
        <v>34</v>
      </c>
      <c r="D130" s="3" t="s">
        <v>45</v>
      </c>
      <c r="E130" s="3" t="s">
        <v>25</v>
      </c>
      <c r="F130" s="3" t="s">
        <v>25</v>
      </c>
      <c r="G130" s="3" t="s">
        <v>25</v>
      </c>
      <c r="H130" s="3" t="s">
        <v>35</v>
      </c>
      <c r="I130" s="6">
        <v>44531</v>
      </c>
      <c r="J130" s="4">
        <v>0</v>
      </c>
      <c r="K130" s="4">
        <v>0</v>
      </c>
      <c r="L130" s="4">
        <v>1.819</v>
      </c>
      <c r="M130" s="4">
        <v>1.819</v>
      </c>
      <c r="N130" s="4">
        <v>1.819</v>
      </c>
      <c r="O130" s="4">
        <v>1.819</v>
      </c>
      <c r="P130" s="4">
        <v>0</v>
      </c>
      <c r="Q130" s="3" t="s">
        <v>26</v>
      </c>
      <c r="R130" s="3">
        <v>0</v>
      </c>
      <c r="S130" s="4">
        <v>0</v>
      </c>
      <c r="T130" s="4">
        <v>23</v>
      </c>
      <c r="U130" s="4">
        <v>82</v>
      </c>
      <c r="V130" s="4">
        <f>IF(ISERROR(VLOOKUP($S$130,'TAR FIN'!$A$1:$O$85,15,0)),0,VLOOKUP($S$130,'TAR FIN'!$A$1:$O$85,15,0))</f>
        <v>0</v>
      </c>
      <c r="W130" s="4">
        <f>IF(ISERROR(VLOOKUP($T$130,'TAR FIN'!$A$1:$O$85,15,0)),0,VLOOKUP($T$130,'TAR FIN'!$A$1:$O$85,15,0))</f>
        <v>4048.87</v>
      </c>
      <c r="X130" s="4">
        <f>IF(ISERROR(VLOOKUP($U$130,'TAR FIN'!$A$1:$O$85,15,0)),0,VLOOKUP($U$130,'TAR FIN'!$A$1:$O$85,15,0))</f>
        <v>231.33</v>
      </c>
      <c r="Y130" s="4"/>
      <c r="Z130" s="4">
        <f ca="1">('TUSD BE'!$AM$11+'TUSD BF'!$AM$11+'TUSD CVA'!$AM$11)*1</f>
        <v>4890.261914674632</v>
      </c>
      <c r="AA130" s="4">
        <f>('TE BE'!$AA$5+'TE BF'!$AA$5+'TE CVA'!$AA$5)*1</f>
        <v>260.80314197522284</v>
      </c>
      <c r="AB130" s="4">
        <f>$K$130*$V$130</f>
        <v>0</v>
      </c>
      <c r="AC130" s="4">
        <f>$M$130*$W$130</f>
        <v>7364.8945299999996</v>
      </c>
      <c r="AD130" s="4">
        <f>$O$130*$X$130</f>
        <v>420.78926999999999</v>
      </c>
      <c r="AE130" s="4">
        <f>$K$130*$Y$130</f>
        <v>0</v>
      </c>
      <c r="AF130" s="4">
        <f ca="1">$M$130*$Z$130</f>
        <v>8895.3864227931554</v>
      </c>
      <c r="AG130" s="4">
        <f>$O$130*$AA$130</f>
        <v>474.40091525293036</v>
      </c>
    </row>
    <row r="131" spans="1:33" ht="11.25" customHeight="1" x14ac:dyDescent="0.25">
      <c r="A131" s="3" t="s">
        <v>21</v>
      </c>
      <c r="B131" s="3" t="s">
        <v>33</v>
      </c>
      <c r="C131" s="3" t="s">
        <v>34</v>
      </c>
      <c r="D131" s="3" t="s">
        <v>45</v>
      </c>
      <c r="E131" s="3" t="s">
        <v>25</v>
      </c>
      <c r="F131" s="3" t="s">
        <v>25</v>
      </c>
      <c r="G131" s="3" t="s">
        <v>25</v>
      </c>
      <c r="H131" s="3" t="s">
        <v>35</v>
      </c>
      <c r="I131" s="6">
        <v>44562</v>
      </c>
      <c r="J131" s="4">
        <v>0</v>
      </c>
      <c r="K131" s="4">
        <v>0</v>
      </c>
      <c r="L131" s="4">
        <v>1.75</v>
      </c>
      <c r="M131" s="4">
        <v>1.75</v>
      </c>
      <c r="N131" s="4">
        <v>1.75</v>
      </c>
      <c r="O131" s="4">
        <v>1.75</v>
      </c>
      <c r="P131" s="4">
        <v>0</v>
      </c>
      <c r="Q131" s="3" t="s">
        <v>26</v>
      </c>
      <c r="R131" s="3">
        <v>0</v>
      </c>
      <c r="S131" s="4">
        <v>0</v>
      </c>
      <c r="T131" s="4">
        <v>23</v>
      </c>
      <c r="U131" s="4">
        <v>82</v>
      </c>
      <c r="V131" s="4">
        <f>IF(ISERROR(VLOOKUP($S$131,'TAR FIN'!$A$1:$O$85,15,0)),0,VLOOKUP($S$131,'TAR FIN'!$A$1:$O$85,15,0))</f>
        <v>0</v>
      </c>
      <c r="W131" s="4">
        <f>IF(ISERROR(VLOOKUP($T$131,'TAR FIN'!$A$1:$O$85,15,0)),0,VLOOKUP($T$131,'TAR FIN'!$A$1:$O$85,15,0))</f>
        <v>4048.87</v>
      </c>
      <c r="X131" s="4">
        <f>IF(ISERROR(VLOOKUP($U$131,'TAR FIN'!$A$1:$O$85,15,0)),0,VLOOKUP($U$131,'TAR FIN'!$A$1:$O$85,15,0))</f>
        <v>231.33</v>
      </c>
      <c r="Y131" s="4"/>
      <c r="Z131" s="4">
        <f ca="1">('TUSD BE'!$AM$11+'TUSD BF'!$AM$11+'TUSD CVA'!$AM$11)*1</f>
        <v>4890.261914674632</v>
      </c>
      <c r="AA131" s="4">
        <f>('TE BE'!$AA$5+'TE BF'!$AA$5+'TE CVA'!$AA$5)*1</f>
        <v>260.80314197522284</v>
      </c>
      <c r="AB131" s="4">
        <f>$K$131*$V$131</f>
        <v>0</v>
      </c>
      <c r="AC131" s="4">
        <f>$M$131*$W$131</f>
        <v>7085.5225</v>
      </c>
      <c r="AD131" s="4">
        <f>$O$131*$X$131</f>
        <v>404.82750000000004</v>
      </c>
      <c r="AE131" s="4">
        <f>$K$131*$Y$131</f>
        <v>0</v>
      </c>
      <c r="AF131" s="4">
        <f ca="1">$M$131*$Z$131</f>
        <v>8557.9583506806066</v>
      </c>
      <c r="AG131" s="4">
        <f>$O$131*$AA$131</f>
        <v>456.40549845663998</v>
      </c>
    </row>
    <row r="132" spans="1:33" ht="11.25" customHeight="1" x14ac:dyDescent="0.25">
      <c r="A132" s="3" t="s">
        <v>21</v>
      </c>
      <c r="B132" s="3" t="s">
        <v>33</v>
      </c>
      <c r="C132" s="3" t="s">
        <v>34</v>
      </c>
      <c r="D132" s="3" t="s">
        <v>45</v>
      </c>
      <c r="E132" s="3" t="s">
        <v>25</v>
      </c>
      <c r="F132" s="3" t="s">
        <v>25</v>
      </c>
      <c r="G132" s="3" t="s">
        <v>25</v>
      </c>
      <c r="H132" s="3" t="s">
        <v>35</v>
      </c>
      <c r="I132" s="6">
        <v>44593</v>
      </c>
      <c r="J132" s="4">
        <v>0</v>
      </c>
      <c r="K132" s="4">
        <v>0</v>
      </c>
      <c r="L132" s="4">
        <v>1.879</v>
      </c>
      <c r="M132" s="4">
        <v>1.879</v>
      </c>
      <c r="N132" s="4">
        <v>1.879</v>
      </c>
      <c r="O132" s="4">
        <v>1.879</v>
      </c>
      <c r="P132" s="4">
        <v>0</v>
      </c>
      <c r="Q132" s="3" t="s">
        <v>26</v>
      </c>
      <c r="R132" s="3">
        <v>0</v>
      </c>
      <c r="S132" s="4">
        <v>0</v>
      </c>
      <c r="T132" s="4">
        <v>23</v>
      </c>
      <c r="U132" s="4">
        <v>82</v>
      </c>
      <c r="V132" s="4">
        <f>IF(ISERROR(VLOOKUP($S$132,'TAR FIN'!$A$1:$O$85,15,0)),0,VLOOKUP($S$132,'TAR FIN'!$A$1:$O$85,15,0))</f>
        <v>0</v>
      </c>
      <c r="W132" s="4">
        <f>IF(ISERROR(VLOOKUP($T$132,'TAR FIN'!$A$1:$O$85,15,0)),0,VLOOKUP($T$132,'TAR FIN'!$A$1:$O$85,15,0))</f>
        <v>4048.87</v>
      </c>
      <c r="X132" s="4">
        <f>IF(ISERROR(VLOOKUP($U$132,'TAR FIN'!$A$1:$O$85,15,0)),0,VLOOKUP($U$132,'TAR FIN'!$A$1:$O$85,15,0))</f>
        <v>231.33</v>
      </c>
      <c r="Y132" s="4"/>
      <c r="Z132" s="4">
        <f ca="1">('TUSD BE'!$AM$11+'TUSD BF'!$AM$11+'TUSD CVA'!$AM$11)*1</f>
        <v>4890.261914674632</v>
      </c>
      <c r="AA132" s="4">
        <f>('TE BE'!$AA$5+'TE BF'!$AA$5+'TE CVA'!$AA$5)*1</f>
        <v>260.80314197522284</v>
      </c>
      <c r="AB132" s="4">
        <f>$K$132*$V$132</f>
        <v>0</v>
      </c>
      <c r="AC132" s="4">
        <f>$M$132*$W$132</f>
        <v>7607.8267299999998</v>
      </c>
      <c r="AD132" s="4">
        <f>$O$132*$X$132</f>
        <v>434.66907000000003</v>
      </c>
      <c r="AE132" s="4">
        <f>$K$132*$Y$132</f>
        <v>0</v>
      </c>
      <c r="AF132" s="4">
        <f ca="1">$M$132*$Z$132</f>
        <v>9188.8021376736342</v>
      </c>
      <c r="AG132" s="4">
        <f>$O$132*$AA$132</f>
        <v>490.0491037714437</v>
      </c>
    </row>
    <row r="133" spans="1:33" ht="11.25" customHeight="1" x14ac:dyDescent="0.25">
      <c r="A133" s="3" t="s">
        <v>21</v>
      </c>
      <c r="B133" s="3" t="s">
        <v>33</v>
      </c>
      <c r="C133" s="3" t="s">
        <v>34</v>
      </c>
      <c r="D133" s="3" t="s">
        <v>45</v>
      </c>
      <c r="E133" s="3" t="s">
        <v>25</v>
      </c>
      <c r="F133" s="3" t="s">
        <v>25</v>
      </c>
      <c r="G133" s="3" t="s">
        <v>25</v>
      </c>
      <c r="H133" s="3" t="s">
        <v>35</v>
      </c>
      <c r="I133" s="6">
        <v>44621</v>
      </c>
      <c r="J133" s="4">
        <v>0</v>
      </c>
      <c r="K133" s="4">
        <v>0</v>
      </c>
      <c r="L133" s="4">
        <v>2.6920000000000002</v>
      </c>
      <c r="M133" s="4">
        <v>2.6920000000000002</v>
      </c>
      <c r="N133" s="4">
        <v>2.6920000000000002</v>
      </c>
      <c r="O133" s="4">
        <v>2.6920000000000002</v>
      </c>
      <c r="P133" s="4">
        <v>0</v>
      </c>
      <c r="Q133" s="3" t="s">
        <v>26</v>
      </c>
      <c r="R133" s="3">
        <v>0</v>
      </c>
      <c r="S133" s="4">
        <v>0</v>
      </c>
      <c r="T133" s="4">
        <v>23</v>
      </c>
      <c r="U133" s="4">
        <v>82</v>
      </c>
      <c r="V133" s="4">
        <f>IF(ISERROR(VLOOKUP($S$133,'TAR FIN'!$A$1:$O$85,15,0)),0,VLOOKUP($S$133,'TAR FIN'!$A$1:$O$85,15,0))</f>
        <v>0</v>
      </c>
      <c r="W133" s="4">
        <f>IF(ISERROR(VLOOKUP($T$133,'TAR FIN'!$A$1:$O$85,15,0)),0,VLOOKUP($T$133,'TAR FIN'!$A$1:$O$85,15,0))</f>
        <v>4048.87</v>
      </c>
      <c r="X133" s="4">
        <f>IF(ISERROR(VLOOKUP($U$133,'TAR FIN'!$A$1:$O$85,15,0)),0,VLOOKUP($U$133,'TAR FIN'!$A$1:$O$85,15,0))</f>
        <v>231.33</v>
      </c>
      <c r="Y133" s="4"/>
      <c r="Z133" s="4">
        <f ca="1">('TUSD BE'!$AM$11+'TUSD BF'!$AM$11+'TUSD CVA'!$AM$11)*1</f>
        <v>4890.261914674632</v>
      </c>
      <c r="AA133" s="4">
        <f>('TE BE'!$AA$5+'TE BF'!$AA$5+'TE CVA'!$AA$5)*1</f>
        <v>260.80314197522284</v>
      </c>
      <c r="AB133" s="4">
        <f>$K$133*$V$133</f>
        <v>0</v>
      </c>
      <c r="AC133" s="4">
        <f>$M$133*$W$133</f>
        <v>10899.55804</v>
      </c>
      <c r="AD133" s="4">
        <f>$O$133*$X$133</f>
        <v>622.74036000000012</v>
      </c>
      <c r="AE133" s="4">
        <f>$K$133*$Y$133</f>
        <v>0</v>
      </c>
      <c r="AF133" s="4">
        <f ca="1">$M$133*$Z$133</f>
        <v>13164.58507430411</v>
      </c>
      <c r="AG133" s="4">
        <f>$O$133*$AA$133</f>
        <v>702.08205819729994</v>
      </c>
    </row>
    <row r="134" spans="1:33" ht="11.25" customHeight="1" x14ac:dyDescent="0.25">
      <c r="A134" s="3" t="s">
        <v>21</v>
      </c>
      <c r="B134" s="3" t="s">
        <v>33</v>
      </c>
      <c r="C134" s="3" t="s">
        <v>34</v>
      </c>
      <c r="D134" s="3" t="s">
        <v>24</v>
      </c>
      <c r="E134" s="3" t="s">
        <v>24</v>
      </c>
      <c r="F134" s="3" t="s">
        <v>25</v>
      </c>
      <c r="G134" s="3" t="s">
        <v>25</v>
      </c>
      <c r="H134" s="3" t="s">
        <v>36</v>
      </c>
      <c r="I134" s="6">
        <v>44287</v>
      </c>
      <c r="J134" s="4">
        <v>0</v>
      </c>
      <c r="K134" s="4">
        <v>0</v>
      </c>
      <c r="L134" s="4">
        <v>2.3490000000000002</v>
      </c>
      <c r="M134" s="4">
        <v>2.3490000000000002</v>
      </c>
      <c r="N134" s="4">
        <v>2.3490000000000002</v>
      </c>
      <c r="O134" s="4">
        <v>2.3490000000000002</v>
      </c>
      <c r="P134" s="4">
        <v>0</v>
      </c>
      <c r="Q134" s="3" t="s">
        <v>26</v>
      </c>
      <c r="R134" s="3">
        <v>0</v>
      </c>
      <c r="S134" s="4">
        <v>0</v>
      </c>
      <c r="T134" s="4">
        <v>24</v>
      </c>
      <c r="U134" s="4">
        <v>83</v>
      </c>
      <c r="V134" s="4">
        <f>IF(ISERROR(VLOOKUP($S$134,'TAR FIN'!$A$1:$O$85,15,0)),0,VLOOKUP($S$134,'TAR FIN'!$A$1:$O$85,15,0))</f>
        <v>0</v>
      </c>
      <c r="W134" s="4">
        <f>IF(ISERROR(VLOOKUP($T$134,'TAR FIN'!$A$1:$O$85,15,0)),0,VLOOKUP($T$134,'TAR FIN'!$A$1:$O$85,15,0))</f>
        <v>103.26</v>
      </c>
      <c r="X134" s="4">
        <f>IF(ISERROR(VLOOKUP($U$134,'TAR FIN'!$A$1:$O$85,15,0)),0,VLOOKUP($U$134,'TAR FIN'!$A$1:$O$85,15,0))</f>
        <v>231.33</v>
      </c>
      <c r="Y134" s="4"/>
      <c r="Z134" s="4">
        <f ca="1">('TUSD BE'!$AM$12+'TUSD BF'!$AM$12+'TUSD CVA'!$AM$12)*1</f>
        <v>136.85799051957201</v>
      </c>
      <c r="AA134" s="4">
        <f>('TE BE'!$AA$6+'TE BF'!$AA$6+'TE CVA'!$AA$6)*1</f>
        <v>260.80314197522284</v>
      </c>
      <c r="AB134" s="4">
        <f>$K$134*$V$134</f>
        <v>0</v>
      </c>
      <c r="AC134" s="4">
        <f>$M$134*$W$134</f>
        <v>242.55774000000002</v>
      </c>
      <c r="AD134" s="4">
        <f>$O$134*$X$134</f>
        <v>543.39417000000003</v>
      </c>
      <c r="AE134" s="4">
        <f>$K$134*$Y$134</f>
        <v>0</v>
      </c>
      <c r="AF134" s="4">
        <f ca="1">$M$134*$Z$134</f>
        <v>321.47941973047466</v>
      </c>
      <c r="AG134" s="4">
        <f>$O$134*$AA$134</f>
        <v>612.62658049979848</v>
      </c>
    </row>
    <row r="135" spans="1:33" ht="11.25" customHeight="1" x14ac:dyDescent="0.25">
      <c r="A135" s="3" t="s">
        <v>21</v>
      </c>
      <c r="B135" s="3" t="s">
        <v>33</v>
      </c>
      <c r="C135" s="3" t="s">
        <v>34</v>
      </c>
      <c r="D135" s="3" t="s">
        <v>24</v>
      </c>
      <c r="E135" s="3" t="s">
        <v>24</v>
      </c>
      <c r="F135" s="3" t="s">
        <v>25</v>
      </c>
      <c r="G135" s="3" t="s">
        <v>25</v>
      </c>
      <c r="H135" s="3" t="s">
        <v>36</v>
      </c>
      <c r="I135" s="6">
        <v>44317</v>
      </c>
      <c r="J135" s="4">
        <v>0</v>
      </c>
      <c r="K135" s="4">
        <v>0</v>
      </c>
      <c r="L135" s="4">
        <v>1.5549999999999999</v>
      </c>
      <c r="M135" s="4">
        <v>1.5549999999999999</v>
      </c>
      <c r="N135" s="4">
        <v>1.5549999999999999</v>
      </c>
      <c r="O135" s="4">
        <v>1.5549999999999999</v>
      </c>
      <c r="P135" s="4">
        <v>0</v>
      </c>
      <c r="Q135" s="3" t="s">
        <v>26</v>
      </c>
      <c r="R135" s="3">
        <v>0</v>
      </c>
      <c r="S135" s="4">
        <v>0</v>
      </c>
      <c r="T135" s="4">
        <v>24</v>
      </c>
      <c r="U135" s="4">
        <v>83</v>
      </c>
      <c r="V135" s="4">
        <f>IF(ISERROR(VLOOKUP($S$135,'TAR FIN'!$A$1:$O$85,15,0)),0,VLOOKUP($S$135,'TAR FIN'!$A$1:$O$85,15,0))</f>
        <v>0</v>
      </c>
      <c r="W135" s="4">
        <f>IF(ISERROR(VLOOKUP($T$135,'TAR FIN'!$A$1:$O$85,15,0)),0,VLOOKUP($T$135,'TAR FIN'!$A$1:$O$85,15,0))</f>
        <v>103.26</v>
      </c>
      <c r="X135" s="4">
        <f>IF(ISERROR(VLOOKUP($U$135,'TAR FIN'!$A$1:$O$85,15,0)),0,VLOOKUP($U$135,'TAR FIN'!$A$1:$O$85,15,0))</f>
        <v>231.33</v>
      </c>
      <c r="Y135" s="4"/>
      <c r="Z135" s="4">
        <f ca="1">('TUSD BE'!$AM$12+'TUSD BF'!$AM$12+'TUSD CVA'!$AM$12)*1</f>
        <v>136.85799051957201</v>
      </c>
      <c r="AA135" s="4">
        <f>('TE BE'!$AA$6+'TE BF'!$AA$6+'TE CVA'!$AA$6)*1</f>
        <v>260.80314197522284</v>
      </c>
      <c r="AB135" s="4">
        <f>$K$135*$V$135</f>
        <v>0</v>
      </c>
      <c r="AC135" s="4">
        <f>$M$135*$W$135</f>
        <v>160.5693</v>
      </c>
      <c r="AD135" s="4">
        <f>$O$135*$X$135</f>
        <v>359.71814999999998</v>
      </c>
      <c r="AE135" s="4">
        <f>$K$135*$Y$135</f>
        <v>0</v>
      </c>
      <c r="AF135" s="4">
        <f ca="1">$M$135*$Z$135</f>
        <v>212.81417525793447</v>
      </c>
      <c r="AG135" s="4">
        <f>$O$135*$AA$135</f>
        <v>405.54888577147153</v>
      </c>
    </row>
    <row r="136" spans="1:33" ht="11.25" customHeight="1" x14ac:dyDescent="0.25">
      <c r="A136" s="3" t="s">
        <v>21</v>
      </c>
      <c r="B136" s="3" t="s">
        <v>33</v>
      </c>
      <c r="C136" s="3" t="s">
        <v>34</v>
      </c>
      <c r="D136" s="3" t="s">
        <v>24</v>
      </c>
      <c r="E136" s="3" t="s">
        <v>24</v>
      </c>
      <c r="F136" s="3" t="s">
        <v>25</v>
      </c>
      <c r="G136" s="3" t="s">
        <v>25</v>
      </c>
      <c r="H136" s="3" t="s">
        <v>36</v>
      </c>
      <c r="I136" s="6">
        <v>44348</v>
      </c>
      <c r="J136" s="4">
        <v>0</v>
      </c>
      <c r="K136" s="4">
        <v>0</v>
      </c>
      <c r="L136" s="4">
        <v>1.4970000000000001</v>
      </c>
      <c r="M136" s="4">
        <v>1.4970000000000001</v>
      </c>
      <c r="N136" s="4">
        <v>1.4970000000000001</v>
      </c>
      <c r="O136" s="4">
        <v>1.4970000000000001</v>
      </c>
      <c r="P136" s="4">
        <v>0</v>
      </c>
      <c r="Q136" s="3" t="s">
        <v>26</v>
      </c>
      <c r="R136" s="3">
        <v>0</v>
      </c>
      <c r="S136" s="4">
        <v>0</v>
      </c>
      <c r="T136" s="4">
        <v>24</v>
      </c>
      <c r="U136" s="4">
        <v>83</v>
      </c>
      <c r="V136" s="4">
        <f>IF(ISERROR(VLOOKUP($S$136,'TAR FIN'!$A$1:$O$85,15,0)),0,VLOOKUP($S$136,'TAR FIN'!$A$1:$O$85,15,0))</f>
        <v>0</v>
      </c>
      <c r="W136" s="4">
        <f>IF(ISERROR(VLOOKUP($T$136,'TAR FIN'!$A$1:$O$85,15,0)),0,VLOOKUP($T$136,'TAR FIN'!$A$1:$O$85,15,0))</f>
        <v>103.26</v>
      </c>
      <c r="X136" s="4">
        <f>IF(ISERROR(VLOOKUP($U$136,'TAR FIN'!$A$1:$O$85,15,0)),0,VLOOKUP($U$136,'TAR FIN'!$A$1:$O$85,15,0))</f>
        <v>231.33</v>
      </c>
      <c r="Y136" s="4"/>
      <c r="Z136" s="4">
        <f ca="1">('TUSD BE'!$AM$12+'TUSD BF'!$AM$12+'TUSD CVA'!$AM$12)*1</f>
        <v>136.85799051957201</v>
      </c>
      <c r="AA136" s="4">
        <f>('TE BE'!$AA$6+'TE BF'!$AA$6+'TE CVA'!$AA$6)*1</f>
        <v>260.80314197522284</v>
      </c>
      <c r="AB136" s="4">
        <f>$K$136*$V$136</f>
        <v>0</v>
      </c>
      <c r="AC136" s="4">
        <f>$M$136*$W$136</f>
        <v>154.58022000000003</v>
      </c>
      <c r="AD136" s="4">
        <f>$O$136*$X$136</f>
        <v>346.30101000000002</v>
      </c>
      <c r="AE136" s="4">
        <f>$K$136*$Y$136</f>
        <v>0</v>
      </c>
      <c r="AF136" s="4">
        <f ca="1">$M$136*$Z$136</f>
        <v>204.87641180779931</v>
      </c>
      <c r="AG136" s="4">
        <f>$O$136*$AA$136</f>
        <v>390.4223035369086</v>
      </c>
    </row>
    <row r="137" spans="1:33" ht="11.25" customHeight="1" x14ac:dyDescent="0.25">
      <c r="A137" s="3" t="s">
        <v>21</v>
      </c>
      <c r="B137" s="3" t="s">
        <v>33</v>
      </c>
      <c r="C137" s="3" t="s">
        <v>34</v>
      </c>
      <c r="D137" s="3" t="s">
        <v>24</v>
      </c>
      <c r="E137" s="3" t="s">
        <v>24</v>
      </c>
      <c r="F137" s="3" t="s">
        <v>25</v>
      </c>
      <c r="G137" s="3" t="s">
        <v>25</v>
      </c>
      <c r="H137" s="3" t="s">
        <v>36</v>
      </c>
      <c r="I137" s="6">
        <v>44378</v>
      </c>
      <c r="J137" s="4">
        <v>0</v>
      </c>
      <c r="K137" s="4">
        <v>0</v>
      </c>
      <c r="L137" s="4">
        <v>1.48</v>
      </c>
      <c r="M137" s="4">
        <v>1.48</v>
      </c>
      <c r="N137" s="4">
        <v>1.48</v>
      </c>
      <c r="O137" s="4">
        <v>1.48</v>
      </c>
      <c r="P137" s="4">
        <v>0</v>
      </c>
      <c r="Q137" s="3" t="s">
        <v>26</v>
      </c>
      <c r="R137" s="3">
        <v>0</v>
      </c>
      <c r="S137" s="4">
        <v>0</v>
      </c>
      <c r="T137" s="4">
        <v>24</v>
      </c>
      <c r="U137" s="4">
        <v>83</v>
      </c>
      <c r="V137" s="4">
        <f>IF(ISERROR(VLOOKUP($S$137,'TAR FIN'!$A$1:$O$85,15,0)),0,VLOOKUP($S$137,'TAR FIN'!$A$1:$O$85,15,0))</f>
        <v>0</v>
      </c>
      <c r="W137" s="4">
        <f>IF(ISERROR(VLOOKUP($T$137,'TAR FIN'!$A$1:$O$85,15,0)),0,VLOOKUP($T$137,'TAR FIN'!$A$1:$O$85,15,0))</f>
        <v>103.26</v>
      </c>
      <c r="X137" s="4">
        <f>IF(ISERROR(VLOOKUP($U$137,'TAR FIN'!$A$1:$O$85,15,0)),0,VLOOKUP($U$137,'TAR FIN'!$A$1:$O$85,15,0))</f>
        <v>231.33</v>
      </c>
      <c r="Y137" s="4"/>
      <c r="Z137" s="4">
        <f ca="1">('TUSD BE'!$AM$12+'TUSD BF'!$AM$12+'TUSD CVA'!$AM$12)*1</f>
        <v>136.85799051957201</v>
      </c>
      <c r="AA137" s="4">
        <f>('TE BE'!$AA$6+'TE BF'!$AA$6+'TE CVA'!$AA$6)*1</f>
        <v>260.80314197522284</v>
      </c>
      <c r="AB137" s="4">
        <f>$K$137*$V$137</f>
        <v>0</v>
      </c>
      <c r="AC137" s="4">
        <f>$M$137*$W$137</f>
        <v>152.82480000000001</v>
      </c>
      <c r="AD137" s="4">
        <f>$O$137*$X$137</f>
        <v>342.36840000000001</v>
      </c>
      <c r="AE137" s="4">
        <f>$K$137*$Y$137</f>
        <v>0</v>
      </c>
      <c r="AF137" s="4">
        <f ca="1">$M$137*$Z$137</f>
        <v>202.54982596896659</v>
      </c>
      <c r="AG137" s="4">
        <f>$O$137*$AA$137</f>
        <v>385.98865012332982</v>
      </c>
    </row>
    <row r="138" spans="1:33" ht="11.25" customHeight="1" x14ac:dyDescent="0.25">
      <c r="A138" s="3" t="s">
        <v>21</v>
      </c>
      <c r="B138" s="3" t="s">
        <v>33</v>
      </c>
      <c r="C138" s="3" t="s">
        <v>34</v>
      </c>
      <c r="D138" s="3" t="s">
        <v>24</v>
      </c>
      <c r="E138" s="3" t="s">
        <v>24</v>
      </c>
      <c r="F138" s="3" t="s">
        <v>25</v>
      </c>
      <c r="G138" s="3" t="s">
        <v>25</v>
      </c>
      <c r="H138" s="3" t="s">
        <v>36</v>
      </c>
      <c r="I138" s="6">
        <v>44409</v>
      </c>
      <c r="J138" s="4">
        <v>0</v>
      </c>
      <c r="K138" s="4">
        <v>0</v>
      </c>
      <c r="L138" s="4">
        <v>1.3759999999999999</v>
      </c>
      <c r="M138" s="4">
        <v>1.3759999999999999</v>
      </c>
      <c r="N138" s="4">
        <v>1.3759999999999999</v>
      </c>
      <c r="O138" s="4">
        <v>1.3759999999999999</v>
      </c>
      <c r="P138" s="4">
        <v>0</v>
      </c>
      <c r="Q138" s="3" t="s">
        <v>26</v>
      </c>
      <c r="R138" s="3">
        <v>0</v>
      </c>
      <c r="S138" s="4">
        <v>0</v>
      </c>
      <c r="T138" s="4">
        <v>24</v>
      </c>
      <c r="U138" s="4">
        <v>83</v>
      </c>
      <c r="V138" s="4">
        <f>IF(ISERROR(VLOOKUP($S$138,'TAR FIN'!$A$1:$O$85,15,0)),0,VLOOKUP($S$138,'TAR FIN'!$A$1:$O$85,15,0))</f>
        <v>0</v>
      </c>
      <c r="W138" s="4">
        <f>IF(ISERROR(VLOOKUP($T$138,'TAR FIN'!$A$1:$O$85,15,0)),0,VLOOKUP($T$138,'TAR FIN'!$A$1:$O$85,15,0))</f>
        <v>103.26</v>
      </c>
      <c r="X138" s="4">
        <f>IF(ISERROR(VLOOKUP($U$138,'TAR FIN'!$A$1:$O$85,15,0)),0,VLOOKUP($U$138,'TAR FIN'!$A$1:$O$85,15,0))</f>
        <v>231.33</v>
      </c>
      <c r="Y138" s="4"/>
      <c r="Z138" s="4">
        <f ca="1">('TUSD BE'!$AM$12+'TUSD BF'!$AM$12+'TUSD CVA'!$AM$12)*1</f>
        <v>136.85799051957201</v>
      </c>
      <c r="AA138" s="4">
        <f>('TE BE'!$AA$6+'TE BF'!$AA$6+'TE CVA'!$AA$6)*1</f>
        <v>260.80314197522284</v>
      </c>
      <c r="AB138" s="4">
        <f>$K$138*$V$138</f>
        <v>0</v>
      </c>
      <c r="AC138" s="4">
        <f>$M$138*$W$138</f>
        <v>142.08575999999999</v>
      </c>
      <c r="AD138" s="4">
        <f>$O$138*$X$138</f>
        <v>318.31007999999997</v>
      </c>
      <c r="AE138" s="4">
        <f>$K$138*$Y$138</f>
        <v>0</v>
      </c>
      <c r="AF138" s="4">
        <f ca="1">$M$138*$Z$138</f>
        <v>188.31659495493108</v>
      </c>
      <c r="AG138" s="4">
        <f>$O$138*$AA$138</f>
        <v>358.86512335790661</v>
      </c>
    </row>
    <row r="139" spans="1:33" ht="11.25" customHeight="1" x14ac:dyDescent="0.25">
      <c r="A139" s="3" t="s">
        <v>21</v>
      </c>
      <c r="B139" s="3" t="s">
        <v>33</v>
      </c>
      <c r="C139" s="3" t="s">
        <v>34</v>
      </c>
      <c r="D139" s="3" t="s">
        <v>24</v>
      </c>
      <c r="E139" s="3" t="s">
        <v>24</v>
      </c>
      <c r="F139" s="3" t="s">
        <v>25</v>
      </c>
      <c r="G139" s="3" t="s">
        <v>25</v>
      </c>
      <c r="H139" s="3" t="s">
        <v>36</v>
      </c>
      <c r="I139" s="6">
        <v>44440</v>
      </c>
      <c r="J139" s="4">
        <v>0</v>
      </c>
      <c r="K139" s="4">
        <v>0</v>
      </c>
      <c r="L139" s="4">
        <v>3.7210000000000001</v>
      </c>
      <c r="M139" s="4">
        <v>3.7210000000000001</v>
      </c>
      <c r="N139" s="4">
        <v>3.7210000000000001</v>
      </c>
      <c r="O139" s="4">
        <v>3.7210000000000001</v>
      </c>
      <c r="P139" s="4">
        <v>0</v>
      </c>
      <c r="Q139" s="3" t="s">
        <v>26</v>
      </c>
      <c r="R139" s="3">
        <v>0</v>
      </c>
      <c r="S139" s="4">
        <v>0</v>
      </c>
      <c r="T139" s="4">
        <v>24</v>
      </c>
      <c r="U139" s="4">
        <v>83</v>
      </c>
      <c r="V139" s="4">
        <f>IF(ISERROR(VLOOKUP($S$139,'TAR FIN'!$A$1:$O$85,15,0)),0,VLOOKUP($S$139,'TAR FIN'!$A$1:$O$85,15,0))</f>
        <v>0</v>
      </c>
      <c r="W139" s="4">
        <f>IF(ISERROR(VLOOKUP($T$139,'TAR FIN'!$A$1:$O$85,15,0)),0,VLOOKUP($T$139,'TAR FIN'!$A$1:$O$85,15,0))</f>
        <v>103.26</v>
      </c>
      <c r="X139" s="4">
        <f>IF(ISERROR(VLOOKUP($U$139,'TAR FIN'!$A$1:$O$85,15,0)),0,VLOOKUP($U$139,'TAR FIN'!$A$1:$O$85,15,0))</f>
        <v>231.33</v>
      </c>
      <c r="Y139" s="4"/>
      <c r="Z139" s="4">
        <f ca="1">('TUSD BE'!$AM$12+'TUSD BF'!$AM$12+'TUSD CVA'!$AM$12)*1</f>
        <v>136.85799051957201</v>
      </c>
      <c r="AA139" s="4">
        <f>('TE BE'!$AA$6+'TE BF'!$AA$6+'TE CVA'!$AA$6)*1</f>
        <v>260.80314197522284</v>
      </c>
      <c r="AB139" s="4">
        <f>$K$139*$V$139</f>
        <v>0</v>
      </c>
      <c r="AC139" s="4">
        <f>$M$139*$W$139</f>
        <v>384.23046000000005</v>
      </c>
      <c r="AD139" s="4">
        <f>$O$139*$X$139</f>
        <v>860.77893000000006</v>
      </c>
      <c r="AE139" s="4">
        <f>$K$139*$Y$139</f>
        <v>0</v>
      </c>
      <c r="AF139" s="4">
        <f ca="1">$M$139*$Z$139</f>
        <v>509.24858272332744</v>
      </c>
      <c r="AG139" s="4">
        <f>$O$139*$AA$139</f>
        <v>970.44849128980422</v>
      </c>
    </row>
    <row r="140" spans="1:33" ht="11.25" customHeight="1" x14ac:dyDescent="0.25">
      <c r="A140" s="3" t="s">
        <v>21</v>
      </c>
      <c r="B140" s="3" t="s">
        <v>33</v>
      </c>
      <c r="C140" s="3" t="s">
        <v>34</v>
      </c>
      <c r="D140" s="3" t="s">
        <v>24</v>
      </c>
      <c r="E140" s="3" t="s">
        <v>24</v>
      </c>
      <c r="F140" s="3" t="s">
        <v>25</v>
      </c>
      <c r="G140" s="3" t="s">
        <v>25</v>
      </c>
      <c r="H140" s="3" t="s">
        <v>36</v>
      </c>
      <c r="I140" s="6">
        <v>44470</v>
      </c>
      <c r="J140" s="4">
        <v>0</v>
      </c>
      <c r="K140" s="4">
        <v>0</v>
      </c>
      <c r="L140" s="4">
        <v>3.69</v>
      </c>
      <c r="M140" s="4">
        <v>3.69</v>
      </c>
      <c r="N140" s="4">
        <v>3.69</v>
      </c>
      <c r="O140" s="4">
        <v>3.69</v>
      </c>
      <c r="P140" s="4">
        <v>0</v>
      </c>
      <c r="Q140" s="3" t="s">
        <v>26</v>
      </c>
      <c r="R140" s="3">
        <v>0</v>
      </c>
      <c r="S140" s="4">
        <v>0</v>
      </c>
      <c r="T140" s="4">
        <v>24</v>
      </c>
      <c r="U140" s="4">
        <v>83</v>
      </c>
      <c r="V140" s="4">
        <f>IF(ISERROR(VLOOKUP($S$140,'TAR FIN'!$A$1:$O$85,15,0)),0,VLOOKUP($S$140,'TAR FIN'!$A$1:$O$85,15,0))</f>
        <v>0</v>
      </c>
      <c r="W140" s="4">
        <f>IF(ISERROR(VLOOKUP($T$140,'TAR FIN'!$A$1:$O$85,15,0)),0,VLOOKUP($T$140,'TAR FIN'!$A$1:$O$85,15,0))</f>
        <v>103.26</v>
      </c>
      <c r="X140" s="4">
        <f>IF(ISERROR(VLOOKUP($U$140,'TAR FIN'!$A$1:$O$85,15,0)),0,VLOOKUP($U$140,'TAR FIN'!$A$1:$O$85,15,0))</f>
        <v>231.33</v>
      </c>
      <c r="Y140" s="4"/>
      <c r="Z140" s="4">
        <f ca="1">('TUSD BE'!$AM$12+'TUSD BF'!$AM$12+'TUSD CVA'!$AM$12)*1</f>
        <v>136.85799051957201</v>
      </c>
      <c r="AA140" s="4">
        <f>('TE BE'!$AA$6+'TE BF'!$AA$6+'TE CVA'!$AA$6)*1</f>
        <v>260.80314197522284</v>
      </c>
      <c r="AB140" s="4">
        <f>$K$140*$V$140</f>
        <v>0</v>
      </c>
      <c r="AC140" s="4">
        <f>$M$140*$W$140</f>
        <v>381.02940000000001</v>
      </c>
      <c r="AD140" s="4">
        <f>$O$140*$X$140</f>
        <v>853.60770000000002</v>
      </c>
      <c r="AE140" s="4">
        <f>$K$140*$Y$140</f>
        <v>0</v>
      </c>
      <c r="AF140" s="4">
        <f ca="1">$M$140*$Z$140</f>
        <v>505.00598501722072</v>
      </c>
      <c r="AG140" s="4">
        <f>$O$140*$AA$140</f>
        <v>962.36359388857227</v>
      </c>
    </row>
    <row r="141" spans="1:33" ht="11.25" customHeight="1" x14ac:dyDescent="0.25">
      <c r="A141" s="3" t="s">
        <v>21</v>
      </c>
      <c r="B141" s="3" t="s">
        <v>33</v>
      </c>
      <c r="C141" s="3" t="s">
        <v>34</v>
      </c>
      <c r="D141" s="3" t="s">
        <v>24</v>
      </c>
      <c r="E141" s="3" t="s">
        <v>24</v>
      </c>
      <c r="F141" s="3" t="s">
        <v>25</v>
      </c>
      <c r="G141" s="3" t="s">
        <v>25</v>
      </c>
      <c r="H141" s="3" t="s">
        <v>36</v>
      </c>
      <c r="I141" s="6">
        <v>44501</v>
      </c>
      <c r="J141" s="4">
        <v>0</v>
      </c>
      <c r="K141" s="4">
        <v>0</v>
      </c>
      <c r="L141" s="4">
        <v>3.1219999999999999</v>
      </c>
      <c r="M141" s="4">
        <v>3.1219999999999999</v>
      </c>
      <c r="N141" s="4">
        <v>3.1219999999999999</v>
      </c>
      <c r="O141" s="4">
        <v>3.1219999999999999</v>
      </c>
      <c r="P141" s="4">
        <v>0</v>
      </c>
      <c r="Q141" s="3" t="s">
        <v>26</v>
      </c>
      <c r="R141" s="3">
        <v>0</v>
      </c>
      <c r="S141" s="4">
        <v>0</v>
      </c>
      <c r="T141" s="4">
        <v>24</v>
      </c>
      <c r="U141" s="4">
        <v>83</v>
      </c>
      <c r="V141" s="4">
        <f>IF(ISERROR(VLOOKUP($S$141,'TAR FIN'!$A$1:$O$85,15,0)),0,VLOOKUP($S$141,'TAR FIN'!$A$1:$O$85,15,0))</f>
        <v>0</v>
      </c>
      <c r="W141" s="4">
        <f>IF(ISERROR(VLOOKUP($T$141,'TAR FIN'!$A$1:$O$85,15,0)),0,VLOOKUP($T$141,'TAR FIN'!$A$1:$O$85,15,0))</f>
        <v>103.26</v>
      </c>
      <c r="X141" s="4">
        <f>IF(ISERROR(VLOOKUP($U$141,'TAR FIN'!$A$1:$O$85,15,0)),0,VLOOKUP($U$141,'TAR FIN'!$A$1:$O$85,15,0))</f>
        <v>231.33</v>
      </c>
      <c r="Y141" s="4"/>
      <c r="Z141" s="4">
        <f ca="1">('TUSD BE'!$AM$12+'TUSD BF'!$AM$12+'TUSD CVA'!$AM$12)*1</f>
        <v>136.85799051957201</v>
      </c>
      <c r="AA141" s="4">
        <f>('TE BE'!$AA$6+'TE BF'!$AA$6+'TE CVA'!$AA$6)*1</f>
        <v>260.80314197522284</v>
      </c>
      <c r="AB141" s="4">
        <f>$K$141*$V$141</f>
        <v>0</v>
      </c>
      <c r="AC141" s="4">
        <f>$M$141*$W$141</f>
        <v>322.37772000000001</v>
      </c>
      <c r="AD141" s="4">
        <f>$O$141*$X$141</f>
        <v>722.21226000000001</v>
      </c>
      <c r="AE141" s="4">
        <f>$K$141*$Y$141</f>
        <v>0</v>
      </c>
      <c r="AF141" s="4">
        <f ca="1">$M$141*$Z$141</f>
        <v>427.27064640210381</v>
      </c>
      <c r="AG141" s="4">
        <f>$O$141*$AA$141</f>
        <v>814.22740924664572</v>
      </c>
    </row>
    <row r="142" spans="1:33" ht="11.25" customHeight="1" x14ac:dyDescent="0.25">
      <c r="A142" s="3" t="s">
        <v>21</v>
      </c>
      <c r="B142" s="3" t="s">
        <v>33</v>
      </c>
      <c r="C142" s="3" t="s">
        <v>34</v>
      </c>
      <c r="D142" s="3" t="s">
        <v>24</v>
      </c>
      <c r="E142" s="3" t="s">
        <v>24</v>
      </c>
      <c r="F142" s="3" t="s">
        <v>25</v>
      </c>
      <c r="G142" s="3" t="s">
        <v>25</v>
      </c>
      <c r="H142" s="3" t="s">
        <v>36</v>
      </c>
      <c r="I142" s="6">
        <v>44531</v>
      </c>
      <c r="J142" s="4">
        <v>0</v>
      </c>
      <c r="K142" s="4">
        <v>0</v>
      </c>
      <c r="L142" s="4">
        <v>3.6280000000000001</v>
      </c>
      <c r="M142" s="4">
        <v>3.6280000000000001</v>
      </c>
      <c r="N142" s="4">
        <v>3.6280000000000001</v>
      </c>
      <c r="O142" s="4">
        <v>3.6280000000000001</v>
      </c>
      <c r="P142" s="4">
        <v>0</v>
      </c>
      <c r="Q142" s="3" t="s">
        <v>26</v>
      </c>
      <c r="R142" s="3">
        <v>0</v>
      </c>
      <c r="S142" s="4">
        <v>0</v>
      </c>
      <c r="T142" s="4">
        <v>24</v>
      </c>
      <c r="U142" s="4">
        <v>83</v>
      </c>
      <c r="V142" s="4">
        <f>IF(ISERROR(VLOOKUP($S$142,'TAR FIN'!$A$1:$O$85,15,0)),0,VLOOKUP($S$142,'TAR FIN'!$A$1:$O$85,15,0))</f>
        <v>0</v>
      </c>
      <c r="W142" s="4">
        <f>IF(ISERROR(VLOOKUP($T$142,'TAR FIN'!$A$1:$O$85,15,0)),0,VLOOKUP($T$142,'TAR FIN'!$A$1:$O$85,15,0))</f>
        <v>103.26</v>
      </c>
      <c r="X142" s="4">
        <f>IF(ISERROR(VLOOKUP($U$142,'TAR FIN'!$A$1:$O$85,15,0)),0,VLOOKUP($U$142,'TAR FIN'!$A$1:$O$85,15,0))</f>
        <v>231.33</v>
      </c>
      <c r="Y142" s="4"/>
      <c r="Z142" s="4">
        <f ca="1">('TUSD BE'!$AM$12+'TUSD BF'!$AM$12+'TUSD CVA'!$AM$12)*1</f>
        <v>136.85799051957201</v>
      </c>
      <c r="AA142" s="4">
        <f>('TE BE'!$AA$6+'TE BF'!$AA$6+'TE CVA'!$AA$6)*1</f>
        <v>260.80314197522284</v>
      </c>
      <c r="AB142" s="4">
        <f>$K$142*$V$142</f>
        <v>0</v>
      </c>
      <c r="AC142" s="4">
        <f>$M$142*$W$142</f>
        <v>374.62728000000004</v>
      </c>
      <c r="AD142" s="4">
        <f>$O$142*$X$142</f>
        <v>839.26524000000006</v>
      </c>
      <c r="AE142" s="4">
        <f>$K$142*$Y$142</f>
        <v>0</v>
      </c>
      <c r="AF142" s="4">
        <f ca="1">$M$142*$Z$142</f>
        <v>496.52078960500728</v>
      </c>
      <c r="AG142" s="4">
        <f>$O$142*$AA$142</f>
        <v>946.19379908610847</v>
      </c>
    </row>
    <row r="143" spans="1:33" ht="11.25" customHeight="1" x14ac:dyDescent="0.25">
      <c r="A143" s="3" t="s">
        <v>21</v>
      </c>
      <c r="B143" s="3" t="s">
        <v>33</v>
      </c>
      <c r="C143" s="3" t="s">
        <v>34</v>
      </c>
      <c r="D143" s="3" t="s">
        <v>24</v>
      </c>
      <c r="E143" s="3" t="s">
        <v>24</v>
      </c>
      <c r="F143" s="3" t="s">
        <v>25</v>
      </c>
      <c r="G143" s="3" t="s">
        <v>25</v>
      </c>
      <c r="H143" s="3" t="s">
        <v>36</v>
      </c>
      <c r="I143" s="6">
        <v>44562</v>
      </c>
      <c r="J143" s="4">
        <v>0</v>
      </c>
      <c r="K143" s="4">
        <v>0</v>
      </c>
      <c r="L143" s="4">
        <v>3.4660000000000002</v>
      </c>
      <c r="M143" s="4">
        <v>3.4660000000000002</v>
      </c>
      <c r="N143" s="4">
        <v>3.4660000000000002</v>
      </c>
      <c r="O143" s="4">
        <v>3.4660000000000002</v>
      </c>
      <c r="P143" s="4">
        <v>0</v>
      </c>
      <c r="Q143" s="3" t="s">
        <v>26</v>
      </c>
      <c r="R143" s="3">
        <v>0</v>
      </c>
      <c r="S143" s="4">
        <v>0</v>
      </c>
      <c r="T143" s="4">
        <v>24</v>
      </c>
      <c r="U143" s="4">
        <v>83</v>
      </c>
      <c r="V143" s="4">
        <f>IF(ISERROR(VLOOKUP($S$143,'TAR FIN'!$A$1:$O$85,15,0)),0,VLOOKUP($S$143,'TAR FIN'!$A$1:$O$85,15,0))</f>
        <v>0</v>
      </c>
      <c r="W143" s="4">
        <f>IF(ISERROR(VLOOKUP($T$143,'TAR FIN'!$A$1:$O$85,15,0)),0,VLOOKUP($T$143,'TAR FIN'!$A$1:$O$85,15,0))</f>
        <v>103.26</v>
      </c>
      <c r="X143" s="4">
        <f>IF(ISERROR(VLOOKUP($U$143,'TAR FIN'!$A$1:$O$85,15,0)),0,VLOOKUP($U$143,'TAR FIN'!$A$1:$O$85,15,0))</f>
        <v>231.33</v>
      </c>
      <c r="Y143" s="4"/>
      <c r="Z143" s="4">
        <f ca="1">('TUSD BE'!$AM$12+'TUSD BF'!$AM$12+'TUSD CVA'!$AM$12)*1</f>
        <v>136.85799051957201</v>
      </c>
      <c r="AA143" s="4">
        <f>('TE BE'!$AA$6+'TE BF'!$AA$6+'TE CVA'!$AA$6)*1</f>
        <v>260.80314197522284</v>
      </c>
      <c r="AB143" s="4">
        <f>$K$143*$V$143</f>
        <v>0</v>
      </c>
      <c r="AC143" s="4">
        <f>$M$143*$W$143</f>
        <v>357.89916000000005</v>
      </c>
      <c r="AD143" s="4">
        <f>$O$143*$X$143</f>
        <v>801.78978000000006</v>
      </c>
      <c r="AE143" s="4">
        <f>$K$143*$Y$143</f>
        <v>0</v>
      </c>
      <c r="AF143" s="4">
        <f ca="1">$M$143*$Z$143</f>
        <v>474.34979514083665</v>
      </c>
      <c r="AG143" s="4">
        <f>$O$143*$AA$143</f>
        <v>903.94369008612239</v>
      </c>
    </row>
    <row r="144" spans="1:33" ht="11.25" customHeight="1" x14ac:dyDescent="0.25">
      <c r="A144" s="3" t="s">
        <v>21</v>
      </c>
      <c r="B144" s="3" t="s">
        <v>33</v>
      </c>
      <c r="C144" s="3" t="s">
        <v>34</v>
      </c>
      <c r="D144" s="3" t="s">
        <v>24</v>
      </c>
      <c r="E144" s="3" t="s">
        <v>24</v>
      </c>
      <c r="F144" s="3" t="s">
        <v>25</v>
      </c>
      <c r="G144" s="3" t="s">
        <v>25</v>
      </c>
      <c r="H144" s="3" t="s">
        <v>36</v>
      </c>
      <c r="I144" s="6">
        <v>44593</v>
      </c>
      <c r="J144" s="4">
        <v>0</v>
      </c>
      <c r="K144" s="4">
        <v>0</v>
      </c>
      <c r="L144" s="4">
        <v>3.0859999999999999</v>
      </c>
      <c r="M144" s="4">
        <v>3.0859999999999999</v>
      </c>
      <c r="N144" s="4">
        <v>3.0859999999999999</v>
      </c>
      <c r="O144" s="4">
        <v>3.0859999999999999</v>
      </c>
      <c r="P144" s="4">
        <v>0</v>
      </c>
      <c r="Q144" s="3" t="s">
        <v>26</v>
      </c>
      <c r="R144" s="3">
        <v>0</v>
      </c>
      <c r="S144" s="4">
        <v>0</v>
      </c>
      <c r="T144" s="4">
        <v>24</v>
      </c>
      <c r="U144" s="4">
        <v>83</v>
      </c>
      <c r="V144" s="4">
        <f>IF(ISERROR(VLOOKUP($S$144,'TAR FIN'!$A$1:$O$85,15,0)),0,VLOOKUP($S$144,'TAR FIN'!$A$1:$O$85,15,0))</f>
        <v>0</v>
      </c>
      <c r="W144" s="4">
        <f>IF(ISERROR(VLOOKUP($T$144,'TAR FIN'!$A$1:$O$85,15,0)),0,VLOOKUP($T$144,'TAR FIN'!$A$1:$O$85,15,0))</f>
        <v>103.26</v>
      </c>
      <c r="X144" s="4">
        <f>IF(ISERROR(VLOOKUP($U$144,'TAR FIN'!$A$1:$O$85,15,0)),0,VLOOKUP($U$144,'TAR FIN'!$A$1:$O$85,15,0))</f>
        <v>231.33</v>
      </c>
      <c r="Y144" s="4"/>
      <c r="Z144" s="4">
        <f ca="1">('TUSD BE'!$AM$12+'TUSD BF'!$AM$12+'TUSD CVA'!$AM$12)*1</f>
        <v>136.85799051957201</v>
      </c>
      <c r="AA144" s="4">
        <f>('TE BE'!$AA$6+'TE BF'!$AA$6+'TE CVA'!$AA$6)*1</f>
        <v>260.80314197522284</v>
      </c>
      <c r="AB144" s="4">
        <f>$K$144*$V$144</f>
        <v>0</v>
      </c>
      <c r="AC144" s="4">
        <f>$M$144*$W$144</f>
        <v>318.66036000000003</v>
      </c>
      <c r="AD144" s="4">
        <f>$O$144*$X$144</f>
        <v>713.88437999999996</v>
      </c>
      <c r="AE144" s="4">
        <f>$K$144*$Y$144</f>
        <v>0</v>
      </c>
      <c r="AF144" s="4">
        <f ca="1">$M$144*$Z$144</f>
        <v>422.34375874339923</v>
      </c>
      <c r="AG144" s="4">
        <f>$O$144*$AA$144</f>
        <v>804.83849613553764</v>
      </c>
    </row>
    <row r="145" spans="1:33" ht="11.25" customHeight="1" x14ac:dyDescent="0.25">
      <c r="A145" s="3" t="s">
        <v>21</v>
      </c>
      <c r="B145" s="3" t="s">
        <v>33</v>
      </c>
      <c r="C145" s="3" t="s">
        <v>34</v>
      </c>
      <c r="D145" s="3" t="s">
        <v>24</v>
      </c>
      <c r="E145" s="3" t="s">
        <v>24</v>
      </c>
      <c r="F145" s="3" t="s">
        <v>25</v>
      </c>
      <c r="G145" s="3" t="s">
        <v>25</v>
      </c>
      <c r="H145" s="3" t="s">
        <v>36</v>
      </c>
      <c r="I145" s="6">
        <v>44621</v>
      </c>
      <c r="J145" s="4">
        <v>0</v>
      </c>
      <c r="K145" s="4">
        <v>0</v>
      </c>
      <c r="L145" s="4">
        <v>3.1349999999999998</v>
      </c>
      <c r="M145" s="4">
        <v>3.1349999999999998</v>
      </c>
      <c r="N145" s="4">
        <v>3.1349999999999998</v>
      </c>
      <c r="O145" s="4">
        <v>3.1349999999999998</v>
      </c>
      <c r="P145" s="4">
        <v>0</v>
      </c>
      <c r="Q145" s="3" t="s">
        <v>26</v>
      </c>
      <c r="R145" s="3">
        <v>0</v>
      </c>
      <c r="S145" s="4">
        <v>0</v>
      </c>
      <c r="T145" s="4">
        <v>24</v>
      </c>
      <c r="U145" s="4">
        <v>83</v>
      </c>
      <c r="V145" s="4">
        <f>IF(ISERROR(VLOOKUP($S$145,'TAR FIN'!$A$1:$O$85,15,0)),0,VLOOKUP($S$145,'TAR FIN'!$A$1:$O$85,15,0))</f>
        <v>0</v>
      </c>
      <c r="W145" s="4">
        <f>IF(ISERROR(VLOOKUP($T$145,'TAR FIN'!$A$1:$O$85,15,0)),0,VLOOKUP($T$145,'TAR FIN'!$A$1:$O$85,15,0))</f>
        <v>103.26</v>
      </c>
      <c r="X145" s="4">
        <f>IF(ISERROR(VLOOKUP($U$145,'TAR FIN'!$A$1:$O$85,15,0)),0,VLOOKUP($U$145,'TAR FIN'!$A$1:$O$85,15,0))</f>
        <v>231.33</v>
      </c>
      <c r="Y145" s="4"/>
      <c r="Z145" s="4">
        <f ca="1">('TUSD BE'!$AM$12+'TUSD BF'!$AM$12+'TUSD CVA'!$AM$12)*1</f>
        <v>136.85799051957201</v>
      </c>
      <c r="AA145" s="4">
        <f>('TE BE'!$AA$6+'TE BF'!$AA$6+'TE CVA'!$AA$6)*1</f>
        <v>260.80314197522284</v>
      </c>
      <c r="AB145" s="4">
        <f>$K$145*$V$145</f>
        <v>0</v>
      </c>
      <c r="AC145" s="4">
        <f>$M$145*$W$145</f>
        <v>323.7201</v>
      </c>
      <c r="AD145" s="4">
        <f>$O$145*$X$145</f>
        <v>725.21955000000003</v>
      </c>
      <c r="AE145" s="4">
        <f>$K$145*$Y$145</f>
        <v>0</v>
      </c>
      <c r="AF145" s="4">
        <f ca="1">$M$145*$Z$145</f>
        <v>429.04980027885824</v>
      </c>
      <c r="AG145" s="4">
        <f>$O$145*$AA$145</f>
        <v>817.61785009232358</v>
      </c>
    </row>
    <row r="146" spans="1:33" ht="11.25" customHeight="1" x14ac:dyDescent="0.25">
      <c r="A146" s="3" t="s">
        <v>21</v>
      </c>
      <c r="B146" s="3" t="s">
        <v>33</v>
      </c>
      <c r="C146" s="3" t="s">
        <v>34</v>
      </c>
      <c r="D146" s="3" t="s">
        <v>24</v>
      </c>
      <c r="E146" s="3" t="s">
        <v>24</v>
      </c>
      <c r="F146" s="3" t="s">
        <v>25</v>
      </c>
      <c r="G146" s="3" t="s">
        <v>25</v>
      </c>
      <c r="H146" s="3" t="s">
        <v>25</v>
      </c>
      <c r="I146" s="6">
        <v>44287</v>
      </c>
      <c r="J146" s="4">
        <v>30</v>
      </c>
      <c r="K146" s="4">
        <v>30</v>
      </c>
      <c r="L146" s="4">
        <v>0</v>
      </c>
      <c r="M146" s="4">
        <v>0</v>
      </c>
      <c r="N146" s="4">
        <v>0</v>
      </c>
      <c r="O146" s="4">
        <v>0</v>
      </c>
      <c r="P146" s="4">
        <v>1</v>
      </c>
      <c r="Q146" s="3" t="s">
        <v>26</v>
      </c>
      <c r="R146" s="3">
        <v>0</v>
      </c>
      <c r="S146" s="4">
        <v>22</v>
      </c>
      <c r="T146" s="4">
        <v>0</v>
      </c>
      <c r="U146" s="4">
        <v>0</v>
      </c>
      <c r="V146" s="4">
        <f>IF(ISERROR(VLOOKUP($S$146,'TAR FIN'!$A$1:$O$85,15,0)),0,VLOOKUP($S$146,'TAR FIN'!$A$1:$O$85,15,0))</f>
        <v>63.83</v>
      </c>
      <c r="W146" s="4">
        <f>IF(ISERROR(VLOOKUP($T$146,'TAR FIN'!$A$1:$O$85,15,0)),0,VLOOKUP($T$146,'TAR FIN'!$A$1:$O$85,15,0))</f>
        <v>0</v>
      </c>
      <c r="X146" s="4">
        <f>IF(ISERROR(VLOOKUP($U$146,'TAR FIN'!$A$1:$O$85,15,0)),0,VLOOKUP($U$146,'TAR FIN'!$A$1:$O$85,15,0))</f>
        <v>0</v>
      </c>
      <c r="Y146" s="4">
        <f ca="1">('TUSD BE'!$AM$10+'TUSD BF'!$AM$10+'TUSD CVA'!$AM$10)*1</f>
        <v>77.970056746860777</v>
      </c>
      <c r="Z146" s="4"/>
      <c r="AA146" s="4"/>
      <c r="AB146" s="4">
        <f>$K$146*$V$146</f>
        <v>1914.8999999999999</v>
      </c>
      <c r="AC146" s="4">
        <f>$M$146*$W$146</f>
        <v>0</v>
      </c>
      <c r="AD146" s="4">
        <f>$O$146*$X$146</f>
        <v>0</v>
      </c>
      <c r="AE146" s="4">
        <f ca="1">$K$146*$Y$146</f>
        <v>2339.1017024058233</v>
      </c>
      <c r="AF146" s="4">
        <f>$M$146*$Z$146</f>
        <v>0</v>
      </c>
      <c r="AG146" s="4">
        <f>$O$146*$AA$146</f>
        <v>0</v>
      </c>
    </row>
    <row r="147" spans="1:33" ht="11.25" customHeight="1" x14ac:dyDescent="0.25">
      <c r="A147" s="3" t="s">
        <v>21</v>
      </c>
      <c r="B147" s="3" t="s">
        <v>33</v>
      </c>
      <c r="C147" s="3" t="s">
        <v>34</v>
      </c>
      <c r="D147" s="3" t="s">
        <v>24</v>
      </c>
      <c r="E147" s="3" t="s">
        <v>24</v>
      </c>
      <c r="F147" s="3" t="s">
        <v>25</v>
      </c>
      <c r="G147" s="3" t="s">
        <v>25</v>
      </c>
      <c r="H147" s="3" t="s">
        <v>25</v>
      </c>
      <c r="I147" s="6">
        <v>44317</v>
      </c>
      <c r="J147" s="4">
        <v>30</v>
      </c>
      <c r="K147" s="4">
        <v>30</v>
      </c>
      <c r="L147" s="4">
        <v>0</v>
      </c>
      <c r="M147" s="4">
        <v>0</v>
      </c>
      <c r="N147" s="4">
        <v>0</v>
      </c>
      <c r="O147" s="4">
        <v>0</v>
      </c>
      <c r="P147" s="4">
        <v>1</v>
      </c>
      <c r="Q147" s="3" t="s">
        <v>26</v>
      </c>
      <c r="R147" s="3">
        <v>0</v>
      </c>
      <c r="S147" s="4">
        <v>22</v>
      </c>
      <c r="T147" s="4">
        <v>0</v>
      </c>
      <c r="U147" s="4">
        <v>0</v>
      </c>
      <c r="V147" s="4">
        <f>IF(ISERROR(VLOOKUP($S$147,'TAR FIN'!$A$1:$O$85,15,0)),0,VLOOKUP($S$147,'TAR FIN'!$A$1:$O$85,15,0))</f>
        <v>63.83</v>
      </c>
      <c r="W147" s="4">
        <f>IF(ISERROR(VLOOKUP($T$147,'TAR FIN'!$A$1:$O$85,15,0)),0,VLOOKUP($T$147,'TAR FIN'!$A$1:$O$85,15,0))</f>
        <v>0</v>
      </c>
      <c r="X147" s="4">
        <f>IF(ISERROR(VLOOKUP($U$147,'TAR FIN'!$A$1:$O$85,15,0)),0,VLOOKUP($U$147,'TAR FIN'!$A$1:$O$85,15,0))</f>
        <v>0</v>
      </c>
      <c r="Y147" s="4">
        <f ca="1">('TUSD BE'!$AM$10+'TUSD BF'!$AM$10+'TUSD CVA'!$AM$10)*1</f>
        <v>77.970056746860777</v>
      </c>
      <c r="Z147" s="4"/>
      <c r="AA147" s="4"/>
      <c r="AB147" s="4">
        <f>$K$147*$V$147</f>
        <v>1914.8999999999999</v>
      </c>
      <c r="AC147" s="4">
        <f>$M$147*$W$147</f>
        <v>0</v>
      </c>
      <c r="AD147" s="4">
        <f>$O$147*$X$147</f>
        <v>0</v>
      </c>
      <c r="AE147" s="4">
        <f ca="1">$K$147*$Y$147</f>
        <v>2339.1017024058233</v>
      </c>
      <c r="AF147" s="4">
        <f>$M$147*$Z$147</f>
        <v>0</v>
      </c>
      <c r="AG147" s="4">
        <f>$O$147*$AA$147</f>
        <v>0</v>
      </c>
    </row>
    <row r="148" spans="1:33" ht="11.25" customHeight="1" x14ac:dyDescent="0.25">
      <c r="A148" s="3" t="s">
        <v>21</v>
      </c>
      <c r="B148" s="3" t="s">
        <v>33</v>
      </c>
      <c r="C148" s="3" t="s">
        <v>34</v>
      </c>
      <c r="D148" s="3" t="s">
        <v>24</v>
      </c>
      <c r="E148" s="3" t="s">
        <v>24</v>
      </c>
      <c r="F148" s="3" t="s">
        <v>25</v>
      </c>
      <c r="G148" s="3" t="s">
        <v>25</v>
      </c>
      <c r="H148" s="3" t="s">
        <v>25</v>
      </c>
      <c r="I148" s="6">
        <v>44348</v>
      </c>
      <c r="J148" s="4">
        <v>30</v>
      </c>
      <c r="K148" s="4">
        <v>30</v>
      </c>
      <c r="L148" s="4">
        <v>0</v>
      </c>
      <c r="M148" s="4">
        <v>0</v>
      </c>
      <c r="N148" s="4">
        <v>0</v>
      </c>
      <c r="O148" s="4">
        <v>0</v>
      </c>
      <c r="P148" s="4">
        <v>1</v>
      </c>
      <c r="Q148" s="3" t="s">
        <v>26</v>
      </c>
      <c r="R148" s="3">
        <v>0</v>
      </c>
      <c r="S148" s="4">
        <v>22</v>
      </c>
      <c r="T148" s="4">
        <v>0</v>
      </c>
      <c r="U148" s="4">
        <v>0</v>
      </c>
      <c r="V148" s="4">
        <f>IF(ISERROR(VLOOKUP($S$148,'TAR FIN'!$A$1:$O$85,15,0)),0,VLOOKUP($S$148,'TAR FIN'!$A$1:$O$85,15,0))</f>
        <v>63.83</v>
      </c>
      <c r="W148" s="4">
        <f>IF(ISERROR(VLOOKUP($T$148,'TAR FIN'!$A$1:$O$85,15,0)),0,VLOOKUP($T$148,'TAR FIN'!$A$1:$O$85,15,0))</f>
        <v>0</v>
      </c>
      <c r="X148" s="4">
        <f>IF(ISERROR(VLOOKUP($U$148,'TAR FIN'!$A$1:$O$85,15,0)),0,VLOOKUP($U$148,'TAR FIN'!$A$1:$O$85,15,0))</f>
        <v>0</v>
      </c>
      <c r="Y148" s="4">
        <f ca="1">('TUSD BE'!$AM$10+'TUSD BF'!$AM$10+'TUSD CVA'!$AM$10)*1</f>
        <v>77.970056746860777</v>
      </c>
      <c r="Z148" s="4"/>
      <c r="AA148" s="4"/>
      <c r="AB148" s="4">
        <f>$K$148*$V$148</f>
        <v>1914.8999999999999</v>
      </c>
      <c r="AC148" s="4">
        <f>$M$148*$W$148</f>
        <v>0</v>
      </c>
      <c r="AD148" s="4">
        <f>$O$148*$X$148</f>
        <v>0</v>
      </c>
      <c r="AE148" s="4">
        <f ca="1">$K$148*$Y$148</f>
        <v>2339.1017024058233</v>
      </c>
      <c r="AF148" s="4">
        <f>$M$148*$Z$148</f>
        <v>0</v>
      </c>
      <c r="AG148" s="4">
        <f>$O$148*$AA$148</f>
        <v>0</v>
      </c>
    </row>
    <row r="149" spans="1:33" ht="11.25" customHeight="1" x14ac:dyDescent="0.25">
      <c r="A149" s="3" t="s">
        <v>21</v>
      </c>
      <c r="B149" s="3" t="s">
        <v>33</v>
      </c>
      <c r="C149" s="3" t="s">
        <v>34</v>
      </c>
      <c r="D149" s="3" t="s">
        <v>24</v>
      </c>
      <c r="E149" s="3" t="s">
        <v>24</v>
      </c>
      <c r="F149" s="3" t="s">
        <v>25</v>
      </c>
      <c r="G149" s="3" t="s">
        <v>25</v>
      </c>
      <c r="H149" s="3" t="s">
        <v>25</v>
      </c>
      <c r="I149" s="6">
        <v>44378</v>
      </c>
      <c r="J149" s="4">
        <v>30</v>
      </c>
      <c r="K149" s="4">
        <v>30</v>
      </c>
      <c r="L149" s="4">
        <v>0</v>
      </c>
      <c r="M149" s="4">
        <v>0</v>
      </c>
      <c r="N149" s="4">
        <v>0</v>
      </c>
      <c r="O149" s="4">
        <v>0</v>
      </c>
      <c r="P149" s="4">
        <v>1</v>
      </c>
      <c r="Q149" s="3" t="s">
        <v>26</v>
      </c>
      <c r="R149" s="3">
        <v>0</v>
      </c>
      <c r="S149" s="4">
        <v>22</v>
      </c>
      <c r="T149" s="4">
        <v>0</v>
      </c>
      <c r="U149" s="4">
        <v>0</v>
      </c>
      <c r="V149" s="4">
        <f>IF(ISERROR(VLOOKUP($S$149,'TAR FIN'!$A$1:$O$85,15,0)),0,VLOOKUP($S$149,'TAR FIN'!$A$1:$O$85,15,0))</f>
        <v>63.83</v>
      </c>
      <c r="W149" s="4">
        <f>IF(ISERROR(VLOOKUP($T$149,'TAR FIN'!$A$1:$O$85,15,0)),0,VLOOKUP($T$149,'TAR FIN'!$A$1:$O$85,15,0))</f>
        <v>0</v>
      </c>
      <c r="X149" s="4">
        <f>IF(ISERROR(VLOOKUP($U$149,'TAR FIN'!$A$1:$O$85,15,0)),0,VLOOKUP($U$149,'TAR FIN'!$A$1:$O$85,15,0))</f>
        <v>0</v>
      </c>
      <c r="Y149" s="4">
        <f ca="1">('TUSD BE'!$AM$10+'TUSD BF'!$AM$10+'TUSD CVA'!$AM$10)*1</f>
        <v>77.970056746860777</v>
      </c>
      <c r="Z149" s="4"/>
      <c r="AA149" s="4"/>
      <c r="AB149" s="4">
        <f>$K$149*$V$149</f>
        <v>1914.8999999999999</v>
      </c>
      <c r="AC149" s="4">
        <f>$M$149*$W$149</f>
        <v>0</v>
      </c>
      <c r="AD149" s="4">
        <f>$O$149*$X$149</f>
        <v>0</v>
      </c>
      <c r="AE149" s="4">
        <f ca="1">$K$149*$Y$149</f>
        <v>2339.1017024058233</v>
      </c>
      <c r="AF149" s="4">
        <f>$M$149*$Z$149</f>
        <v>0</v>
      </c>
      <c r="AG149" s="4">
        <f>$O$149*$AA$149</f>
        <v>0</v>
      </c>
    </row>
    <row r="150" spans="1:33" ht="11.25" customHeight="1" x14ac:dyDescent="0.25">
      <c r="A150" s="3" t="s">
        <v>21</v>
      </c>
      <c r="B150" s="3" t="s">
        <v>33</v>
      </c>
      <c r="C150" s="3" t="s">
        <v>34</v>
      </c>
      <c r="D150" s="3" t="s">
        <v>24</v>
      </c>
      <c r="E150" s="3" t="s">
        <v>24</v>
      </c>
      <c r="F150" s="3" t="s">
        <v>25</v>
      </c>
      <c r="G150" s="3" t="s">
        <v>25</v>
      </c>
      <c r="H150" s="3" t="s">
        <v>25</v>
      </c>
      <c r="I150" s="6">
        <v>44409</v>
      </c>
      <c r="J150" s="4">
        <v>30</v>
      </c>
      <c r="K150" s="4">
        <v>30</v>
      </c>
      <c r="L150" s="4">
        <v>0</v>
      </c>
      <c r="M150" s="4">
        <v>0</v>
      </c>
      <c r="N150" s="4">
        <v>0</v>
      </c>
      <c r="O150" s="4">
        <v>0</v>
      </c>
      <c r="P150" s="4">
        <v>1</v>
      </c>
      <c r="Q150" s="3" t="s">
        <v>26</v>
      </c>
      <c r="R150" s="3">
        <v>0</v>
      </c>
      <c r="S150" s="4">
        <v>22</v>
      </c>
      <c r="T150" s="4">
        <v>0</v>
      </c>
      <c r="U150" s="4">
        <v>0</v>
      </c>
      <c r="V150" s="4">
        <f>IF(ISERROR(VLOOKUP($S$150,'TAR FIN'!$A$1:$O$85,15,0)),0,VLOOKUP($S$150,'TAR FIN'!$A$1:$O$85,15,0))</f>
        <v>63.83</v>
      </c>
      <c r="W150" s="4">
        <f>IF(ISERROR(VLOOKUP($T$150,'TAR FIN'!$A$1:$O$85,15,0)),0,VLOOKUP($T$150,'TAR FIN'!$A$1:$O$85,15,0))</f>
        <v>0</v>
      </c>
      <c r="X150" s="4">
        <f>IF(ISERROR(VLOOKUP($U$150,'TAR FIN'!$A$1:$O$85,15,0)),0,VLOOKUP($U$150,'TAR FIN'!$A$1:$O$85,15,0))</f>
        <v>0</v>
      </c>
      <c r="Y150" s="4">
        <f ca="1">('TUSD BE'!$AM$10+'TUSD BF'!$AM$10+'TUSD CVA'!$AM$10)*1</f>
        <v>77.970056746860777</v>
      </c>
      <c r="Z150" s="4"/>
      <c r="AA150" s="4"/>
      <c r="AB150" s="4">
        <f>$K$150*$V$150</f>
        <v>1914.8999999999999</v>
      </c>
      <c r="AC150" s="4">
        <f>$M$150*$W$150</f>
        <v>0</v>
      </c>
      <c r="AD150" s="4">
        <f>$O$150*$X$150</f>
        <v>0</v>
      </c>
      <c r="AE150" s="4">
        <f ca="1">$K$150*$Y$150</f>
        <v>2339.1017024058233</v>
      </c>
      <c r="AF150" s="4">
        <f>$M$150*$Z$150</f>
        <v>0</v>
      </c>
      <c r="AG150" s="4">
        <f>$O$150*$AA$150</f>
        <v>0</v>
      </c>
    </row>
    <row r="151" spans="1:33" ht="11.25" customHeight="1" x14ac:dyDescent="0.25">
      <c r="A151" s="3" t="s">
        <v>21</v>
      </c>
      <c r="B151" s="3" t="s">
        <v>33</v>
      </c>
      <c r="C151" s="3" t="s">
        <v>34</v>
      </c>
      <c r="D151" s="3" t="s">
        <v>24</v>
      </c>
      <c r="E151" s="3" t="s">
        <v>24</v>
      </c>
      <c r="F151" s="3" t="s">
        <v>25</v>
      </c>
      <c r="G151" s="3" t="s">
        <v>25</v>
      </c>
      <c r="H151" s="3" t="s">
        <v>25</v>
      </c>
      <c r="I151" s="6">
        <v>44440</v>
      </c>
      <c r="J151" s="4">
        <v>60</v>
      </c>
      <c r="K151" s="4">
        <v>60</v>
      </c>
      <c r="L151" s="4">
        <v>0</v>
      </c>
      <c r="M151" s="4">
        <v>0</v>
      </c>
      <c r="N151" s="4">
        <v>0</v>
      </c>
      <c r="O151" s="4">
        <v>0</v>
      </c>
      <c r="P151" s="4">
        <v>2</v>
      </c>
      <c r="Q151" s="3" t="s">
        <v>26</v>
      </c>
      <c r="R151" s="3">
        <v>0</v>
      </c>
      <c r="S151" s="4">
        <v>22</v>
      </c>
      <c r="T151" s="4">
        <v>0</v>
      </c>
      <c r="U151" s="4">
        <v>0</v>
      </c>
      <c r="V151" s="4">
        <f>IF(ISERROR(VLOOKUP($S$151,'TAR FIN'!$A$1:$O$85,15,0)),0,VLOOKUP($S$151,'TAR FIN'!$A$1:$O$85,15,0))</f>
        <v>63.83</v>
      </c>
      <c r="W151" s="4">
        <f>IF(ISERROR(VLOOKUP($T$151,'TAR FIN'!$A$1:$O$85,15,0)),0,VLOOKUP($T$151,'TAR FIN'!$A$1:$O$85,15,0))</f>
        <v>0</v>
      </c>
      <c r="X151" s="4">
        <f>IF(ISERROR(VLOOKUP($U$151,'TAR FIN'!$A$1:$O$85,15,0)),0,VLOOKUP($U$151,'TAR FIN'!$A$1:$O$85,15,0))</f>
        <v>0</v>
      </c>
      <c r="Y151" s="4">
        <f ca="1">('TUSD BE'!$AM$10+'TUSD BF'!$AM$10+'TUSD CVA'!$AM$10)*1</f>
        <v>77.970056746860777</v>
      </c>
      <c r="Z151" s="4"/>
      <c r="AA151" s="4"/>
      <c r="AB151" s="4">
        <f>$K$151*$V$151</f>
        <v>3829.7999999999997</v>
      </c>
      <c r="AC151" s="4">
        <f>$M$151*$W$151</f>
        <v>0</v>
      </c>
      <c r="AD151" s="4">
        <f>$O$151*$X$151</f>
        <v>0</v>
      </c>
      <c r="AE151" s="4">
        <f ca="1">$K$151*$Y$151</f>
        <v>4678.2034048116466</v>
      </c>
      <c r="AF151" s="4">
        <f>$M$151*$Z$151</f>
        <v>0</v>
      </c>
      <c r="AG151" s="4">
        <f>$O$151*$AA$151</f>
        <v>0</v>
      </c>
    </row>
    <row r="152" spans="1:33" ht="11.25" customHeight="1" x14ac:dyDescent="0.25">
      <c r="A152" s="3" t="s">
        <v>21</v>
      </c>
      <c r="B152" s="3" t="s">
        <v>33</v>
      </c>
      <c r="C152" s="3" t="s">
        <v>34</v>
      </c>
      <c r="D152" s="3" t="s">
        <v>24</v>
      </c>
      <c r="E152" s="3" t="s">
        <v>24</v>
      </c>
      <c r="F152" s="3" t="s">
        <v>25</v>
      </c>
      <c r="G152" s="3" t="s">
        <v>25</v>
      </c>
      <c r="H152" s="3" t="s">
        <v>25</v>
      </c>
      <c r="I152" s="6">
        <v>44470</v>
      </c>
      <c r="J152" s="4">
        <v>60</v>
      </c>
      <c r="K152" s="4">
        <v>60</v>
      </c>
      <c r="L152" s="4">
        <v>0</v>
      </c>
      <c r="M152" s="4">
        <v>0</v>
      </c>
      <c r="N152" s="4">
        <v>0</v>
      </c>
      <c r="O152" s="4">
        <v>0</v>
      </c>
      <c r="P152" s="4">
        <v>2</v>
      </c>
      <c r="Q152" s="3" t="s">
        <v>26</v>
      </c>
      <c r="R152" s="3">
        <v>0</v>
      </c>
      <c r="S152" s="4">
        <v>22</v>
      </c>
      <c r="T152" s="4">
        <v>0</v>
      </c>
      <c r="U152" s="4">
        <v>0</v>
      </c>
      <c r="V152" s="4">
        <f>IF(ISERROR(VLOOKUP($S$152,'TAR FIN'!$A$1:$O$85,15,0)),0,VLOOKUP($S$152,'TAR FIN'!$A$1:$O$85,15,0))</f>
        <v>63.83</v>
      </c>
      <c r="W152" s="4">
        <f>IF(ISERROR(VLOOKUP($T$152,'TAR FIN'!$A$1:$O$85,15,0)),0,VLOOKUP($T$152,'TAR FIN'!$A$1:$O$85,15,0))</f>
        <v>0</v>
      </c>
      <c r="X152" s="4">
        <f>IF(ISERROR(VLOOKUP($U$152,'TAR FIN'!$A$1:$O$85,15,0)),0,VLOOKUP($U$152,'TAR FIN'!$A$1:$O$85,15,0))</f>
        <v>0</v>
      </c>
      <c r="Y152" s="4">
        <f ca="1">('TUSD BE'!$AM$10+'TUSD BF'!$AM$10+'TUSD CVA'!$AM$10)*1</f>
        <v>77.970056746860777</v>
      </c>
      <c r="Z152" s="4"/>
      <c r="AA152" s="4"/>
      <c r="AB152" s="4">
        <f>$K$152*$V$152</f>
        <v>3829.7999999999997</v>
      </c>
      <c r="AC152" s="4">
        <f>$M$152*$W$152</f>
        <v>0</v>
      </c>
      <c r="AD152" s="4">
        <f>$O$152*$X$152</f>
        <v>0</v>
      </c>
      <c r="AE152" s="4">
        <f ca="1">$K$152*$Y$152</f>
        <v>4678.2034048116466</v>
      </c>
      <c r="AF152" s="4">
        <f>$M$152*$Z$152</f>
        <v>0</v>
      </c>
      <c r="AG152" s="4">
        <f>$O$152*$AA$152</f>
        <v>0</v>
      </c>
    </row>
    <row r="153" spans="1:33" ht="11.25" customHeight="1" x14ac:dyDescent="0.25">
      <c r="A153" s="3" t="s">
        <v>21</v>
      </c>
      <c r="B153" s="3" t="s">
        <v>33</v>
      </c>
      <c r="C153" s="3" t="s">
        <v>34</v>
      </c>
      <c r="D153" s="3" t="s">
        <v>24</v>
      </c>
      <c r="E153" s="3" t="s">
        <v>24</v>
      </c>
      <c r="F153" s="3" t="s">
        <v>25</v>
      </c>
      <c r="G153" s="3" t="s">
        <v>25</v>
      </c>
      <c r="H153" s="3" t="s">
        <v>25</v>
      </c>
      <c r="I153" s="6">
        <v>44501</v>
      </c>
      <c r="J153" s="4">
        <v>60</v>
      </c>
      <c r="K153" s="4">
        <v>60</v>
      </c>
      <c r="L153" s="4">
        <v>0</v>
      </c>
      <c r="M153" s="4">
        <v>0</v>
      </c>
      <c r="N153" s="4">
        <v>0</v>
      </c>
      <c r="O153" s="4">
        <v>0</v>
      </c>
      <c r="P153" s="4">
        <v>2</v>
      </c>
      <c r="Q153" s="3" t="s">
        <v>26</v>
      </c>
      <c r="R153" s="3">
        <v>0</v>
      </c>
      <c r="S153" s="4">
        <v>22</v>
      </c>
      <c r="T153" s="4">
        <v>0</v>
      </c>
      <c r="U153" s="4">
        <v>0</v>
      </c>
      <c r="V153" s="4">
        <f>IF(ISERROR(VLOOKUP($S$153,'TAR FIN'!$A$1:$O$85,15,0)),0,VLOOKUP($S$153,'TAR FIN'!$A$1:$O$85,15,0))</f>
        <v>63.83</v>
      </c>
      <c r="W153" s="4">
        <f>IF(ISERROR(VLOOKUP($T$153,'TAR FIN'!$A$1:$O$85,15,0)),0,VLOOKUP($T$153,'TAR FIN'!$A$1:$O$85,15,0))</f>
        <v>0</v>
      </c>
      <c r="X153" s="4">
        <f>IF(ISERROR(VLOOKUP($U$153,'TAR FIN'!$A$1:$O$85,15,0)),0,VLOOKUP($U$153,'TAR FIN'!$A$1:$O$85,15,0))</f>
        <v>0</v>
      </c>
      <c r="Y153" s="4">
        <f ca="1">('TUSD BE'!$AM$10+'TUSD BF'!$AM$10+'TUSD CVA'!$AM$10)*1</f>
        <v>77.970056746860777</v>
      </c>
      <c r="Z153" s="4"/>
      <c r="AA153" s="4"/>
      <c r="AB153" s="4">
        <f>$K$153*$V$153</f>
        <v>3829.7999999999997</v>
      </c>
      <c r="AC153" s="4">
        <f>$M$153*$W$153</f>
        <v>0</v>
      </c>
      <c r="AD153" s="4">
        <f>$O$153*$X$153</f>
        <v>0</v>
      </c>
      <c r="AE153" s="4">
        <f ca="1">$K$153*$Y$153</f>
        <v>4678.2034048116466</v>
      </c>
      <c r="AF153" s="4">
        <f>$M$153*$Z$153</f>
        <v>0</v>
      </c>
      <c r="AG153" s="4">
        <f>$O$153*$AA$153</f>
        <v>0</v>
      </c>
    </row>
    <row r="154" spans="1:33" ht="11.25" customHeight="1" x14ac:dyDescent="0.25">
      <c r="A154" s="3" t="s">
        <v>21</v>
      </c>
      <c r="B154" s="3" t="s">
        <v>33</v>
      </c>
      <c r="C154" s="3" t="s">
        <v>34</v>
      </c>
      <c r="D154" s="3" t="s">
        <v>24</v>
      </c>
      <c r="E154" s="3" t="s">
        <v>24</v>
      </c>
      <c r="F154" s="3" t="s">
        <v>25</v>
      </c>
      <c r="G154" s="3" t="s">
        <v>25</v>
      </c>
      <c r="H154" s="3" t="s">
        <v>25</v>
      </c>
      <c r="I154" s="6">
        <v>44531</v>
      </c>
      <c r="J154" s="4">
        <v>60</v>
      </c>
      <c r="K154" s="4">
        <v>60</v>
      </c>
      <c r="L154" s="4">
        <v>0</v>
      </c>
      <c r="M154" s="4">
        <v>0</v>
      </c>
      <c r="N154" s="4">
        <v>0</v>
      </c>
      <c r="O154" s="4">
        <v>0</v>
      </c>
      <c r="P154" s="4">
        <v>2</v>
      </c>
      <c r="Q154" s="3" t="s">
        <v>26</v>
      </c>
      <c r="R154" s="3">
        <v>0</v>
      </c>
      <c r="S154" s="4">
        <v>22</v>
      </c>
      <c r="T154" s="4">
        <v>0</v>
      </c>
      <c r="U154" s="4">
        <v>0</v>
      </c>
      <c r="V154" s="4">
        <f>IF(ISERROR(VLOOKUP($S$154,'TAR FIN'!$A$1:$O$85,15,0)),0,VLOOKUP($S$154,'TAR FIN'!$A$1:$O$85,15,0))</f>
        <v>63.83</v>
      </c>
      <c r="W154" s="4">
        <f>IF(ISERROR(VLOOKUP($T$154,'TAR FIN'!$A$1:$O$85,15,0)),0,VLOOKUP($T$154,'TAR FIN'!$A$1:$O$85,15,0))</f>
        <v>0</v>
      </c>
      <c r="X154" s="4">
        <f>IF(ISERROR(VLOOKUP($U$154,'TAR FIN'!$A$1:$O$85,15,0)),0,VLOOKUP($U$154,'TAR FIN'!$A$1:$O$85,15,0))</f>
        <v>0</v>
      </c>
      <c r="Y154" s="4">
        <f ca="1">('TUSD BE'!$AM$10+'TUSD BF'!$AM$10+'TUSD CVA'!$AM$10)*1</f>
        <v>77.970056746860777</v>
      </c>
      <c r="Z154" s="4"/>
      <c r="AA154" s="4"/>
      <c r="AB154" s="4">
        <f>$K$154*$V$154</f>
        <v>3829.7999999999997</v>
      </c>
      <c r="AC154" s="4">
        <f>$M$154*$W$154</f>
        <v>0</v>
      </c>
      <c r="AD154" s="4">
        <f>$O$154*$X$154</f>
        <v>0</v>
      </c>
      <c r="AE154" s="4">
        <f ca="1">$K$154*$Y$154</f>
        <v>4678.2034048116466</v>
      </c>
      <c r="AF154" s="4">
        <f>$M$154*$Z$154</f>
        <v>0</v>
      </c>
      <c r="AG154" s="4">
        <f>$O$154*$AA$154</f>
        <v>0</v>
      </c>
    </row>
    <row r="155" spans="1:33" ht="11.25" customHeight="1" x14ac:dyDescent="0.25">
      <c r="A155" s="3" t="s">
        <v>21</v>
      </c>
      <c r="B155" s="3" t="s">
        <v>33</v>
      </c>
      <c r="C155" s="3" t="s">
        <v>34</v>
      </c>
      <c r="D155" s="3" t="s">
        <v>24</v>
      </c>
      <c r="E155" s="3" t="s">
        <v>24</v>
      </c>
      <c r="F155" s="3" t="s">
        <v>25</v>
      </c>
      <c r="G155" s="3" t="s">
        <v>25</v>
      </c>
      <c r="H155" s="3" t="s">
        <v>25</v>
      </c>
      <c r="I155" s="6">
        <v>44562</v>
      </c>
      <c r="J155" s="4">
        <v>60</v>
      </c>
      <c r="K155" s="4">
        <v>60</v>
      </c>
      <c r="L155" s="4">
        <v>0</v>
      </c>
      <c r="M155" s="4">
        <v>0</v>
      </c>
      <c r="N155" s="4">
        <v>0</v>
      </c>
      <c r="O155" s="4">
        <v>0</v>
      </c>
      <c r="P155" s="4">
        <v>2</v>
      </c>
      <c r="Q155" s="3" t="s">
        <v>26</v>
      </c>
      <c r="R155" s="3">
        <v>0</v>
      </c>
      <c r="S155" s="4">
        <v>22</v>
      </c>
      <c r="T155" s="4">
        <v>0</v>
      </c>
      <c r="U155" s="4">
        <v>0</v>
      </c>
      <c r="V155" s="4">
        <f>IF(ISERROR(VLOOKUP($S$155,'TAR FIN'!$A$1:$O$85,15,0)),0,VLOOKUP($S$155,'TAR FIN'!$A$1:$O$85,15,0))</f>
        <v>63.83</v>
      </c>
      <c r="W155" s="4">
        <f>IF(ISERROR(VLOOKUP($T$155,'TAR FIN'!$A$1:$O$85,15,0)),0,VLOOKUP($T$155,'TAR FIN'!$A$1:$O$85,15,0))</f>
        <v>0</v>
      </c>
      <c r="X155" s="4">
        <f>IF(ISERROR(VLOOKUP($U$155,'TAR FIN'!$A$1:$O$85,15,0)),0,VLOOKUP($U$155,'TAR FIN'!$A$1:$O$85,15,0))</f>
        <v>0</v>
      </c>
      <c r="Y155" s="4">
        <f ca="1">('TUSD BE'!$AM$10+'TUSD BF'!$AM$10+'TUSD CVA'!$AM$10)*1</f>
        <v>77.970056746860777</v>
      </c>
      <c r="Z155" s="4"/>
      <c r="AA155" s="4"/>
      <c r="AB155" s="4">
        <f>$K$155*$V$155</f>
        <v>3829.7999999999997</v>
      </c>
      <c r="AC155" s="4">
        <f>$M$155*$W$155</f>
        <v>0</v>
      </c>
      <c r="AD155" s="4">
        <f>$O$155*$X$155</f>
        <v>0</v>
      </c>
      <c r="AE155" s="4">
        <f ca="1">$K$155*$Y$155</f>
        <v>4678.2034048116466</v>
      </c>
      <c r="AF155" s="4">
        <f>$M$155*$Z$155</f>
        <v>0</v>
      </c>
      <c r="AG155" s="4">
        <f>$O$155*$AA$155</f>
        <v>0</v>
      </c>
    </row>
    <row r="156" spans="1:33" ht="11.25" customHeight="1" x14ac:dyDescent="0.25">
      <c r="A156" s="3" t="s">
        <v>21</v>
      </c>
      <c r="B156" s="3" t="s">
        <v>33</v>
      </c>
      <c r="C156" s="3" t="s">
        <v>34</v>
      </c>
      <c r="D156" s="3" t="s">
        <v>24</v>
      </c>
      <c r="E156" s="3" t="s">
        <v>24</v>
      </c>
      <c r="F156" s="3" t="s">
        <v>25</v>
      </c>
      <c r="G156" s="3" t="s">
        <v>25</v>
      </c>
      <c r="H156" s="3" t="s">
        <v>25</v>
      </c>
      <c r="I156" s="6">
        <v>44593</v>
      </c>
      <c r="J156" s="4">
        <v>60</v>
      </c>
      <c r="K156" s="4">
        <v>60</v>
      </c>
      <c r="L156" s="4">
        <v>0</v>
      </c>
      <c r="M156" s="4">
        <v>0</v>
      </c>
      <c r="N156" s="4">
        <v>0</v>
      </c>
      <c r="O156" s="4">
        <v>0</v>
      </c>
      <c r="P156" s="4">
        <v>2</v>
      </c>
      <c r="Q156" s="3" t="s">
        <v>26</v>
      </c>
      <c r="R156" s="3">
        <v>0</v>
      </c>
      <c r="S156" s="4">
        <v>22</v>
      </c>
      <c r="T156" s="4">
        <v>0</v>
      </c>
      <c r="U156" s="4">
        <v>0</v>
      </c>
      <c r="V156" s="4">
        <f>IF(ISERROR(VLOOKUP($S$156,'TAR FIN'!$A$1:$O$85,15,0)),0,VLOOKUP($S$156,'TAR FIN'!$A$1:$O$85,15,0))</f>
        <v>63.83</v>
      </c>
      <c r="W156" s="4">
        <f>IF(ISERROR(VLOOKUP($T$156,'TAR FIN'!$A$1:$O$85,15,0)),0,VLOOKUP($T$156,'TAR FIN'!$A$1:$O$85,15,0))</f>
        <v>0</v>
      </c>
      <c r="X156" s="4">
        <f>IF(ISERROR(VLOOKUP($U$156,'TAR FIN'!$A$1:$O$85,15,0)),0,VLOOKUP($U$156,'TAR FIN'!$A$1:$O$85,15,0))</f>
        <v>0</v>
      </c>
      <c r="Y156" s="4">
        <f ca="1">('TUSD BE'!$AM$10+'TUSD BF'!$AM$10+'TUSD CVA'!$AM$10)*1</f>
        <v>77.970056746860777</v>
      </c>
      <c r="Z156" s="4"/>
      <c r="AA156" s="4"/>
      <c r="AB156" s="4">
        <f>$K$156*$V$156</f>
        <v>3829.7999999999997</v>
      </c>
      <c r="AC156" s="4">
        <f>$M$156*$W$156</f>
        <v>0</v>
      </c>
      <c r="AD156" s="4">
        <f>$O$156*$X$156</f>
        <v>0</v>
      </c>
      <c r="AE156" s="4">
        <f ca="1">$K$156*$Y$156</f>
        <v>4678.2034048116466</v>
      </c>
      <c r="AF156" s="4">
        <f>$M$156*$Z$156</f>
        <v>0</v>
      </c>
      <c r="AG156" s="4">
        <f>$O$156*$AA$156</f>
        <v>0</v>
      </c>
    </row>
    <row r="157" spans="1:33" ht="11.25" customHeight="1" x14ac:dyDescent="0.25">
      <c r="A157" s="3" t="s">
        <v>21</v>
      </c>
      <c r="B157" s="3" t="s">
        <v>33</v>
      </c>
      <c r="C157" s="3" t="s">
        <v>34</v>
      </c>
      <c r="D157" s="3" t="s">
        <v>24</v>
      </c>
      <c r="E157" s="3" t="s">
        <v>24</v>
      </c>
      <c r="F157" s="3" t="s">
        <v>25</v>
      </c>
      <c r="G157" s="3" t="s">
        <v>25</v>
      </c>
      <c r="H157" s="3" t="s">
        <v>25</v>
      </c>
      <c r="I157" s="6">
        <v>44621</v>
      </c>
      <c r="J157" s="4">
        <v>60</v>
      </c>
      <c r="K157" s="4">
        <v>60</v>
      </c>
      <c r="L157" s="4">
        <v>0</v>
      </c>
      <c r="M157" s="4">
        <v>0</v>
      </c>
      <c r="N157" s="4">
        <v>0</v>
      </c>
      <c r="O157" s="4">
        <v>0</v>
      </c>
      <c r="P157" s="4">
        <v>2</v>
      </c>
      <c r="Q157" s="3" t="s">
        <v>26</v>
      </c>
      <c r="R157" s="3">
        <v>0</v>
      </c>
      <c r="S157" s="4">
        <v>22</v>
      </c>
      <c r="T157" s="4">
        <v>0</v>
      </c>
      <c r="U157" s="4">
        <v>0</v>
      </c>
      <c r="V157" s="4">
        <f>IF(ISERROR(VLOOKUP($S$157,'TAR FIN'!$A$1:$O$85,15,0)),0,VLOOKUP($S$157,'TAR FIN'!$A$1:$O$85,15,0))</f>
        <v>63.83</v>
      </c>
      <c r="W157" s="4">
        <f>IF(ISERROR(VLOOKUP($T$157,'TAR FIN'!$A$1:$O$85,15,0)),0,VLOOKUP($T$157,'TAR FIN'!$A$1:$O$85,15,0))</f>
        <v>0</v>
      </c>
      <c r="X157" s="4">
        <f>IF(ISERROR(VLOOKUP($U$157,'TAR FIN'!$A$1:$O$85,15,0)),0,VLOOKUP($U$157,'TAR FIN'!$A$1:$O$85,15,0))</f>
        <v>0</v>
      </c>
      <c r="Y157" s="4">
        <f ca="1">('TUSD BE'!$AM$10+'TUSD BF'!$AM$10+'TUSD CVA'!$AM$10)*1</f>
        <v>77.970056746860777</v>
      </c>
      <c r="Z157" s="4"/>
      <c r="AA157" s="4"/>
      <c r="AB157" s="4">
        <f>$K$157*$V$157</f>
        <v>3829.7999999999997</v>
      </c>
      <c r="AC157" s="4">
        <f>$M$157*$W$157</f>
        <v>0</v>
      </c>
      <c r="AD157" s="4">
        <f>$O$157*$X$157</f>
        <v>0</v>
      </c>
      <c r="AE157" s="4">
        <f ca="1">$K$157*$Y$157</f>
        <v>4678.2034048116466</v>
      </c>
      <c r="AF157" s="4">
        <f>$M$157*$Z$157</f>
        <v>0</v>
      </c>
      <c r="AG157" s="4">
        <f>$O$157*$AA$157</f>
        <v>0</v>
      </c>
    </row>
    <row r="158" spans="1:33" ht="11.25" customHeight="1" x14ac:dyDescent="0.25">
      <c r="A158" s="3" t="s">
        <v>21</v>
      </c>
      <c r="B158" s="3" t="s">
        <v>33</v>
      </c>
      <c r="C158" s="3" t="s">
        <v>34</v>
      </c>
      <c r="D158" s="3" t="s">
        <v>24</v>
      </c>
      <c r="E158" s="3" t="s">
        <v>24</v>
      </c>
      <c r="F158" s="3" t="s">
        <v>25</v>
      </c>
      <c r="G158" s="3" t="s">
        <v>25</v>
      </c>
      <c r="H158" s="3" t="s">
        <v>35</v>
      </c>
      <c r="I158" s="6">
        <v>44287</v>
      </c>
      <c r="J158" s="4">
        <v>0</v>
      </c>
      <c r="K158" s="4">
        <v>0</v>
      </c>
      <c r="L158" s="4">
        <v>0.20499999999999999</v>
      </c>
      <c r="M158" s="4">
        <v>0.20499999999999999</v>
      </c>
      <c r="N158" s="4">
        <v>0.20499999999999999</v>
      </c>
      <c r="O158" s="4">
        <v>0.20499999999999999</v>
      </c>
      <c r="P158" s="4">
        <v>0</v>
      </c>
      <c r="Q158" s="3" t="s">
        <v>26</v>
      </c>
      <c r="R158" s="3">
        <v>0</v>
      </c>
      <c r="S158" s="4">
        <v>0</v>
      </c>
      <c r="T158" s="4">
        <v>23</v>
      </c>
      <c r="U158" s="4">
        <v>82</v>
      </c>
      <c r="V158" s="4">
        <f>IF(ISERROR(VLOOKUP($S$158,'TAR FIN'!$A$1:$O$85,15,0)),0,VLOOKUP($S$158,'TAR FIN'!$A$1:$O$85,15,0))</f>
        <v>0</v>
      </c>
      <c r="W158" s="4">
        <f>IF(ISERROR(VLOOKUP($T$158,'TAR FIN'!$A$1:$O$85,15,0)),0,VLOOKUP($T$158,'TAR FIN'!$A$1:$O$85,15,0))</f>
        <v>4048.87</v>
      </c>
      <c r="X158" s="4">
        <f>IF(ISERROR(VLOOKUP($U$158,'TAR FIN'!$A$1:$O$85,15,0)),0,VLOOKUP($U$158,'TAR FIN'!$A$1:$O$85,15,0))</f>
        <v>231.33</v>
      </c>
      <c r="Y158" s="4"/>
      <c r="Z158" s="4">
        <f ca="1">('TUSD BE'!$AM$11+'TUSD BF'!$AM$11+'TUSD CVA'!$AM$11)*1</f>
        <v>4890.261914674632</v>
      </c>
      <c r="AA158" s="4">
        <f>('TE BE'!$AA$5+'TE BF'!$AA$5+'TE CVA'!$AA$5)*1</f>
        <v>260.80314197522284</v>
      </c>
      <c r="AB158" s="4">
        <f>$K$158*$V$158</f>
        <v>0</v>
      </c>
      <c r="AC158" s="4">
        <f>$M$158*$W$158</f>
        <v>830.01834999999994</v>
      </c>
      <c r="AD158" s="4">
        <f>$O$158*$X$158</f>
        <v>47.422649999999997</v>
      </c>
      <c r="AE158" s="4">
        <f>$K$158*$Y$158</f>
        <v>0</v>
      </c>
      <c r="AF158" s="4">
        <f ca="1">$M$158*$Z$158</f>
        <v>1002.5036925082995</v>
      </c>
      <c r="AG158" s="4">
        <f>$O$158*$AA$158</f>
        <v>53.46464410492068</v>
      </c>
    </row>
    <row r="159" spans="1:33" ht="11.25" customHeight="1" x14ac:dyDescent="0.25">
      <c r="A159" s="3" t="s">
        <v>21</v>
      </c>
      <c r="B159" s="3" t="s">
        <v>33</v>
      </c>
      <c r="C159" s="3" t="s">
        <v>34</v>
      </c>
      <c r="D159" s="3" t="s">
        <v>24</v>
      </c>
      <c r="E159" s="3" t="s">
        <v>24</v>
      </c>
      <c r="F159" s="3" t="s">
        <v>25</v>
      </c>
      <c r="G159" s="3" t="s">
        <v>25</v>
      </c>
      <c r="H159" s="3" t="s">
        <v>35</v>
      </c>
      <c r="I159" s="6">
        <v>44317</v>
      </c>
      <c r="J159" s="4">
        <v>0</v>
      </c>
      <c r="K159" s="4">
        <v>0</v>
      </c>
      <c r="L159" s="4">
        <v>0.186</v>
      </c>
      <c r="M159" s="4">
        <v>0.186</v>
      </c>
      <c r="N159" s="4">
        <v>0.186</v>
      </c>
      <c r="O159" s="4">
        <v>0.186</v>
      </c>
      <c r="P159" s="4">
        <v>0</v>
      </c>
      <c r="Q159" s="3" t="s">
        <v>26</v>
      </c>
      <c r="R159" s="3">
        <v>0</v>
      </c>
      <c r="S159" s="4">
        <v>0</v>
      </c>
      <c r="T159" s="4">
        <v>23</v>
      </c>
      <c r="U159" s="4">
        <v>82</v>
      </c>
      <c r="V159" s="4">
        <f>IF(ISERROR(VLOOKUP($S$159,'TAR FIN'!$A$1:$O$85,15,0)),0,VLOOKUP($S$159,'TAR FIN'!$A$1:$O$85,15,0))</f>
        <v>0</v>
      </c>
      <c r="W159" s="4">
        <f>IF(ISERROR(VLOOKUP($T$159,'TAR FIN'!$A$1:$O$85,15,0)),0,VLOOKUP($T$159,'TAR FIN'!$A$1:$O$85,15,0))</f>
        <v>4048.87</v>
      </c>
      <c r="X159" s="4">
        <f>IF(ISERROR(VLOOKUP($U$159,'TAR FIN'!$A$1:$O$85,15,0)),0,VLOOKUP($U$159,'TAR FIN'!$A$1:$O$85,15,0))</f>
        <v>231.33</v>
      </c>
      <c r="Y159" s="4"/>
      <c r="Z159" s="4">
        <f ca="1">('TUSD BE'!$AM$11+'TUSD BF'!$AM$11+'TUSD CVA'!$AM$11)*1</f>
        <v>4890.261914674632</v>
      </c>
      <c r="AA159" s="4">
        <f>('TE BE'!$AA$5+'TE BF'!$AA$5+'TE CVA'!$AA$5)*1</f>
        <v>260.80314197522284</v>
      </c>
      <c r="AB159" s="4">
        <f>$K$159*$V$159</f>
        <v>0</v>
      </c>
      <c r="AC159" s="4">
        <f>$M$159*$W$159</f>
        <v>753.08981999999992</v>
      </c>
      <c r="AD159" s="4">
        <f>$O$159*$X$159</f>
        <v>43.027380000000001</v>
      </c>
      <c r="AE159" s="4">
        <f>$K$159*$Y$159</f>
        <v>0</v>
      </c>
      <c r="AF159" s="4">
        <f ca="1">$M$159*$Z$159</f>
        <v>909.58871612948155</v>
      </c>
      <c r="AG159" s="4">
        <f>$O$159*$AA$159</f>
        <v>48.509384407391451</v>
      </c>
    </row>
    <row r="160" spans="1:33" ht="11.25" customHeight="1" x14ac:dyDescent="0.25">
      <c r="A160" s="3" t="s">
        <v>21</v>
      </c>
      <c r="B160" s="3" t="s">
        <v>33</v>
      </c>
      <c r="C160" s="3" t="s">
        <v>34</v>
      </c>
      <c r="D160" s="3" t="s">
        <v>24</v>
      </c>
      <c r="E160" s="3" t="s">
        <v>24</v>
      </c>
      <c r="F160" s="3" t="s">
        <v>25</v>
      </c>
      <c r="G160" s="3" t="s">
        <v>25</v>
      </c>
      <c r="H160" s="3" t="s">
        <v>35</v>
      </c>
      <c r="I160" s="6">
        <v>44348</v>
      </c>
      <c r="J160" s="4">
        <v>0</v>
      </c>
      <c r="K160" s="4">
        <v>0</v>
      </c>
      <c r="L160" s="4">
        <v>0.184</v>
      </c>
      <c r="M160" s="4">
        <v>0.184</v>
      </c>
      <c r="N160" s="4">
        <v>0.184</v>
      </c>
      <c r="O160" s="4">
        <v>0.184</v>
      </c>
      <c r="P160" s="4">
        <v>0</v>
      </c>
      <c r="Q160" s="3" t="s">
        <v>26</v>
      </c>
      <c r="R160" s="3">
        <v>0</v>
      </c>
      <c r="S160" s="4">
        <v>0</v>
      </c>
      <c r="T160" s="4">
        <v>23</v>
      </c>
      <c r="U160" s="4">
        <v>82</v>
      </c>
      <c r="V160" s="4">
        <f>IF(ISERROR(VLOOKUP($S$160,'TAR FIN'!$A$1:$O$85,15,0)),0,VLOOKUP($S$160,'TAR FIN'!$A$1:$O$85,15,0))</f>
        <v>0</v>
      </c>
      <c r="W160" s="4">
        <f>IF(ISERROR(VLOOKUP($T$160,'TAR FIN'!$A$1:$O$85,15,0)),0,VLOOKUP($T$160,'TAR FIN'!$A$1:$O$85,15,0))</f>
        <v>4048.87</v>
      </c>
      <c r="X160" s="4">
        <f>IF(ISERROR(VLOOKUP($U$160,'TAR FIN'!$A$1:$O$85,15,0)),0,VLOOKUP($U$160,'TAR FIN'!$A$1:$O$85,15,0))</f>
        <v>231.33</v>
      </c>
      <c r="Y160" s="4"/>
      <c r="Z160" s="4">
        <f ca="1">('TUSD BE'!$AM$11+'TUSD BF'!$AM$11+'TUSD CVA'!$AM$11)*1</f>
        <v>4890.261914674632</v>
      </c>
      <c r="AA160" s="4">
        <f>('TE BE'!$AA$5+'TE BF'!$AA$5+'TE CVA'!$AA$5)*1</f>
        <v>260.80314197522284</v>
      </c>
      <c r="AB160" s="4">
        <f>$K$160*$V$160</f>
        <v>0</v>
      </c>
      <c r="AC160" s="4">
        <f>$M$160*$W$160</f>
        <v>744.99207999999999</v>
      </c>
      <c r="AD160" s="4">
        <f>$O$160*$X$160</f>
        <v>42.564720000000001</v>
      </c>
      <c r="AE160" s="4">
        <f>$K$160*$Y$160</f>
        <v>0</v>
      </c>
      <c r="AF160" s="4">
        <f ca="1">$M$160*$Z$160</f>
        <v>899.8081923001323</v>
      </c>
      <c r="AG160" s="4">
        <f>$O$160*$AA$160</f>
        <v>47.987778123441004</v>
      </c>
    </row>
    <row r="161" spans="1:33" ht="11.25" customHeight="1" x14ac:dyDescent="0.25">
      <c r="A161" s="3" t="s">
        <v>21</v>
      </c>
      <c r="B161" s="3" t="s">
        <v>33</v>
      </c>
      <c r="C161" s="3" t="s">
        <v>34</v>
      </c>
      <c r="D161" s="3" t="s">
        <v>24</v>
      </c>
      <c r="E161" s="3" t="s">
        <v>24</v>
      </c>
      <c r="F161" s="3" t="s">
        <v>25</v>
      </c>
      <c r="G161" s="3" t="s">
        <v>25</v>
      </c>
      <c r="H161" s="3" t="s">
        <v>35</v>
      </c>
      <c r="I161" s="6">
        <v>44378</v>
      </c>
      <c r="J161" s="4">
        <v>0</v>
      </c>
      <c r="K161" s="4">
        <v>0</v>
      </c>
      <c r="L161" s="4">
        <v>0.189</v>
      </c>
      <c r="M161" s="4">
        <v>0.189</v>
      </c>
      <c r="N161" s="4">
        <v>0.189</v>
      </c>
      <c r="O161" s="4">
        <v>0.189</v>
      </c>
      <c r="P161" s="4">
        <v>0</v>
      </c>
      <c r="Q161" s="3" t="s">
        <v>26</v>
      </c>
      <c r="R161" s="3">
        <v>0</v>
      </c>
      <c r="S161" s="4">
        <v>0</v>
      </c>
      <c r="T161" s="4">
        <v>23</v>
      </c>
      <c r="U161" s="4">
        <v>82</v>
      </c>
      <c r="V161" s="4">
        <f>IF(ISERROR(VLOOKUP($S$161,'TAR FIN'!$A$1:$O$85,15,0)),0,VLOOKUP($S$161,'TAR FIN'!$A$1:$O$85,15,0))</f>
        <v>0</v>
      </c>
      <c r="W161" s="4">
        <f>IF(ISERROR(VLOOKUP($T$161,'TAR FIN'!$A$1:$O$85,15,0)),0,VLOOKUP($T$161,'TAR FIN'!$A$1:$O$85,15,0))</f>
        <v>4048.87</v>
      </c>
      <c r="X161" s="4">
        <f>IF(ISERROR(VLOOKUP($U$161,'TAR FIN'!$A$1:$O$85,15,0)),0,VLOOKUP($U$161,'TAR FIN'!$A$1:$O$85,15,0))</f>
        <v>231.33</v>
      </c>
      <c r="Y161" s="4"/>
      <c r="Z161" s="4">
        <f ca="1">('TUSD BE'!$AM$11+'TUSD BF'!$AM$11+'TUSD CVA'!$AM$11)*1</f>
        <v>4890.261914674632</v>
      </c>
      <c r="AA161" s="4">
        <f>('TE BE'!$AA$5+'TE BF'!$AA$5+'TE CVA'!$AA$5)*1</f>
        <v>260.80314197522284</v>
      </c>
      <c r="AB161" s="4">
        <f>$K$161*$V$161</f>
        <v>0</v>
      </c>
      <c r="AC161" s="4">
        <f>$M$161*$W$161</f>
        <v>765.23643000000004</v>
      </c>
      <c r="AD161" s="4">
        <f>$O$161*$X$161</f>
        <v>43.72137</v>
      </c>
      <c r="AE161" s="4">
        <f>$K$161*$Y$161</f>
        <v>0</v>
      </c>
      <c r="AF161" s="4">
        <f ca="1">$M$161*$Z$161</f>
        <v>924.25950187350543</v>
      </c>
      <c r="AG161" s="4">
        <f>$O$161*$AA$161</f>
        <v>49.291793833317115</v>
      </c>
    </row>
    <row r="162" spans="1:33" ht="11.25" customHeight="1" x14ac:dyDescent="0.25">
      <c r="A162" s="3" t="s">
        <v>21</v>
      </c>
      <c r="B162" s="3" t="s">
        <v>33</v>
      </c>
      <c r="C162" s="3" t="s">
        <v>34</v>
      </c>
      <c r="D162" s="3" t="s">
        <v>24</v>
      </c>
      <c r="E162" s="3" t="s">
        <v>24</v>
      </c>
      <c r="F162" s="3" t="s">
        <v>25</v>
      </c>
      <c r="G162" s="3" t="s">
        <v>25</v>
      </c>
      <c r="H162" s="3" t="s">
        <v>35</v>
      </c>
      <c r="I162" s="6">
        <v>44409</v>
      </c>
      <c r="J162" s="4">
        <v>0</v>
      </c>
      <c r="K162" s="4">
        <v>0</v>
      </c>
      <c r="L162" s="4">
        <v>0.17299999999999999</v>
      </c>
      <c r="M162" s="4">
        <v>0.17299999999999999</v>
      </c>
      <c r="N162" s="4">
        <v>0.17299999999999999</v>
      </c>
      <c r="O162" s="4">
        <v>0.17299999999999999</v>
      </c>
      <c r="P162" s="4">
        <v>0</v>
      </c>
      <c r="Q162" s="3" t="s">
        <v>26</v>
      </c>
      <c r="R162" s="3">
        <v>0</v>
      </c>
      <c r="S162" s="4">
        <v>0</v>
      </c>
      <c r="T162" s="4">
        <v>23</v>
      </c>
      <c r="U162" s="4">
        <v>82</v>
      </c>
      <c r="V162" s="4">
        <f>IF(ISERROR(VLOOKUP($S$162,'TAR FIN'!$A$1:$O$85,15,0)),0,VLOOKUP($S$162,'TAR FIN'!$A$1:$O$85,15,0))</f>
        <v>0</v>
      </c>
      <c r="W162" s="4">
        <f>IF(ISERROR(VLOOKUP($T$162,'TAR FIN'!$A$1:$O$85,15,0)),0,VLOOKUP($T$162,'TAR FIN'!$A$1:$O$85,15,0))</f>
        <v>4048.87</v>
      </c>
      <c r="X162" s="4">
        <f>IF(ISERROR(VLOOKUP($U$162,'TAR FIN'!$A$1:$O$85,15,0)),0,VLOOKUP($U$162,'TAR FIN'!$A$1:$O$85,15,0))</f>
        <v>231.33</v>
      </c>
      <c r="Y162" s="4"/>
      <c r="Z162" s="4">
        <f ca="1">('TUSD BE'!$AM$11+'TUSD BF'!$AM$11+'TUSD CVA'!$AM$11)*1</f>
        <v>4890.261914674632</v>
      </c>
      <c r="AA162" s="4">
        <f>('TE BE'!$AA$5+'TE BF'!$AA$5+'TE CVA'!$AA$5)*1</f>
        <v>260.80314197522284</v>
      </c>
      <c r="AB162" s="4">
        <f>$K$162*$V$162</f>
        <v>0</v>
      </c>
      <c r="AC162" s="4">
        <f>$M$162*$W$162</f>
        <v>700.45450999999991</v>
      </c>
      <c r="AD162" s="4">
        <f>$O$162*$X$162</f>
        <v>40.020089999999996</v>
      </c>
      <c r="AE162" s="4">
        <f>$K$162*$Y$162</f>
        <v>0</v>
      </c>
      <c r="AF162" s="4">
        <f ca="1">$M$162*$Z$162</f>
        <v>846.01531123871132</v>
      </c>
      <c r="AG162" s="4">
        <f>$O$162*$AA$162</f>
        <v>45.11894356171355</v>
      </c>
    </row>
    <row r="163" spans="1:33" ht="11.25" customHeight="1" x14ac:dyDescent="0.25">
      <c r="A163" s="3" t="s">
        <v>21</v>
      </c>
      <c r="B163" s="3" t="s">
        <v>33</v>
      </c>
      <c r="C163" s="3" t="s">
        <v>34</v>
      </c>
      <c r="D163" s="3" t="s">
        <v>24</v>
      </c>
      <c r="E163" s="3" t="s">
        <v>24</v>
      </c>
      <c r="F163" s="3" t="s">
        <v>25</v>
      </c>
      <c r="G163" s="3" t="s">
        <v>25</v>
      </c>
      <c r="H163" s="3" t="s">
        <v>35</v>
      </c>
      <c r="I163" s="6">
        <v>44440</v>
      </c>
      <c r="J163" s="4">
        <v>0</v>
      </c>
      <c r="K163" s="4">
        <v>0</v>
      </c>
      <c r="L163" s="4">
        <v>0.436</v>
      </c>
      <c r="M163" s="4">
        <v>0.436</v>
      </c>
      <c r="N163" s="4">
        <v>0.436</v>
      </c>
      <c r="O163" s="4">
        <v>0.436</v>
      </c>
      <c r="P163" s="4">
        <v>0</v>
      </c>
      <c r="Q163" s="3" t="s">
        <v>26</v>
      </c>
      <c r="R163" s="3">
        <v>0</v>
      </c>
      <c r="S163" s="4">
        <v>0</v>
      </c>
      <c r="T163" s="4">
        <v>23</v>
      </c>
      <c r="U163" s="4">
        <v>82</v>
      </c>
      <c r="V163" s="4">
        <f>IF(ISERROR(VLOOKUP($S$163,'TAR FIN'!$A$1:$O$85,15,0)),0,VLOOKUP($S$163,'TAR FIN'!$A$1:$O$85,15,0))</f>
        <v>0</v>
      </c>
      <c r="W163" s="4">
        <f>IF(ISERROR(VLOOKUP($T$163,'TAR FIN'!$A$1:$O$85,15,0)),0,VLOOKUP($T$163,'TAR FIN'!$A$1:$O$85,15,0))</f>
        <v>4048.87</v>
      </c>
      <c r="X163" s="4">
        <f>IF(ISERROR(VLOOKUP($U$163,'TAR FIN'!$A$1:$O$85,15,0)),0,VLOOKUP($U$163,'TAR FIN'!$A$1:$O$85,15,0))</f>
        <v>231.33</v>
      </c>
      <c r="Y163" s="4"/>
      <c r="Z163" s="4">
        <f ca="1">('TUSD BE'!$AM$11+'TUSD BF'!$AM$11+'TUSD CVA'!$AM$11)*1</f>
        <v>4890.261914674632</v>
      </c>
      <c r="AA163" s="4">
        <f>('TE BE'!$AA$5+'TE BF'!$AA$5+'TE CVA'!$AA$5)*1</f>
        <v>260.80314197522284</v>
      </c>
      <c r="AB163" s="4">
        <f>$K$163*$V$163</f>
        <v>0</v>
      </c>
      <c r="AC163" s="4">
        <f>$M$163*$W$163</f>
        <v>1765.3073199999999</v>
      </c>
      <c r="AD163" s="4">
        <f>$O$163*$X$163</f>
        <v>100.85988</v>
      </c>
      <c r="AE163" s="4">
        <f>$K$163*$Y$163</f>
        <v>0</v>
      </c>
      <c r="AF163" s="4">
        <f ca="1">$M$163*$Z$163</f>
        <v>2132.1541947981395</v>
      </c>
      <c r="AG163" s="4">
        <f>$O$163*$AA$163</f>
        <v>113.71016990119716</v>
      </c>
    </row>
    <row r="164" spans="1:33" ht="11.25" customHeight="1" x14ac:dyDescent="0.25">
      <c r="A164" s="3" t="s">
        <v>21</v>
      </c>
      <c r="B164" s="3" t="s">
        <v>33</v>
      </c>
      <c r="C164" s="3" t="s">
        <v>34</v>
      </c>
      <c r="D164" s="3" t="s">
        <v>24</v>
      </c>
      <c r="E164" s="3" t="s">
        <v>24</v>
      </c>
      <c r="F164" s="3" t="s">
        <v>25</v>
      </c>
      <c r="G164" s="3" t="s">
        <v>25</v>
      </c>
      <c r="H164" s="3" t="s">
        <v>35</v>
      </c>
      <c r="I164" s="6">
        <v>44470</v>
      </c>
      <c r="J164" s="4">
        <v>0</v>
      </c>
      <c r="K164" s="4">
        <v>0</v>
      </c>
      <c r="L164" s="4">
        <v>0.40400000000000003</v>
      </c>
      <c r="M164" s="4">
        <v>0.40400000000000003</v>
      </c>
      <c r="N164" s="4">
        <v>0.40400000000000003</v>
      </c>
      <c r="O164" s="4">
        <v>0.40400000000000003</v>
      </c>
      <c r="P164" s="4">
        <v>0</v>
      </c>
      <c r="Q164" s="3" t="s">
        <v>26</v>
      </c>
      <c r="R164" s="3">
        <v>0</v>
      </c>
      <c r="S164" s="4">
        <v>0</v>
      </c>
      <c r="T164" s="4">
        <v>23</v>
      </c>
      <c r="U164" s="4">
        <v>82</v>
      </c>
      <c r="V164" s="4">
        <f>IF(ISERROR(VLOOKUP($S$164,'TAR FIN'!$A$1:$O$85,15,0)),0,VLOOKUP($S$164,'TAR FIN'!$A$1:$O$85,15,0))</f>
        <v>0</v>
      </c>
      <c r="W164" s="4">
        <f>IF(ISERROR(VLOOKUP($T$164,'TAR FIN'!$A$1:$O$85,15,0)),0,VLOOKUP($T$164,'TAR FIN'!$A$1:$O$85,15,0))</f>
        <v>4048.87</v>
      </c>
      <c r="X164" s="4">
        <f>IF(ISERROR(VLOOKUP($U$164,'TAR FIN'!$A$1:$O$85,15,0)),0,VLOOKUP($U$164,'TAR FIN'!$A$1:$O$85,15,0))</f>
        <v>231.33</v>
      </c>
      <c r="Y164" s="4"/>
      <c r="Z164" s="4">
        <f ca="1">('TUSD BE'!$AM$11+'TUSD BF'!$AM$11+'TUSD CVA'!$AM$11)*1</f>
        <v>4890.261914674632</v>
      </c>
      <c r="AA164" s="4">
        <f>('TE BE'!$AA$5+'TE BF'!$AA$5+'TE CVA'!$AA$5)*1</f>
        <v>260.80314197522284</v>
      </c>
      <c r="AB164" s="4">
        <f>$K$164*$V$164</f>
        <v>0</v>
      </c>
      <c r="AC164" s="4">
        <f>$M$164*$W$164</f>
        <v>1635.7434800000001</v>
      </c>
      <c r="AD164" s="4">
        <f>$O$164*$X$164</f>
        <v>93.45732000000001</v>
      </c>
      <c r="AE164" s="4">
        <f>$K$164*$Y$164</f>
        <v>0</v>
      </c>
      <c r="AF164" s="4">
        <f ca="1">$M$164*$Z$164</f>
        <v>1975.6658135285513</v>
      </c>
      <c r="AG164" s="4">
        <f>$O$164*$AA$164</f>
        <v>105.36446935799003</v>
      </c>
    </row>
    <row r="165" spans="1:33" ht="11.25" customHeight="1" x14ac:dyDescent="0.25">
      <c r="A165" s="3" t="s">
        <v>21</v>
      </c>
      <c r="B165" s="3" t="s">
        <v>33</v>
      </c>
      <c r="C165" s="3" t="s">
        <v>34</v>
      </c>
      <c r="D165" s="3" t="s">
        <v>24</v>
      </c>
      <c r="E165" s="3" t="s">
        <v>24</v>
      </c>
      <c r="F165" s="3" t="s">
        <v>25</v>
      </c>
      <c r="G165" s="3" t="s">
        <v>25</v>
      </c>
      <c r="H165" s="3" t="s">
        <v>35</v>
      </c>
      <c r="I165" s="6">
        <v>44501</v>
      </c>
      <c r="J165" s="4">
        <v>0</v>
      </c>
      <c r="K165" s="4">
        <v>0</v>
      </c>
      <c r="L165" s="4">
        <v>0.372</v>
      </c>
      <c r="M165" s="4">
        <v>0.372</v>
      </c>
      <c r="N165" s="4">
        <v>0.372</v>
      </c>
      <c r="O165" s="4">
        <v>0.372</v>
      </c>
      <c r="P165" s="4">
        <v>0</v>
      </c>
      <c r="Q165" s="3" t="s">
        <v>26</v>
      </c>
      <c r="R165" s="3">
        <v>0</v>
      </c>
      <c r="S165" s="4">
        <v>0</v>
      </c>
      <c r="T165" s="4">
        <v>23</v>
      </c>
      <c r="U165" s="4">
        <v>82</v>
      </c>
      <c r="V165" s="4">
        <f>IF(ISERROR(VLOOKUP($S$165,'TAR FIN'!$A$1:$O$85,15,0)),0,VLOOKUP($S$165,'TAR FIN'!$A$1:$O$85,15,0))</f>
        <v>0</v>
      </c>
      <c r="W165" s="4">
        <f>IF(ISERROR(VLOOKUP($T$165,'TAR FIN'!$A$1:$O$85,15,0)),0,VLOOKUP($T$165,'TAR FIN'!$A$1:$O$85,15,0))</f>
        <v>4048.87</v>
      </c>
      <c r="X165" s="4">
        <f>IF(ISERROR(VLOOKUP($U$165,'TAR FIN'!$A$1:$O$85,15,0)),0,VLOOKUP($U$165,'TAR FIN'!$A$1:$O$85,15,0))</f>
        <v>231.33</v>
      </c>
      <c r="Y165" s="4"/>
      <c r="Z165" s="4">
        <f ca="1">('TUSD BE'!$AM$11+'TUSD BF'!$AM$11+'TUSD CVA'!$AM$11)*1</f>
        <v>4890.261914674632</v>
      </c>
      <c r="AA165" s="4">
        <f>('TE BE'!$AA$5+'TE BF'!$AA$5+'TE CVA'!$AA$5)*1</f>
        <v>260.80314197522284</v>
      </c>
      <c r="AB165" s="4">
        <f>$K$165*$V$165</f>
        <v>0</v>
      </c>
      <c r="AC165" s="4">
        <f>$M$165*$W$165</f>
        <v>1506.1796399999998</v>
      </c>
      <c r="AD165" s="4">
        <f>$O$165*$X$165</f>
        <v>86.054760000000002</v>
      </c>
      <c r="AE165" s="4">
        <f>$K$165*$Y$165</f>
        <v>0</v>
      </c>
      <c r="AF165" s="4">
        <f ca="1">$M$165*$Z$165</f>
        <v>1819.1774322589631</v>
      </c>
      <c r="AG165" s="4">
        <f>$O$165*$AA$165</f>
        <v>97.018768814782902</v>
      </c>
    </row>
    <row r="166" spans="1:33" ht="11.25" customHeight="1" x14ac:dyDescent="0.25">
      <c r="A166" s="3" t="s">
        <v>21</v>
      </c>
      <c r="B166" s="3" t="s">
        <v>33</v>
      </c>
      <c r="C166" s="3" t="s">
        <v>34</v>
      </c>
      <c r="D166" s="3" t="s">
        <v>24</v>
      </c>
      <c r="E166" s="3" t="s">
        <v>24</v>
      </c>
      <c r="F166" s="3" t="s">
        <v>25</v>
      </c>
      <c r="G166" s="3" t="s">
        <v>25</v>
      </c>
      <c r="H166" s="3" t="s">
        <v>35</v>
      </c>
      <c r="I166" s="6">
        <v>44531</v>
      </c>
      <c r="J166" s="4">
        <v>0</v>
      </c>
      <c r="K166" s="4">
        <v>0</v>
      </c>
      <c r="L166" s="4">
        <v>0.47</v>
      </c>
      <c r="M166" s="4">
        <v>0.47</v>
      </c>
      <c r="N166" s="4">
        <v>0.47</v>
      </c>
      <c r="O166" s="4">
        <v>0.47</v>
      </c>
      <c r="P166" s="4">
        <v>0</v>
      </c>
      <c r="Q166" s="3" t="s">
        <v>26</v>
      </c>
      <c r="R166" s="3">
        <v>0</v>
      </c>
      <c r="S166" s="4">
        <v>0</v>
      </c>
      <c r="T166" s="4">
        <v>23</v>
      </c>
      <c r="U166" s="4">
        <v>82</v>
      </c>
      <c r="V166" s="4">
        <f>IF(ISERROR(VLOOKUP($S$166,'TAR FIN'!$A$1:$O$85,15,0)),0,VLOOKUP($S$166,'TAR FIN'!$A$1:$O$85,15,0))</f>
        <v>0</v>
      </c>
      <c r="W166" s="4">
        <f>IF(ISERROR(VLOOKUP($T$166,'TAR FIN'!$A$1:$O$85,15,0)),0,VLOOKUP($T$166,'TAR FIN'!$A$1:$O$85,15,0))</f>
        <v>4048.87</v>
      </c>
      <c r="X166" s="4">
        <f>IF(ISERROR(VLOOKUP($U$166,'TAR FIN'!$A$1:$O$85,15,0)),0,VLOOKUP($U$166,'TAR FIN'!$A$1:$O$85,15,0))</f>
        <v>231.33</v>
      </c>
      <c r="Y166" s="4"/>
      <c r="Z166" s="4">
        <f ca="1">('TUSD BE'!$AM$11+'TUSD BF'!$AM$11+'TUSD CVA'!$AM$11)*1</f>
        <v>4890.261914674632</v>
      </c>
      <c r="AA166" s="4">
        <f>('TE BE'!$AA$5+'TE BF'!$AA$5+'TE CVA'!$AA$5)*1</f>
        <v>260.80314197522284</v>
      </c>
      <c r="AB166" s="4">
        <f>$K$166*$V$166</f>
        <v>0</v>
      </c>
      <c r="AC166" s="4">
        <f>$M$166*$W$166</f>
        <v>1902.9688999999998</v>
      </c>
      <c r="AD166" s="4">
        <f>$O$166*$X$166</f>
        <v>108.7251</v>
      </c>
      <c r="AE166" s="4">
        <f>$K$166*$Y$166</f>
        <v>0</v>
      </c>
      <c r="AF166" s="4">
        <f ca="1">$M$166*$Z$166</f>
        <v>2298.423099897077</v>
      </c>
      <c r="AG166" s="4">
        <f>$O$166*$AA$166</f>
        <v>122.57747672835472</v>
      </c>
    </row>
    <row r="167" spans="1:33" ht="11.25" customHeight="1" x14ac:dyDescent="0.25">
      <c r="A167" s="3" t="s">
        <v>21</v>
      </c>
      <c r="B167" s="3" t="s">
        <v>33</v>
      </c>
      <c r="C167" s="3" t="s">
        <v>34</v>
      </c>
      <c r="D167" s="3" t="s">
        <v>24</v>
      </c>
      <c r="E167" s="3" t="s">
        <v>24</v>
      </c>
      <c r="F167" s="3" t="s">
        <v>25</v>
      </c>
      <c r="G167" s="3" t="s">
        <v>25</v>
      </c>
      <c r="H167" s="3" t="s">
        <v>35</v>
      </c>
      <c r="I167" s="6">
        <v>44562</v>
      </c>
      <c r="J167" s="4">
        <v>0</v>
      </c>
      <c r="K167" s="4">
        <v>0</v>
      </c>
      <c r="L167" s="4">
        <v>0.34399999999999997</v>
      </c>
      <c r="M167" s="4">
        <v>0.34399999999999997</v>
      </c>
      <c r="N167" s="4">
        <v>0.34399999999999997</v>
      </c>
      <c r="O167" s="4">
        <v>0.34399999999999997</v>
      </c>
      <c r="P167" s="4">
        <v>0</v>
      </c>
      <c r="Q167" s="3" t="s">
        <v>26</v>
      </c>
      <c r="R167" s="3">
        <v>0</v>
      </c>
      <c r="S167" s="4">
        <v>0</v>
      </c>
      <c r="T167" s="4">
        <v>23</v>
      </c>
      <c r="U167" s="4">
        <v>82</v>
      </c>
      <c r="V167" s="4">
        <f>IF(ISERROR(VLOOKUP($S$167,'TAR FIN'!$A$1:$O$85,15,0)),0,VLOOKUP($S$167,'TAR FIN'!$A$1:$O$85,15,0))</f>
        <v>0</v>
      </c>
      <c r="W167" s="4">
        <f>IF(ISERROR(VLOOKUP($T$167,'TAR FIN'!$A$1:$O$85,15,0)),0,VLOOKUP($T$167,'TAR FIN'!$A$1:$O$85,15,0))</f>
        <v>4048.87</v>
      </c>
      <c r="X167" s="4">
        <f>IF(ISERROR(VLOOKUP($U$167,'TAR FIN'!$A$1:$O$85,15,0)),0,VLOOKUP($U$167,'TAR FIN'!$A$1:$O$85,15,0))</f>
        <v>231.33</v>
      </c>
      <c r="Y167" s="4"/>
      <c r="Z167" s="4">
        <f ca="1">('TUSD BE'!$AM$11+'TUSD BF'!$AM$11+'TUSD CVA'!$AM$11)*1</f>
        <v>4890.261914674632</v>
      </c>
      <c r="AA167" s="4">
        <f>('TE BE'!$AA$5+'TE BF'!$AA$5+'TE CVA'!$AA$5)*1</f>
        <v>260.80314197522284</v>
      </c>
      <c r="AB167" s="4">
        <f>$K$167*$V$167</f>
        <v>0</v>
      </c>
      <c r="AC167" s="4">
        <f>$M$167*$W$167</f>
        <v>1392.8112799999999</v>
      </c>
      <c r="AD167" s="4">
        <f>$O$167*$X$167</f>
        <v>79.577519999999993</v>
      </c>
      <c r="AE167" s="4">
        <f>$K$167*$Y$167</f>
        <v>0</v>
      </c>
      <c r="AF167" s="4">
        <f ca="1">$M$167*$Z$167</f>
        <v>1682.2500986480732</v>
      </c>
      <c r="AG167" s="4">
        <f>$O$167*$AA$167</f>
        <v>89.716280839476653</v>
      </c>
    </row>
    <row r="168" spans="1:33" ht="11.25" customHeight="1" x14ac:dyDescent="0.25">
      <c r="A168" s="3" t="s">
        <v>21</v>
      </c>
      <c r="B168" s="3" t="s">
        <v>33</v>
      </c>
      <c r="C168" s="3" t="s">
        <v>34</v>
      </c>
      <c r="D168" s="3" t="s">
        <v>24</v>
      </c>
      <c r="E168" s="3" t="s">
        <v>24</v>
      </c>
      <c r="F168" s="3" t="s">
        <v>25</v>
      </c>
      <c r="G168" s="3" t="s">
        <v>25</v>
      </c>
      <c r="H168" s="3" t="s">
        <v>35</v>
      </c>
      <c r="I168" s="6">
        <v>44593</v>
      </c>
      <c r="J168" s="4">
        <v>0</v>
      </c>
      <c r="K168" s="4">
        <v>0</v>
      </c>
      <c r="L168" s="4">
        <v>0.40500000000000003</v>
      </c>
      <c r="M168" s="4">
        <v>0.40500000000000003</v>
      </c>
      <c r="N168" s="4">
        <v>0.40500000000000003</v>
      </c>
      <c r="O168" s="4">
        <v>0.40500000000000003</v>
      </c>
      <c r="P168" s="4">
        <v>0</v>
      </c>
      <c r="Q168" s="3" t="s">
        <v>26</v>
      </c>
      <c r="R168" s="3">
        <v>0</v>
      </c>
      <c r="S168" s="4">
        <v>0</v>
      </c>
      <c r="T168" s="4">
        <v>23</v>
      </c>
      <c r="U168" s="4">
        <v>82</v>
      </c>
      <c r="V168" s="4">
        <f>IF(ISERROR(VLOOKUP($S$168,'TAR FIN'!$A$1:$O$85,15,0)),0,VLOOKUP($S$168,'TAR FIN'!$A$1:$O$85,15,0))</f>
        <v>0</v>
      </c>
      <c r="W168" s="4">
        <f>IF(ISERROR(VLOOKUP($T$168,'TAR FIN'!$A$1:$O$85,15,0)),0,VLOOKUP($T$168,'TAR FIN'!$A$1:$O$85,15,0))</f>
        <v>4048.87</v>
      </c>
      <c r="X168" s="4">
        <f>IF(ISERROR(VLOOKUP($U$168,'TAR FIN'!$A$1:$O$85,15,0)),0,VLOOKUP($U$168,'TAR FIN'!$A$1:$O$85,15,0))</f>
        <v>231.33</v>
      </c>
      <c r="Y168" s="4"/>
      <c r="Z168" s="4">
        <f ca="1">('TUSD BE'!$AM$11+'TUSD BF'!$AM$11+'TUSD CVA'!$AM$11)*1</f>
        <v>4890.261914674632</v>
      </c>
      <c r="AA168" s="4">
        <f>('TE BE'!$AA$5+'TE BF'!$AA$5+'TE CVA'!$AA$5)*1</f>
        <v>260.80314197522284</v>
      </c>
      <c r="AB168" s="4">
        <f>$K$168*$V$168</f>
        <v>0</v>
      </c>
      <c r="AC168" s="4">
        <f>$M$168*$W$168</f>
        <v>1639.7923500000002</v>
      </c>
      <c r="AD168" s="4">
        <f>$O$168*$X$168</f>
        <v>93.68865000000001</v>
      </c>
      <c r="AE168" s="4">
        <f>$K$168*$Y$168</f>
        <v>0</v>
      </c>
      <c r="AF168" s="4">
        <f ca="1">$M$168*$Z$168</f>
        <v>1980.5560754432261</v>
      </c>
      <c r="AG168" s="4">
        <f>$O$168*$AA$168</f>
        <v>105.62527249996526</v>
      </c>
    </row>
    <row r="169" spans="1:33" ht="11.25" customHeight="1" x14ac:dyDescent="0.25">
      <c r="A169" s="3" t="s">
        <v>21</v>
      </c>
      <c r="B169" s="3" t="s">
        <v>33</v>
      </c>
      <c r="C169" s="3" t="s">
        <v>34</v>
      </c>
      <c r="D169" s="3" t="s">
        <v>24</v>
      </c>
      <c r="E169" s="3" t="s">
        <v>24</v>
      </c>
      <c r="F169" s="3" t="s">
        <v>25</v>
      </c>
      <c r="G169" s="3" t="s">
        <v>25</v>
      </c>
      <c r="H169" s="3" t="s">
        <v>35</v>
      </c>
      <c r="I169" s="6">
        <v>44621</v>
      </c>
      <c r="J169" s="4">
        <v>0</v>
      </c>
      <c r="K169" s="4">
        <v>0</v>
      </c>
      <c r="L169" s="4">
        <v>0.41599999999999998</v>
      </c>
      <c r="M169" s="4">
        <v>0.41599999999999998</v>
      </c>
      <c r="N169" s="4">
        <v>0.41599999999999998</v>
      </c>
      <c r="O169" s="4">
        <v>0.41599999999999998</v>
      </c>
      <c r="P169" s="4">
        <v>0</v>
      </c>
      <c r="Q169" s="3" t="s">
        <v>26</v>
      </c>
      <c r="R169" s="3">
        <v>0</v>
      </c>
      <c r="S169" s="4">
        <v>0</v>
      </c>
      <c r="T169" s="4">
        <v>23</v>
      </c>
      <c r="U169" s="4">
        <v>82</v>
      </c>
      <c r="V169" s="4">
        <f>IF(ISERROR(VLOOKUP($S$169,'TAR FIN'!$A$1:$O$85,15,0)),0,VLOOKUP($S$169,'TAR FIN'!$A$1:$O$85,15,0))</f>
        <v>0</v>
      </c>
      <c r="W169" s="4">
        <f>IF(ISERROR(VLOOKUP($T$169,'TAR FIN'!$A$1:$O$85,15,0)),0,VLOOKUP($T$169,'TAR FIN'!$A$1:$O$85,15,0))</f>
        <v>4048.87</v>
      </c>
      <c r="X169" s="4">
        <f>IF(ISERROR(VLOOKUP($U$169,'TAR FIN'!$A$1:$O$85,15,0)),0,VLOOKUP($U$169,'TAR FIN'!$A$1:$O$85,15,0))</f>
        <v>231.33</v>
      </c>
      <c r="Y169" s="4"/>
      <c r="Z169" s="4">
        <f ca="1">('TUSD BE'!$AM$11+'TUSD BF'!$AM$11+'TUSD CVA'!$AM$11)*1</f>
        <v>4890.261914674632</v>
      </c>
      <c r="AA169" s="4">
        <f>('TE BE'!$AA$5+'TE BF'!$AA$5+'TE CVA'!$AA$5)*1</f>
        <v>260.80314197522284</v>
      </c>
      <c r="AB169" s="4">
        <f>$K$169*$V$169</f>
        <v>0</v>
      </c>
      <c r="AC169" s="4">
        <f>$M$169*$W$169</f>
        <v>1684.3299199999999</v>
      </c>
      <c r="AD169" s="4">
        <f>$O$169*$X$169</f>
        <v>96.233280000000008</v>
      </c>
      <c r="AE169" s="4">
        <f>$K$169*$Y$169</f>
        <v>0</v>
      </c>
      <c r="AF169" s="4">
        <f ca="1">$M$169*$Z$169</f>
        <v>2034.3489565046468</v>
      </c>
      <c r="AG169" s="4">
        <f>$O$169*$AA$169</f>
        <v>108.4941070616927</v>
      </c>
    </row>
    <row r="170" spans="1:33" ht="11.25" customHeight="1" x14ac:dyDescent="0.25">
      <c r="A170" s="3" t="s">
        <v>21</v>
      </c>
      <c r="B170" s="3" t="s">
        <v>22</v>
      </c>
      <c r="C170" s="3" t="s">
        <v>37</v>
      </c>
      <c r="D170" s="3" t="s">
        <v>24</v>
      </c>
      <c r="E170" s="3" t="s">
        <v>24</v>
      </c>
      <c r="F170" s="3" t="s">
        <v>25</v>
      </c>
      <c r="G170" s="3" t="s">
        <v>25</v>
      </c>
      <c r="H170" s="3" t="s">
        <v>36</v>
      </c>
      <c r="I170" s="6">
        <v>44287</v>
      </c>
      <c r="J170" s="4">
        <v>0</v>
      </c>
      <c r="K170" s="4">
        <v>0</v>
      </c>
      <c r="L170" s="4">
        <v>1.744</v>
      </c>
      <c r="M170" s="4">
        <v>1.744</v>
      </c>
      <c r="N170" s="4">
        <v>1.744</v>
      </c>
      <c r="O170" s="4">
        <v>1.744</v>
      </c>
      <c r="P170" s="4">
        <v>0</v>
      </c>
      <c r="Q170" s="3" t="s">
        <v>26</v>
      </c>
      <c r="R170" s="3">
        <v>0</v>
      </c>
      <c r="S170" s="4">
        <v>0</v>
      </c>
      <c r="T170" s="4">
        <v>35</v>
      </c>
      <c r="U170" s="4">
        <v>44</v>
      </c>
      <c r="V170" s="4">
        <f>IF(ISERROR(VLOOKUP($S$170,'TAR FIN'!$A$1:$O$85,15,0)),0,VLOOKUP($S$170,'TAR FIN'!$A$1:$O$85,15,0))</f>
        <v>0</v>
      </c>
      <c r="W170" s="4">
        <f>IF(ISERROR(VLOOKUP($T$170,'TAR FIN'!$A$1:$O$85,15,0)),0,VLOOKUP($T$170,'TAR FIN'!$A$1:$O$85,15,0))</f>
        <v>492.05</v>
      </c>
      <c r="X170" s="4">
        <f>IF(ISERROR(VLOOKUP($U$170,'TAR FIN'!$A$1:$O$85,15,0)),0,VLOOKUP($U$170,'TAR FIN'!$A$1:$O$85,15,0))</f>
        <v>231.33</v>
      </c>
      <c r="Y170" s="4"/>
      <c r="Z170" s="4">
        <f ca="1">('TUSD BE'!$AM$19+'TUSD BF'!$AM$19+'TUSD CVA'!$AM$19)*1</f>
        <v>608.47258431441708</v>
      </c>
      <c r="AA170" s="4">
        <f>('TE BE'!$AA$10+'TE BF'!$AA$10+'TE CVA'!$AA$10)*1</f>
        <v>260.80314197522284</v>
      </c>
      <c r="AB170" s="4">
        <f>$K$170*$V$170</f>
        <v>0</v>
      </c>
      <c r="AC170" s="4">
        <f>$M$170*$W$170</f>
        <v>858.13520000000005</v>
      </c>
      <c r="AD170" s="4">
        <f>$O$170*$X$170</f>
        <v>403.43952000000002</v>
      </c>
      <c r="AE170" s="4">
        <f>$K$170*$Y$170</f>
        <v>0</v>
      </c>
      <c r="AF170" s="4">
        <f ca="1">$M$170*$Z$170</f>
        <v>1061.1761870443434</v>
      </c>
      <c r="AG170" s="4">
        <f>$O$170*$AA$170</f>
        <v>454.84067960478865</v>
      </c>
    </row>
    <row r="171" spans="1:33" ht="11.25" customHeight="1" x14ac:dyDescent="0.25">
      <c r="A171" s="3" t="s">
        <v>21</v>
      </c>
      <c r="B171" s="3" t="s">
        <v>22</v>
      </c>
      <c r="C171" s="3" t="s">
        <v>37</v>
      </c>
      <c r="D171" s="3" t="s">
        <v>24</v>
      </c>
      <c r="E171" s="3" t="s">
        <v>24</v>
      </c>
      <c r="F171" s="3" t="s">
        <v>25</v>
      </c>
      <c r="G171" s="3" t="s">
        <v>25</v>
      </c>
      <c r="H171" s="3" t="s">
        <v>36</v>
      </c>
      <c r="I171" s="6">
        <v>44317</v>
      </c>
      <c r="J171" s="4">
        <v>0</v>
      </c>
      <c r="K171" s="4">
        <v>0</v>
      </c>
      <c r="L171" s="4">
        <v>1.3580000000000001</v>
      </c>
      <c r="M171" s="4">
        <v>1.3580000000000001</v>
      </c>
      <c r="N171" s="4">
        <v>1.3580000000000001</v>
      </c>
      <c r="O171" s="4">
        <v>1.3580000000000001</v>
      </c>
      <c r="P171" s="4">
        <v>0</v>
      </c>
      <c r="Q171" s="3" t="s">
        <v>26</v>
      </c>
      <c r="R171" s="3">
        <v>0</v>
      </c>
      <c r="S171" s="4">
        <v>0</v>
      </c>
      <c r="T171" s="4">
        <v>35</v>
      </c>
      <c r="U171" s="4">
        <v>44</v>
      </c>
      <c r="V171" s="4">
        <f>IF(ISERROR(VLOOKUP($S$171,'TAR FIN'!$A$1:$O$85,15,0)),0,VLOOKUP($S$171,'TAR FIN'!$A$1:$O$85,15,0))</f>
        <v>0</v>
      </c>
      <c r="W171" s="4">
        <f>IF(ISERROR(VLOOKUP($T$171,'TAR FIN'!$A$1:$O$85,15,0)),0,VLOOKUP($T$171,'TAR FIN'!$A$1:$O$85,15,0))</f>
        <v>492.05</v>
      </c>
      <c r="X171" s="4">
        <f>IF(ISERROR(VLOOKUP($U$171,'TAR FIN'!$A$1:$O$85,15,0)),0,VLOOKUP($U$171,'TAR FIN'!$A$1:$O$85,15,0))</f>
        <v>231.33</v>
      </c>
      <c r="Y171" s="4"/>
      <c r="Z171" s="4">
        <f ca="1">('TUSD BE'!$AM$19+'TUSD BF'!$AM$19+'TUSD CVA'!$AM$19)*1</f>
        <v>608.47258431441708</v>
      </c>
      <c r="AA171" s="4">
        <f>('TE BE'!$AA$10+'TE BF'!$AA$10+'TE CVA'!$AA$10)*1</f>
        <v>260.80314197522284</v>
      </c>
      <c r="AB171" s="4">
        <f>$K$171*$V$171</f>
        <v>0</v>
      </c>
      <c r="AC171" s="4">
        <f>$M$171*$W$171</f>
        <v>668.20390000000009</v>
      </c>
      <c r="AD171" s="4">
        <f>$O$171*$X$171</f>
        <v>314.14614000000006</v>
      </c>
      <c r="AE171" s="4">
        <f>$K$171*$Y$171</f>
        <v>0</v>
      </c>
      <c r="AF171" s="4">
        <f ca="1">$M$171*$Z$171</f>
        <v>826.30576949897841</v>
      </c>
      <c r="AG171" s="4">
        <f>$O$171*$AA$171</f>
        <v>354.17066680235263</v>
      </c>
    </row>
    <row r="172" spans="1:33" ht="11.25" customHeight="1" x14ac:dyDescent="0.25">
      <c r="A172" s="3" t="s">
        <v>21</v>
      </c>
      <c r="B172" s="3" t="s">
        <v>22</v>
      </c>
      <c r="C172" s="3" t="s">
        <v>37</v>
      </c>
      <c r="D172" s="3" t="s">
        <v>24</v>
      </c>
      <c r="E172" s="3" t="s">
        <v>24</v>
      </c>
      <c r="F172" s="3" t="s">
        <v>25</v>
      </c>
      <c r="G172" s="3" t="s">
        <v>25</v>
      </c>
      <c r="H172" s="3" t="s">
        <v>36</v>
      </c>
      <c r="I172" s="6">
        <v>44348</v>
      </c>
      <c r="J172" s="4">
        <v>0</v>
      </c>
      <c r="K172" s="4">
        <v>0</v>
      </c>
      <c r="L172" s="4">
        <v>1.4119999999999999</v>
      </c>
      <c r="M172" s="4">
        <v>1.4119999999999999</v>
      </c>
      <c r="N172" s="4">
        <v>1.4119999999999999</v>
      </c>
      <c r="O172" s="4">
        <v>1.4119999999999999</v>
      </c>
      <c r="P172" s="4">
        <v>0</v>
      </c>
      <c r="Q172" s="3" t="s">
        <v>26</v>
      </c>
      <c r="R172" s="3">
        <v>0</v>
      </c>
      <c r="S172" s="4">
        <v>0</v>
      </c>
      <c r="T172" s="4">
        <v>35</v>
      </c>
      <c r="U172" s="4">
        <v>44</v>
      </c>
      <c r="V172" s="4">
        <f>IF(ISERROR(VLOOKUP($S$172,'TAR FIN'!$A$1:$O$85,15,0)),0,VLOOKUP($S$172,'TAR FIN'!$A$1:$O$85,15,0))</f>
        <v>0</v>
      </c>
      <c r="W172" s="4">
        <f>IF(ISERROR(VLOOKUP($T$172,'TAR FIN'!$A$1:$O$85,15,0)),0,VLOOKUP($T$172,'TAR FIN'!$A$1:$O$85,15,0))</f>
        <v>492.05</v>
      </c>
      <c r="X172" s="4">
        <f>IF(ISERROR(VLOOKUP($U$172,'TAR FIN'!$A$1:$O$85,15,0)),0,VLOOKUP($U$172,'TAR FIN'!$A$1:$O$85,15,0))</f>
        <v>231.33</v>
      </c>
      <c r="Y172" s="4"/>
      <c r="Z172" s="4">
        <f ca="1">('TUSD BE'!$AM$19+'TUSD BF'!$AM$19+'TUSD CVA'!$AM$19)*1</f>
        <v>608.47258431441708</v>
      </c>
      <c r="AA172" s="4">
        <f>('TE BE'!$AA$10+'TE BF'!$AA$10+'TE CVA'!$AA$10)*1</f>
        <v>260.80314197522284</v>
      </c>
      <c r="AB172" s="4">
        <f>$K$172*$V$172</f>
        <v>0</v>
      </c>
      <c r="AC172" s="4">
        <f>$M$172*$W$172</f>
        <v>694.77459999999996</v>
      </c>
      <c r="AD172" s="4">
        <f>$O$172*$X$172</f>
        <v>326.63796000000002</v>
      </c>
      <c r="AE172" s="4">
        <f>$K$172*$Y$172</f>
        <v>0</v>
      </c>
      <c r="AF172" s="4">
        <f ca="1">$M$172*$Z$172</f>
        <v>859.16328905195689</v>
      </c>
      <c r="AG172" s="4">
        <f>$O$172*$AA$172</f>
        <v>368.25403646901464</v>
      </c>
    </row>
    <row r="173" spans="1:33" ht="11.25" customHeight="1" x14ac:dyDescent="0.25">
      <c r="A173" s="3" t="s">
        <v>21</v>
      </c>
      <c r="B173" s="3" t="s">
        <v>22</v>
      </c>
      <c r="C173" s="3" t="s">
        <v>37</v>
      </c>
      <c r="D173" s="3" t="s">
        <v>24</v>
      </c>
      <c r="E173" s="3" t="s">
        <v>24</v>
      </c>
      <c r="F173" s="3" t="s">
        <v>25</v>
      </c>
      <c r="G173" s="3" t="s">
        <v>25</v>
      </c>
      <c r="H173" s="3" t="s">
        <v>36</v>
      </c>
      <c r="I173" s="6">
        <v>44378</v>
      </c>
      <c r="J173" s="4">
        <v>0</v>
      </c>
      <c r="K173" s="4">
        <v>0</v>
      </c>
      <c r="L173" s="4">
        <v>1.2170000000000001</v>
      </c>
      <c r="M173" s="4">
        <v>1.2170000000000001</v>
      </c>
      <c r="N173" s="4">
        <v>1.2170000000000001</v>
      </c>
      <c r="O173" s="4">
        <v>1.2170000000000001</v>
      </c>
      <c r="P173" s="4">
        <v>0</v>
      </c>
      <c r="Q173" s="3" t="s">
        <v>26</v>
      </c>
      <c r="R173" s="3">
        <v>0</v>
      </c>
      <c r="S173" s="4">
        <v>0</v>
      </c>
      <c r="T173" s="4">
        <v>35</v>
      </c>
      <c r="U173" s="4">
        <v>44</v>
      </c>
      <c r="V173" s="4">
        <f>IF(ISERROR(VLOOKUP($S$173,'TAR FIN'!$A$1:$O$85,15,0)),0,VLOOKUP($S$173,'TAR FIN'!$A$1:$O$85,15,0))</f>
        <v>0</v>
      </c>
      <c r="W173" s="4">
        <f>IF(ISERROR(VLOOKUP($T$173,'TAR FIN'!$A$1:$O$85,15,0)),0,VLOOKUP($T$173,'TAR FIN'!$A$1:$O$85,15,0))</f>
        <v>492.05</v>
      </c>
      <c r="X173" s="4">
        <f>IF(ISERROR(VLOOKUP($U$173,'TAR FIN'!$A$1:$O$85,15,0)),0,VLOOKUP($U$173,'TAR FIN'!$A$1:$O$85,15,0))</f>
        <v>231.33</v>
      </c>
      <c r="Y173" s="4"/>
      <c r="Z173" s="4">
        <f ca="1">('TUSD BE'!$AM$19+'TUSD BF'!$AM$19+'TUSD CVA'!$AM$19)*1</f>
        <v>608.47258431441708</v>
      </c>
      <c r="AA173" s="4">
        <f>('TE BE'!$AA$10+'TE BF'!$AA$10+'TE CVA'!$AA$10)*1</f>
        <v>260.80314197522284</v>
      </c>
      <c r="AB173" s="4">
        <f>$K$173*$V$173</f>
        <v>0</v>
      </c>
      <c r="AC173" s="4">
        <f>$M$173*$W$173</f>
        <v>598.82485000000008</v>
      </c>
      <c r="AD173" s="4">
        <f>$O$173*$X$173</f>
        <v>281.52861000000001</v>
      </c>
      <c r="AE173" s="4">
        <f>$K$173*$Y$173</f>
        <v>0</v>
      </c>
      <c r="AF173" s="4">
        <f ca="1">$M$173*$Z$173</f>
        <v>740.51113511064568</v>
      </c>
      <c r="AG173" s="4">
        <f>$O$173*$AA$173</f>
        <v>317.39742378384619</v>
      </c>
    </row>
    <row r="174" spans="1:33" ht="11.25" customHeight="1" x14ac:dyDescent="0.25">
      <c r="A174" s="3" t="s">
        <v>21</v>
      </c>
      <c r="B174" s="3" t="s">
        <v>22</v>
      </c>
      <c r="C174" s="3" t="s">
        <v>37</v>
      </c>
      <c r="D174" s="3" t="s">
        <v>24</v>
      </c>
      <c r="E174" s="3" t="s">
        <v>24</v>
      </c>
      <c r="F174" s="3" t="s">
        <v>25</v>
      </c>
      <c r="G174" s="3" t="s">
        <v>25</v>
      </c>
      <c r="H174" s="3" t="s">
        <v>36</v>
      </c>
      <c r="I174" s="6">
        <v>44409</v>
      </c>
      <c r="J174" s="4">
        <v>0</v>
      </c>
      <c r="K174" s="4">
        <v>0</v>
      </c>
      <c r="L174" s="4">
        <v>1.0920000000000001</v>
      </c>
      <c r="M174" s="4">
        <v>1.0920000000000001</v>
      </c>
      <c r="N174" s="4">
        <v>1.0920000000000001</v>
      </c>
      <c r="O174" s="4">
        <v>1.0920000000000001</v>
      </c>
      <c r="P174" s="4">
        <v>0</v>
      </c>
      <c r="Q174" s="3" t="s">
        <v>26</v>
      </c>
      <c r="R174" s="3">
        <v>0</v>
      </c>
      <c r="S174" s="4">
        <v>0</v>
      </c>
      <c r="T174" s="4">
        <v>35</v>
      </c>
      <c r="U174" s="4">
        <v>44</v>
      </c>
      <c r="V174" s="4">
        <f>IF(ISERROR(VLOOKUP($S$174,'TAR FIN'!$A$1:$O$85,15,0)),0,VLOOKUP($S$174,'TAR FIN'!$A$1:$O$85,15,0))</f>
        <v>0</v>
      </c>
      <c r="W174" s="4">
        <f>IF(ISERROR(VLOOKUP($T$174,'TAR FIN'!$A$1:$O$85,15,0)),0,VLOOKUP($T$174,'TAR FIN'!$A$1:$O$85,15,0))</f>
        <v>492.05</v>
      </c>
      <c r="X174" s="4">
        <f>IF(ISERROR(VLOOKUP($U$174,'TAR FIN'!$A$1:$O$85,15,0)),0,VLOOKUP($U$174,'TAR FIN'!$A$1:$O$85,15,0))</f>
        <v>231.33</v>
      </c>
      <c r="Y174" s="4"/>
      <c r="Z174" s="4">
        <f ca="1">('TUSD BE'!$AM$19+'TUSD BF'!$AM$19+'TUSD CVA'!$AM$19)*1</f>
        <v>608.47258431441708</v>
      </c>
      <c r="AA174" s="4">
        <f>('TE BE'!$AA$10+'TE BF'!$AA$10+'TE CVA'!$AA$10)*1</f>
        <v>260.80314197522284</v>
      </c>
      <c r="AB174" s="4">
        <f>$K$174*$V$174</f>
        <v>0</v>
      </c>
      <c r="AC174" s="4">
        <f>$M$174*$W$174</f>
        <v>537.31860000000006</v>
      </c>
      <c r="AD174" s="4">
        <f>$O$174*$X$174</f>
        <v>252.61236000000002</v>
      </c>
      <c r="AE174" s="4">
        <f>$K$174*$Y$174</f>
        <v>0</v>
      </c>
      <c r="AF174" s="4">
        <f ca="1">$M$174*$Z$174</f>
        <v>664.45206207134345</v>
      </c>
      <c r="AG174" s="4">
        <f>$O$174*$AA$174</f>
        <v>284.79703103694334</v>
      </c>
    </row>
    <row r="175" spans="1:33" ht="11.25" customHeight="1" x14ac:dyDescent="0.25">
      <c r="A175" s="3" t="s">
        <v>21</v>
      </c>
      <c r="B175" s="3" t="s">
        <v>22</v>
      </c>
      <c r="C175" s="3" t="s">
        <v>37</v>
      </c>
      <c r="D175" s="3" t="s">
        <v>24</v>
      </c>
      <c r="E175" s="3" t="s">
        <v>24</v>
      </c>
      <c r="F175" s="3" t="s">
        <v>25</v>
      </c>
      <c r="G175" s="3" t="s">
        <v>25</v>
      </c>
      <c r="H175" s="3" t="s">
        <v>36</v>
      </c>
      <c r="I175" s="6">
        <v>44440</v>
      </c>
      <c r="J175" s="4">
        <v>0</v>
      </c>
      <c r="K175" s="4">
        <v>0</v>
      </c>
      <c r="L175" s="4">
        <v>1.4079999999999999</v>
      </c>
      <c r="M175" s="4">
        <v>1.4079999999999999</v>
      </c>
      <c r="N175" s="4">
        <v>1.4079999999999999</v>
      </c>
      <c r="O175" s="4">
        <v>1.4079999999999999</v>
      </c>
      <c r="P175" s="4">
        <v>0</v>
      </c>
      <c r="Q175" s="3" t="s">
        <v>26</v>
      </c>
      <c r="R175" s="3">
        <v>0</v>
      </c>
      <c r="S175" s="4">
        <v>0</v>
      </c>
      <c r="T175" s="4">
        <v>35</v>
      </c>
      <c r="U175" s="4">
        <v>44</v>
      </c>
      <c r="V175" s="4">
        <f>IF(ISERROR(VLOOKUP($S$175,'TAR FIN'!$A$1:$O$85,15,0)),0,VLOOKUP($S$175,'TAR FIN'!$A$1:$O$85,15,0))</f>
        <v>0</v>
      </c>
      <c r="W175" s="4">
        <f>IF(ISERROR(VLOOKUP($T$175,'TAR FIN'!$A$1:$O$85,15,0)),0,VLOOKUP($T$175,'TAR FIN'!$A$1:$O$85,15,0))</f>
        <v>492.05</v>
      </c>
      <c r="X175" s="4">
        <f>IF(ISERROR(VLOOKUP($U$175,'TAR FIN'!$A$1:$O$85,15,0)),0,VLOOKUP($U$175,'TAR FIN'!$A$1:$O$85,15,0))</f>
        <v>231.33</v>
      </c>
      <c r="Y175" s="4"/>
      <c r="Z175" s="4">
        <f ca="1">('TUSD BE'!$AM$19+'TUSD BF'!$AM$19+'TUSD CVA'!$AM$19)*1</f>
        <v>608.47258431441708</v>
      </c>
      <c r="AA175" s="4">
        <f>('TE BE'!$AA$10+'TE BF'!$AA$10+'TE CVA'!$AA$10)*1</f>
        <v>260.80314197522284</v>
      </c>
      <c r="AB175" s="4">
        <f>$K$175*$V$175</f>
        <v>0</v>
      </c>
      <c r="AC175" s="4">
        <f>$M$175*$W$175</f>
        <v>692.80639999999994</v>
      </c>
      <c r="AD175" s="4">
        <f>$O$175*$X$175</f>
        <v>325.71264000000002</v>
      </c>
      <c r="AE175" s="4">
        <f>$K$175*$Y$175</f>
        <v>0</v>
      </c>
      <c r="AF175" s="4">
        <f ca="1">$M$175*$Z$175</f>
        <v>856.72939871469919</v>
      </c>
      <c r="AG175" s="4">
        <f>$O$175*$AA$175</f>
        <v>367.21082390111377</v>
      </c>
    </row>
    <row r="176" spans="1:33" ht="11.25" customHeight="1" x14ac:dyDescent="0.25">
      <c r="A176" s="3" t="s">
        <v>21</v>
      </c>
      <c r="B176" s="3" t="s">
        <v>22</v>
      </c>
      <c r="C176" s="3" t="s">
        <v>37</v>
      </c>
      <c r="D176" s="3" t="s">
        <v>24</v>
      </c>
      <c r="E176" s="3" t="s">
        <v>24</v>
      </c>
      <c r="F176" s="3" t="s">
        <v>25</v>
      </c>
      <c r="G176" s="3" t="s">
        <v>25</v>
      </c>
      <c r="H176" s="3" t="s">
        <v>36</v>
      </c>
      <c r="I176" s="6">
        <v>44470</v>
      </c>
      <c r="J176" s="4">
        <v>0</v>
      </c>
      <c r="K176" s="4">
        <v>0</v>
      </c>
      <c r="L176" s="4">
        <v>1.2629999999999999</v>
      </c>
      <c r="M176" s="4">
        <v>1.2629999999999999</v>
      </c>
      <c r="N176" s="4">
        <v>1.2629999999999999</v>
      </c>
      <c r="O176" s="4">
        <v>1.2629999999999999</v>
      </c>
      <c r="P176" s="4">
        <v>0</v>
      </c>
      <c r="Q176" s="3" t="s">
        <v>26</v>
      </c>
      <c r="R176" s="3">
        <v>0</v>
      </c>
      <c r="S176" s="4">
        <v>0</v>
      </c>
      <c r="T176" s="4">
        <v>35</v>
      </c>
      <c r="U176" s="4">
        <v>44</v>
      </c>
      <c r="V176" s="4">
        <f>IF(ISERROR(VLOOKUP($S$176,'TAR FIN'!$A$1:$O$85,15,0)),0,VLOOKUP($S$176,'TAR FIN'!$A$1:$O$85,15,0))</f>
        <v>0</v>
      </c>
      <c r="W176" s="4">
        <f>IF(ISERROR(VLOOKUP($T$176,'TAR FIN'!$A$1:$O$85,15,0)),0,VLOOKUP($T$176,'TAR FIN'!$A$1:$O$85,15,0))</f>
        <v>492.05</v>
      </c>
      <c r="X176" s="4">
        <f>IF(ISERROR(VLOOKUP($U$176,'TAR FIN'!$A$1:$O$85,15,0)),0,VLOOKUP($U$176,'TAR FIN'!$A$1:$O$85,15,0))</f>
        <v>231.33</v>
      </c>
      <c r="Y176" s="4"/>
      <c r="Z176" s="4">
        <f ca="1">('TUSD BE'!$AM$19+'TUSD BF'!$AM$19+'TUSD CVA'!$AM$19)*1</f>
        <v>608.47258431441708</v>
      </c>
      <c r="AA176" s="4">
        <f>('TE BE'!$AA$10+'TE BF'!$AA$10+'TE CVA'!$AA$10)*1</f>
        <v>260.80314197522284</v>
      </c>
      <c r="AB176" s="4">
        <f>$K$176*$V$176</f>
        <v>0</v>
      </c>
      <c r="AC176" s="4">
        <f>$M$176*$W$176</f>
        <v>621.45914999999991</v>
      </c>
      <c r="AD176" s="4">
        <f>$O$176*$X$176</f>
        <v>292.16978999999998</v>
      </c>
      <c r="AE176" s="4">
        <f>$K$176*$Y$176</f>
        <v>0</v>
      </c>
      <c r="AF176" s="4">
        <f ca="1">$M$176*$Z$176</f>
        <v>768.50087398910875</v>
      </c>
      <c r="AG176" s="4">
        <f>$O$176*$AA$176</f>
        <v>329.39436831470641</v>
      </c>
    </row>
    <row r="177" spans="1:33" ht="11.25" customHeight="1" x14ac:dyDescent="0.25">
      <c r="A177" s="3" t="s">
        <v>21</v>
      </c>
      <c r="B177" s="3" t="s">
        <v>22</v>
      </c>
      <c r="C177" s="3" t="s">
        <v>37</v>
      </c>
      <c r="D177" s="3" t="s">
        <v>24</v>
      </c>
      <c r="E177" s="3" t="s">
        <v>24</v>
      </c>
      <c r="F177" s="3" t="s">
        <v>25</v>
      </c>
      <c r="G177" s="3" t="s">
        <v>25</v>
      </c>
      <c r="H177" s="3" t="s">
        <v>36</v>
      </c>
      <c r="I177" s="6">
        <v>44501</v>
      </c>
      <c r="J177" s="4">
        <v>0</v>
      </c>
      <c r="K177" s="4">
        <v>0</v>
      </c>
      <c r="L177" s="4">
        <v>1.226</v>
      </c>
      <c r="M177" s="4">
        <v>1.226</v>
      </c>
      <c r="N177" s="4">
        <v>1.226</v>
      </c>
      <c r="O177" s="4">
        <v>1.226</v>
      </c>
      <c r="P177" s="4">
        <v>0</v>
      </c>
      <c r="Q177" s="3" t="s">
        <v>26</v>
      </c>
      <c r="R177" s="3">
        <v>0</v>
      </c>
      <c r="S177" s="4">
        <v>0</v>
      </c>
      <c r="T177" s="4">
        <v>35</v>
      </c>
      <c r="U177" s="4">
        <v>44</v>
      </c>
      <c r="V177" s="4">
        <f>IF(ISERROR(VLOOKUP($S$177,'TAR FIN'!$A$1:$O$85,15,0)),0,VLOOKUP($S$177,'TAR FIN'!$A$1:$O$85,15,0))</f>
        <v>0</v>
      </c>
      <c r="W177" s="4">
        <f>IF(ISERROR(VLOOKUP($T$177,'TAR FIN'!$A$1:$O$85,15,0)),0,VLOOKUP($T$177,'TAR FIN'!$A$1:$O$85,15,0))</f>
        <v>492.05</v>
      </c>
      <c r="X177" s="4">
        <f>IF(ISERROR(VLOOKUP($U$177,'TAR FIN'!$A$1:$O$85,15,0)),0,VLOOKUP($U$177,'TAR FIN'!$A$1:$O$85,15,0))</f>
        <v>231.33</v>
      </c>
      <c r="Y177" s="4"/>
      <c r="Z177" s="4">
        <f ca="1">('TUSD BE'!$AM$19+'TUSD BF'!$AM$19+'TUSD CVA'!$AM$19)*1</f>
        <v>608.47258431441708</v>
      </c>
      <c r="AA177" s="4">
        <f>('TE BE'!$AA$10+'TE BF'!$AA$10+'TE CVA'!$AA$10)*1</f>
        <v>260.80314197522284</v>
      </c>
      <c r="AB177" s="4">
        <f>$K$177*$V$177</f>
        <v>0</v>
      </c>
      <c r="AC177" s="4">
        <f>$M$177*$W$177</f>
        <v>603.25329999999997</v>
      </c>
      <c r="AD177" s="4">
        <f>$O$177*$X$177</f>
        <v>283.61058000000003</v>
      </c>
      <c r="AE177" s="4">
        <f>$K$177*$Y$177</f>
        <v>0</v>
      </c>
      <c r="AF177" s="4">
        <f ca="1">$M$177*$Z$177</f>
        <v>745.9873883694753</v>
      </c>
      <c r="AG177" s="4">
        <f>$O$177*$AA$177</f>
        <v>319.74465206162319</v>
      </c>
    </row>
    <row r="178" spans="1:33" ht="11.25" customHeight="1" x14ac:dyDescent="0.25">
      <c r="A178" s="3" t="s">
        <v>21</v>
      </c>
      <c r="B178" s="3" t="s">
        <v>22</v>
      </c>
      <c r="C178" s="3" t="s">
        <v>37</v>
      </c>
      <c r="D178" s="3" t="s">
        <v>24</v>
      </c>
      <c r="E178" s="3" t="s">
        <v>24</v>
      </c>
      <c r="F178" s="3" t="s">
        <v>25</v>
      </c>
      <c r="G178" s="3" t="s">
        <v>25</v>
      </c>
      <c r="H178" s="3" t="s">
        <v>36</v>
      </c>
      <c r="I178" s="6">
        <v>44531</v>
      </c>
      <c r="J178" s="4">
        <v>0</v>
      </c>
      <c r="K178" s="4">
        <v>0</v>
      </c>
      <c r="L178" s="4">
        <v>1.002</v>
      </c>
      <c r="M178" s="4">
        <v>1.002</v>
      </c>
      <c r="N178" s="4">
        <v>1.002</v>
      </c>
      <c r="O178" s="4">
        <v>1.002</v>
      </c>
      <c r="P178" s="4">
        <v>0</v>
      </c>
      <c r="Q178" s="3" t="s">
        <v>26</v>
      </c>
      <c r="R178" s="3">
        <v>0</v>
      </c>
      <c r="S178" s="4">
        <v>0</v>
      </c>
      <c r="T178" s="4">
        <v>35</v>
      </c>
      <c r="U178" s="4">
        <v>44</v>
      </c>
      <c r="V178" s="4">
        <f>IF(ISERROR(VLOOKUP($S$178,'TAR FIN'!$A$1:$O$85,15,0)),0,VLOOKUP($S$178,'TAR FIN'!$A$1:$O$85,15,0))</f>
        <v>0</v>
      </c>
      <c r="W178" s="4">
        <f>IF(ISERROR(VLOOKUP($T$178,'TAR FIN'!$A$1:$O$85,15,0)),0,VLOOKUP($T$178,'TAR FIN'!$A$1:$O$85,15,0))</f>
        <v>492.05</v>
      </c>
      <c r="X178" s="4">
        <f>IF(ISERROR(VLOOKUP($U$178,'TAR FIN'!$A$1:$O$85,15,0)),0,VLOOKUP($U$178,'TAR FIN'!$A$1:$O$85,15,0))</f>
        <v>231.33</v>
      </c>
      <c r="Y178" s="4"/>
      <c r="Z178" s="4">
        <f ca="1">('TUSD BE'!$AM$19+'TUSD BF'!$AM$19+'TUSD CVA'!$AM$19)*1</f>
        <v>608.47258431441708</v>
      </c>
      <c r="AA178" s="4">
        <f>('TE BE'!$AA$10+'TE BF'!$AA$10+'TE CVA'!$AA$10)*1</f>
        <v>260.80314197522284</v>
      </c>
      <c r="AB178" s="4">
        <f>$K$178*$V$178</f>
        <v>0</v>
      </c>
      <c r="AC178" s="4">
        <f>$M$178*$W$178</f>
        <v>493.03410000000002</v>
      </c>
      <c r="AD178" s="4">
        <f>$O$178*$X$178</f>
        <v>231.79266000000001</v>
      </c>
      <c r="AE178" s="4">
        <f>$K$178*$Y$178</f>
        <v>0</v>
      </c>
      <c r="AF178" s="4">
        <f ca="1">$M$178*$Z$178</f>
        <v>609.68952948304593</v>
      </c>
      <c r="AG178" s="4">
        <f>$O$178*$AA$178</f>
        <v>261.3247482591733</v>
      </c>
    </row>
    <row r="179" spans="1:33" ht="11.25" customHeight="1" x14ac:dyDescent="0.25">
      <c r="A179" s="3" t="s">
        <v>28</v>
      </c>
      <c r="B179" s="3" t="s">
        <v>22</v>
      </c>
      <c r="C179" s="3" t="s">
        <v>37</v>
      </c>
      <c r="D179" s="3" t="s">
        <v>24</v>
      </c>
      <c r="E179" s="3" t="s">
        <v>24</v>
      </c>
      <c r="F179" s="3" t="s">
        <v>25</v>
      </c>
      <c r="G179" s="3" t="s">
        <v>25</v>
      </c>
      <c r="H179" s="3" t="s">
        <v>36</v>
      </c>
      <c r="I179" s="6">
        <v>44531</v>
      </c>
      <c r="J179" s="4">
        <v>0</v>
      </c>
      <c r="K179" s="4">
        <v>0</v>
      </c>
      <c r="L179" s="4">
        <v>0.247</v>
      </c>
      <c r="M179" s="4">
        <v>0.247</v>
      </c>
      <c r="N179" s="4">
        <v>0.247</v>
      </c>
      <c r="O179" s="4">
        <v>0.247</v>
      </c>
      <c r="P179" s="4">
        <v>0</v>
      </c>
      <c r="Q179" s="3" t="s">
        <v>26</v>
      </c>
      <c r="R179" s="3">
        <v>0</v>
      </c>
      <c r="S179" s="4">
        <v>0</v>
      </c>
      <c r="T179" s="4">
        <v>35</v>
      </c>
      <c r="U179" s="4">
        <v>44</v>
      </c>
      <c r="V179" s="4">
        <f>IF(ISERROR(VLOOKUP($S$179,'TAR FIN'!$A$1:$O$85,15,0)),0,VLOOKUP($S$179,'TAR FIN'!$A$1:$O$85,15,0))</f>
        <v>0</v>
      </c>
      <c r="W179" s="4">
        <f>IF(ISERROR(VLOOKUP($T$179,'TAR FIN'!$A$1:$O$85,15,0)),0,VLOOKUP($T$179,'TAR FIN'!$A$1:$O$85,15,0))</f>
        <v>492.05</v>
      </c>
      <c r="X179" s="4">
        <f>IF(ISERROR(VLOOKUP($U$179,'TAR FIN'!$A$1:$O$85,15,0)),0,VLOOKUP($U$179,'TAR FIN'!$A$1:$O$85,15,0))</f>
        <v>231.33</v>
      </c>
      <c r="Y179" s="4"/>
      <c r="Z179" s="4">
        <f ca="1">('TUSD BE'!$AM$19+'TUSD BF'!$AM$19+'TUSD CVA'!$AM$19)*1</f>
        <v>608.47258431441708</v>
      </c>
      <c r="AA179" s="4">
        <f>('TE BE'!$AA$10+'TE BF'!$AA$10+'TE CVA'!$AA$10)*1</f>
        <v>260.80314197522284</v>
      </c>
      <c r="AB179" s="4">
        <f>$K$179*$V$179</f>
        <v>0</v>
      </c>
      <c r="AC179" s="4">
        <f>$M$179*$W$179</f>
        <v>121.53635</v>
      </c>
      <c r="AD179" s="4">
        <f>$O$179*$X$179</f>
        <v>57.138510000000004</v>
      </c>
      <c r="AE179" s="4">
        <f>$K$179*$Y$179</f>
        <v>0</v>
      </c>
      <c r="AF179" s="4">
        <f ca="1">$M$179*$Z$179</f>
        <v>150.29272832566102</v>
      </c>
      <c r="AG179" s="4">
        <f>$O$179*$AA$179</f>
        <v>64.418376067880047</v>
      </c>
    </row>
    <row r="180" spans="1:33" ht="11.25" customHeight="1" x14ac:dyDescent="0.25">
      <c r="A180" s="3" t="s">
        <v>21</v>
      </c>
      <c r="B180" s="3" t="s">
        <v>22</v>
      </c>
      <c r="C180" s="3" t="s">
        <v>37</v>
      </c>
      <c r="D180" s="3" t="s">
        <v>24</v>
      </c>
      <c r="E180" s="3" t="s">
        <v>24</v>
      </c>
      <c r="F180" s="3" t="s">
        <v>25</v>
      </c>
      <c r="G180" s="3" t="s">
        <v>25</v>
      </c>
      <c r="H180" s="3" t="s">
        <v>36</v>
      </c>
      <c r="I180" s="6">
        <v>44562</v>
      </c>
      <c r="J180" s="4">
        <v>0</v>
      </c>
      <c r="K180" s="4">
        <v>0</v>
      </c>
      <c r="L180" s="4">
        <v>1.147</v>
      </c>
      <c r="M180" s="4">
        <v>1.147</v>
      </c>
      <c r="N180" s="4">
        <v>1.147</v>
      </c>
      <c r="O180" s="4">
        <v>1.147</v>
      </c>
      <c r="P180" s="4">
        <v>0</v>
      </c>
      <c r="Q180" s="3" t="s">
        <v>26</v>
      </c>
      <c r="R180" s="3">
        <v>0</v>
      </c>
      <c r="S180" s="4">
        <v>0</v>
      </c>
      <c r="T180" s="4">
        <v>35</v>
      </c>
      <c r="U180" s="4">
        <v>44</v>
      </c>
      <c r="V180" s="4">
        <f>IF(ISERROR(VLOOKUP($S$180,'TAR FIN'!$A$1:$O$85,15,0)),0,VLOOKUP($S$180,'TAR FIN'!$A$1:$O$85,15,0))</f>
        <v>0</v>
      </c>
      <c r="W180" s="4">
        <f>IF(ISERROR(VLOOKUP($T$180,'TAR FIN'!$A$1:$O$85,15,0)),0,VLOOKUP($T$180,'TAR FIN'!$A$1:$O$85,15,0))</f>
        <v>492.05</v>
      </c>
      <c r="X180" s="4">
        <f>IF(ISERROR(VLOOKUP($U$180,'TAR FIN'!$A$1:$O$85,15,0)),0,VLOOKUP($U$180,'TAR FIN'!$A$1:$O$85,15,0))</f>
        <v>231.33</v>
      </c>
      <c r="Y180" s="4"/>
      <c r="Z180" s="4">
        <f ca="1">('TUSD BE'!$AM$19+'TUSD BF'!$AM$19+'TUSD CVA'!$AM$19)*1</f>
        <v>608.47258431441708</v>
      </c>
      <c r="AA180" s="4">
        <f>('TE BE'!$AA$10+'TE BF'!$AA$10+'TE CVA'!$AA$10)*1</f>
        <v>260.80314197522284</v>
      </c>
      <c r="AB180" s="4">
        <f>$K$180*$V$180</f>
        <v>0</v>
      </c>
      <c r="AC180" s="4">
        <f>$M$180*$W$180</f>
        <v>564.38135</v>
      </c>
      <c r="AD180" s="4">
        <f>$O$180*$X$180</f>
        <v>265.33551</v>
      </c>
      <c r="AE180" s="4">
        <f>$K$180*$Y$180</f>
        <v>0</v>
      </c>
      <c r="AF180" s="4">
        <f ca="1">$M$180*$Z$180</f>
        <v>697.91805420863636</v>
      </c>
      <c r="AG180" s="4">
        <f>$O$180*$AA$180</f>
        <v>299.14120384558061</v>
      </c>
    </row>
    <row r="181" spans="1:33" ht="11.25" customHeight="1" x14ac:dyDescent="0.25">
      <c r="A181" s="3" t="s">
        <v>28</v>
      </c>
      <c r="B181" s="3" t="s">
        <v>22</v>
      </c>
      <c r="C181" s="3" t="s">
        <v>37</v>
      </c>
      <c r="D181" s="3" t="s">
        <v>24</v>
      </c>
      <c r="E181" s="3" t="s">
        <v>24</v>
      </c>
      <c r="F181" s="3" t="s">
        <v>25</v>
      </c>
      <c r="G181" s="3" t="s">
        <v>25</v>
      </c>
      <c r="H181" s="3" t="s">
        <v>36</v>
      </c>
      <c r="I181" s="6">
        <v>44562</v>
      </c>
      <c r="J181" s="4">
        <v>0</v>
      </c>
      <c r="K181" s="4">
        <v>0</v>
      </c>
      <c r="L181" s="4">
        <v>7.0999999999999994E-2</v>
      </c>
      <c r="M181" s="4">
        <v>7.0999999999999994E-2</v>
      </c>
      <c r="N181" s="4">
        <v>7.0999999999999994E-2</v>
      </c>
      <c r="O181" s="4">
        <v>7.0999999999999994E-2</v>
      </c>
      <c r="P181" s="4">
        <v>0</v>
      </c>
      <c r="Q181" s="3" t="s">
        <v>26</v>
      </c>
      <c r="R181" s="3">
        <v>0</v>
      </c>
      <c r="S181" s="4">
        <v>0</v>
      </c>
      <c r="T181" s="4">
        <v>35</v>
      </c>
      <c r="U181" s="4">
        <v>44</v>
      </c>
      <c r="V181" s="4">
        <f>IF(ISERROR(VLOOKUP($S$181,'TAR FIN'!$A$1:$O$85,15,0)),0,VLOOKUP($S$181,'TAR FIN'!$A$1:$O$85,15,0))</f>
        <v>0</v>
      </c>
      <c r="W181" s="4">
        <f>IF(ISERROR(VLOOKUP($T$181,'TAR FIN'!$A$1:$O$85,15,0)),0,VLOOKUP($T$181,'TAR FIN'!$A$1:$O$85,15,0))</f>
        <v>492.05</v>
      </c>
      <c r="X181" s="4">
        <f>IF(ISERROR(VLOOKUP($U$181,'TAR FIN'!$A$1:$O$85,15,0)),0,VLOOKUP($U$181,'TAR FIN'!$A$1:$O$85,15,0))</f>
        <v>231.33</v>
      </c>
      <c r="Y181" s="4"/>
      <c r="Z181" s="4">
        <f ca="1">('TUSD BE'!$AM$19+'TUSD BF'!$AM$19+'TUSD CVA'!$AM$19)*1</f>
        <v>608.47258431441708</v>
      </c>
      <c r="AA181" s="4">
        <f>('TE BE'!$AA$10+'TE BF'!$AA$10+'TE CVA'!$AA$10)*1</f>
        <v>260.80314197522284</v>
      </c>
      <c r="AB181" s="4">
        <f>$K$181*$V$181</f>
        <v>0</v>
      </c>
      <c r="AC181" s="4">
        <f>$M$181*$W$181</f>
        <v>34.935549999999999</v>
      </c>
      <c r="AD181" s="4">
        <f>$O$181*$X$181</f>
        <v>16.424430000000001</v>
      </c>
      <c r="AE181" s="4">
        <f>$K$181*$Y$181</f>
        <v>0</v>
      </c>
      <c r="AF181" s="4">
        <f ca="1">$M$181*$Z$181</f>
        <v>43.201553486323611</v>
      </c>
      <c r="AG181" s="4">
        <f>$O$181*$AA$181</f>
        <v>18.517023080240818</v>
      </c>
    </row>
    <row r="182" spans="1:33" ht="11.25" customHeight="1" x14ac:dyDescent="0.25">
      <c r="A182" s="3" t="s">
        <v>21</v>
      </c>
      <c r="B182" s="3" t="s">
        <v>22</v>
      </c>
      <c r="C182" s="3" t="s">
        <v>37</v>
      </c>
      <c r="D182" s="3" t="s">
        <v>24</v>
      </c>
      <c r="E182" s="3" t="s">
        <v>24</v>
      </c>
      <c r="F182" s="3" t="s">
        <v>25</v>
      </c>
      <c r="G182" s="3" t="s">
        <v>25</v>
      </c>
      <c r="H182" s="3" t="s">
        <v>36</v>
      </c>
      <c r="I182" s="6">
        <v>44593</v>
      </c>
      <c r="J182" s="4">
        <v>0</v>
      </c>
      <c r="K182" s="4">
        <v>0</v>
      </c>
      <c r="L182" s="4">
        <v>1.31</v>
      </c>
      <c r="M182" s="4">
        <v>1.31</v>
      </c>
      <c r="N182" s="4">
        <v>1.31</v>
      </c>
      <c r="O182" s="4">
        <v>1.31</v>
      </c>
      <c r="P182" s="4">
        <v>0</v>
      </c>
      <c r="Q182" s="3" t="s">
        <v>26</v>
      </c>
      <c r="R182" s="3">
        <v>0</v>
      </c>
      <c r="S182" s="4">
        <v>0</v>
      </c>
      <c r="T182" s="4">
        <v>35</v>
      </c>
      <c r="U182" s="4">
        <v>44</v>
      </c>
      <c r="V182" s="4">
        <f>IF(ISERROR(VLOOKUP($S$182,'TAR FIN'!$A$1:$O$85,15,0)),0,VLOOKUP($S$182,'TAR FIN'!$A$1:$O$85,15,0))</f>
        <v>0</v>
      </c>
      <c r="W182" s="4">
        <f>IF(ISERROR(VLOOKUP($T$182,'TAR FIN'!$A$1:$O$85,15,0)),0,VLOOKUP($T$182,'TAR FIN'!$A$1:$O$85,15,0))</f>
        <v>492.05</v>
      </c>
      <c r="X182" s="4">
        <f>IF(ISERROR(VLOOKUP($U$182,'TAR FIN'!$A$1:$O$85,15,0)),0,VLOOKUP($U$182,'TAR FIN'!$A$1:$O$85,15,0))</f>
        <v>231.33</v>
      </c>
      <c r="Y182" s="4"/>
      <c r="Z182" s="4">
        <f ca="1">('TUSD BE'!$AM$19+'TUSD BF'!$AM$19+'TUSD CVA'!$AM$19)*1</f>
        <v>608.47258431441708</v>
      </c>
      <c r="AA182" s="4">
        <f>('TE BE'!$AA$10+'TE BF'!$AA$10+'TE CVA'!$AA$10)*1</f>
        <v>260.80314197522284</v>
      </c>
      <c r="AB182" s="4">
        <f>$K$182*$V$182</f>
        <v>0</v>
      </c>
      <c r="AC182" s="4">
        <f>$M$182*$W$182</f>
        <v>644.58550000000002</v>
      </c>
      <c r="AD182" s="4">
        <f>$O$182*$X$182</f>
        <v>303.04230000000001</v>
      </c>
      <c r="AE182" s="4">
        <f>$K$182*$Y$182</f>
        <v>0</v>
      </c>
      <c r="AF182" s="4">
        <f ca="1">$M$182*$Z$182</f>
        <v>797.09908545188637</v>
      </c>
      <c r="AG182" s="4">
        <f>$O$182*$AA$182</f>
        <v>341.65211598754195</v>
      </c>
    </row>
    <row r="183" spans="1:33" ht="11.25" customHeight="1" x14ac:dyDescent="0.25">
      <c r="A183" s="3" t="s">
        <v>21</v>
      </c>
      <c r="B183" s="3" t="s">
        <v>22</v>
      </c>
      <c r="C183" s="3" t="s">
        <v>37</v>
      </c>
      <c r="D183" s="3" t="s">
        <v>24</v>
      </c>
      <c r="E183" s="3" t="s">
        <v>24</v>
      </c>
      <c r="F183" s="3" t="s">
        <v>25</v>
      </c>
      <c r="G183" s="3" t="s">
        <v>25</v>
      </c>
      <c r="H183" s="3" t="s">
        <v>36</v>
      </c>
      <c r="I183" s="6">
        <v>44621</v>
      </c>
      <c r="J183" s="4">
        <v>0</v>
      </c>
      <c r="K183" s="4">
        <v>0</v>
      </c>
      <c r="L183" s="4">
        <v>1.2889999999999999</v>
      </c>
      <c r="M183" s="4">
        <v>1.2889999999999999</v>
      </c>
      <c r="N183" s="4">
        <v>1.2889999999999999</v>
      </c>
      <c r="O183" s="4">
        <v>1.2889999999999999</v>
      </c>
      <c r="P183" s="4">
        <v>0</v>
      </c>
      <c r="Q183" s="3" t="s">
        <v>26</v>
      </c>
      <c r="R183" s="3">
        <v>0</v>
      </c>
      <c r="S183" s="4">
        <v>0</v>
      </c>
      <c r="T183" s="4">
        <v>35</v>
      </c>
      <c r="U183" s="4">
        <v>44</v>
      </c>
      <c r="V183" s="4">
        <f>IF(ISERROR(VLOOKUP($S$183,'TAR FIN'!$A$1:$O$85,15,0)),0,VLOOKUP($S$183,'TAR FIN'!$A$1:$O$85,15,0))</f>
        <v>0</v>
      </c>
      <c r="W183" s="4">
        <f>IF(ISERROR(VLOOKUP($T$183,'TAR FIN'!$A$1:$O$85,15,0)),0,VLOOKUP($T$183,'TAR FIN'!$A$1:$O$85,15,0))</f>
        <v>492.05</v>
      </c>
      <c r="X183" s="4">
        <f>IF(ISERROR(VLOOKUP($U$183,'TAR FIN'!$A$1:$O$85,15,0)),0,VLOOKUP($U$183,'TAR FIN'!$A$1:$O$85,15,0))</f>
        <v>231.33</v>
      </c>
      <c r="Y183" s="4"/>
      <c r="Z183" s="4">
        <f ca="1">('TUSD BE'!$AM$19+'TUSD BF'!$AM$19+'TUSD CVA'!$AM$19)*1</f>
        <v>608.47258431441708</v>
      </c>
      <c r="AA183" s="4">
        <f>('TE BE'!$AA$10+'TE BF'!$AA$10+'TE CVA'!$AA$10)*1</f>
        <v>260.80314197522284</v>
      </c>
      <c r="AB183" s="4">
        <f>$K$183*$V$183</f>
        <v>0</v>
      </c>
      <c r="AC183" s="4">
        <f>$M$183*$W$183</f>
        <v>634.25244999999995</v>
      </c>
      <c r="AD183" s="4">
        <f>$O$183*$X$183</f>
        <v>298.18437</v>
      </c>
      <c r="AE183" s="4">
        <f>$K$183*$Y$183</f>
        <v>0</v>
      </c>
      <c r="AF183" s="4">
        <f ca="1">$M$183*$Z$183</f>
        <v>784.32116118128351</v>
      </c>
      <c r="AG183" s="4">
        <f>$O$183*$AA$183</f>
        <v>336.17525000606224</v>
      </c>
    </row>
    <row r="184" spans="1:33" ht="11.25" customHeight="1" x14ac:dyDescent="0.25">
      <c r="A184" s="3" t="s">
        <v>21</v>
      </c>
      <c r="B184" s="3" t="s">
        <v>22</v>
      </c>
      <c r="C184" s="3" t="s">
        <v>37</v>
      </c>
      <c r="D184" s="3" t="s">
        <v>24</v>
      </c>
      <c r="E184" s="3" t="s">
        <v>24</v>
      </c>
      <c r="F184" s="3" t="s">
        <v>25</v>
      </c>
      <c r="G184" s="3" t="s">
        <v>25</v>
      </c>
      <c r="H184" s="3" t="s">
        <v>38</v>
      </c>
      <c r="I184" s="6">
        <v>44287</v>
      </c>
      <c r="J184" s="4">
        <v>0</v>
      </c>
      <c r="K184" s="4">
        <v>0</v>
      </c>
      <c r="L184" s="4">
        <v>0.11899999999999999</v>
      </c>
      <c r="M184" s="4">
        <v>0.11899999999999999</v>
      </c>
      <c r="N184" s="4">
        <v>0.11899999999999999</v>
      </c>
      <c r="O184" s="4">
        <v>0.11899999999999999</v>
      </c>
      <c r="P184" s="4">
        <v>0</v>
      </c>
      <c r="Q184" s="3" t="s">
        <v>26</v>
      </c>
      <c r="R184" s="3">
        <v>0</v>
      </c>
      <c r="S184" s="4">
        <v>0</v>
      </c>
      <c r="T184" s="4">
        <v>28</v>
      </c>
      <c r="U184" s="4">
        <v>43</v>
      </c>
      <c r="V184" s="4">
        <f>IF(ISERROR(VLOOKUP($S$184,'TAR FIN'!$A$1:$O$85,15,0)),0,VLOOKUP($S$184,'TAR FIN'!$A$1:$O$85,15,0))</f>
        <v>0</v>
      </c>
      <c r="W184" s="4">
        <f>IF(ISERROR(VLOOKUP($T$184,'TAR FIN'!$A$1:$O$85,15,0)),0,VLOOKUP($T$184,'TAR FIN'!$A$1:$O$85,15,0))</f>
        <v>1197.26</v>
      </c>
      <c r="X184" s="4">
        <f>IF(ISERROR(VLOOKUP($U$184,'TAR FIN'!$A$1:$O$85,15,0)),0,VLOOKUP($U$184,'TAR FIN'!$A$1:$O$85,15,0))</f>
        <v>231.33</v>
      </c>
      <c r="Y184" s="4"/>
      <c r="Z184" s="4">
        <f ca="1">('TUSD BE'!$AM$18+'TUSD BF'!$AM$18+'TUSD CVA'!$AM$18)*1</f>
        <v>1456.1555594214124</v>
      </c>
      <c r="AA184" s="4">
        <f>('TE BE'!$AA$9+'TE BF'!$AA$9+'TE CVA'!$AA$9)*1</f>
        <v>260.80314197522284</v>
      </c>
      <c r="AB184" s="4">
        <f>$K$184*$V$184</f>
        <v>0</v>
      </c>
      <c r="AC184" s="4">
        <f>$M$184*$W$184</f>
        <v>142.47394</v>
      </c>
      <c r="AD184" s="4">
        <f>$O$184*$X$184</f>
        <v>27.528269999999999</v>
      </c>
      <c r="AE184" s="4">
        <f>$K$184*$Y$184</f>
        <v>0</v>
      </c>
      <c r="AF184" s="4">
        <f ca="1">$M$184*$Z$184</f>
        <v>173.28251157114806</v>
      </c>
      <c r="AG184" s="4">
        <f>$O$184*$AA$184</f>
        <v>31.035573895051517</v>
      </c>
    </row>
    <row r="185" spans="1:33" ht="11.25" customHeight="1" x14ac:dyDescent="0.25">
      <c r="A185" s="3" t="s">
        <v>21</v>
      </c>
      <c r="B185" s="3" t="s">
        <v>22</v>
      </c>
      <c r="C185" s="3" t="s">
        <v>37</v>
      </c>
      <c r="D185" s="3" t="s">
        <v>24</v>
      </c>
      <c r="E185" s="3" t="s">
        <v>24</v>
      </c>
      <c r="F185" s="3" t="s">
        <v>25</v>
      </c>
      <c r="G185" s="3" t="s">
        <v>25</v>
      </c>
      <c r="H185" s="3" t="s">
        <v>38</v>
      </c>
      <c r="I185" s="6">
        <v>44317</v>
      </c>
      <c r="J185" s="4">
        <v>0</v>
      </c>
      <c r="K185" s="4">
        <v>0</v>
      </c>
      <c r="L185" s="4">
        <v>0.105</v>
      </c>
      <c r="M185" s="4">
        <v>0.105</v>
      </c>
      <c r="N185" s="4">
        <v>0.105</v>
      </c>
      <c r="O185" s="4">
        <v>0.105</v>
      </c>
      <c r="P185" s="4">
        <v>0</v>
      </c>
      <c r="Q185" s="3" t="s">
        <v>26</v>
      </c>
      <c r="R185" s="3">
        <v>0</v>
      </c>
      <c r="S185" s="4">
        <v>0</v>
      </c>
      <c r="T185" s="4">
        <v>28</v>
      </c>
      <c r="U185" s="4">
        <v>43</v>
      </c>
      <c r="V185" s="4">
        <f>IF(ISERROR(VLOOKUP($S$185,'TAR FIN'!$A$1:$O$85,15,0)),0,VLOOKUP($S$185,'TAR FIN'!$A$1:$O$85,15,0))</f>
        <v>0</v>
      </c>
      <c r="W185" s="4">
        <f>IF(ISERROR(VLOOKUP($T$185,'TAR FIN'!$A$1:$O$85,15,0)),0,VLOOKUP($T$185,'TAR FIN'!$A$1:$O$85,15,0))</f>
        <v>1197.26</v>
      </c>
      <c r="X185" s="4">
        <f>IF(ISERROR(VLOOKUP($U$185,'TAR FIN'!$A$1:$O$85,15,0)),0,VLOOKUP($U$185,'TAR FIN'!$A$1:$O$85,15,0))</f>
        <v>231.33</v>
      </c>
      <c r="Y185" s="4"/>
      <c r="Z185" s="4">
        <f ca="1">('TUSD BE'!$AM$18+'TUSD BF'!$AM$18+'TUSD CVA'!$AM$18)*1</f>
        <v>1456.1555594214124</v>
      </c>
      <c r="AA185" s="4">
        <f>('TE BE'!$AA$9+'TE BF'!$AA$9+'TE CVA'!$AA$9)*1</f>
        <v>260.80314197522284</v>
      </c>
      <c r="AB185" s="4">
        <f>$K$185*$V$185</f>
        <v>0</v>
      </c>
      <c r="AC185" s="4">
        <f>$M$185*$W$185</f>
        <v>125.7123</v>
      </c>
      <c r="AD185" s="4">
        <f>$O$185*$X$185</f>
        <v>24.289650000000002</v>
      </c>
      <c r="AE185" s="4">
        <f>$K$185*$Y$185</f>
        <v>0</v>
      </c>
      <c r="AF185" s="4">
        <f ca="1">$M$185*$Z$185</f>
        <v>152.89633373924829</v>
      </c>
      <c r="AG185" s="4">
        <f>$O$185*$AA$185</f>
        <v>27.384329907398399</v>
      </c>
    </row>
    <row r="186" spans="1:33" ht="11.25" customHeight="1" x14ac:dyDescent="0.25">
      <c r="A186" s="3" t="s">
        <v>21</v>
      </c>
      <c r="B186" s="3" t="s">
        <v>22</v>
      </c>
      <c r="C186" s="3" t="s">
        <v>37</v>
      </c>
      <c r="D186" s="3" t="s">
        <v>24</v>
      </c>
      <c r="E186" s="3" t="s">
        <v>24</v>
      </c>
      <c r="F186" s="3" t="s">
        <v>25</v>
      </c>
      <c r="G186" s="3" t="s">
        <v>25</v>
      </c>
      <c r="H186" s="3" t="s">
        <v>38</v>
      </c>
      <c r="I186" s="6">
        <v>44348</v>
      </c>
      <c r="J186" s="4">
        <v>0</v>
      </c>
      <c r="K186" s="4">
        <v>0</v>
      </c>
      <c r="L186" s="4">
        <v>9.6000000000000002E-2</v>
      </c>
      <c r="M186" s="4">
        <v>9.6000000000000002E-2</v>
      </c>
      <c r="N186" s="4">
        <v>9.6000000000000002E-2</v>
      </c>
      <c r="O186" s="4">
        <v>9.6000000000000002E-2</v>
      </c>
      <c r="P186" s="4">
        <v>0</v>
      </c>
      <c r="Q186" s="3" t="s">
        <v>26</v>
      </c>
      <c r="R186" s="3">
        <v>0</v>
      </c>
      <c r="S186" s="4">
        <v>0</v>
      </c>
      <c r="T186" s="4">
        <v>28</v>
      </c>
      <c r="U186" s="4">
        <v>43</v>
      </c>
      <c r="V186" s="4">
        <f>IF(ISERROR(VLOOKUP($S$186,'TAR FIN'!$A$1:$O$85,15,0)),0,VLOOKUP($S$186,'TAR FIN'!$A$1:$O$85,15,0))</f>
        <v>0</v>
      </c>
      <c r="W186" s="4">
        <f>IF(ISERROR(VLOOKUP($T$186,'TAR FIN'!$A$1:$O$85,15,0)),0,VLOOKUP($T$186,'TAR FIN'!$A$1:$O$85,15,0))</f>
        <v>1197.26</v>
      </c>
      <c r="X186" s="4">
        <f>IF(ISERROR(VLOOKUP($U$186,'TAR FIN'!$A$1:$O$85,15,0)),0,VLOOKUP($U$186,'TAR FIN'!$A$1:$O$85,15,0))</f>
        <v>231.33</v>
      </c>
      <c r="Y186" s="4"/>
      <c r="Z186" s="4">
        <f ca="1">('TUSD BE'!$AM$18+'TUSD BF'!$AM$18+'TUSD CVA'!$AM$18)*1</f>
        <v>1456.1555594214124</v>
      </c>
      <c r="AA186" s="4">
        <f>('TE BE'!$AA$9+'TE BF'!$AA$9+'TE CVA'!$AA$9)*1</f>
        <v>260.80314197522284</v>
      </c>
      <c r="AB186" s="4">
        <f>$K$186*$V$186</f>
        <v>0</v>
      </c>
      <c r="AC186" s="4">
        <f>$M$186*$W$186</f>
        <v>114.93696</v>
      </c>
      <c r="AD186" s="4">
        <f>$O$186*$X$186</f>
        <v>22.207680000000003</v>
      </c>
      <c r="AE186" s="4">
        <f>$K$186*$Y$186</f>
        <v>0</v>
      </c>
      <c r="AF186" s="4">
        <f ca="1">$M$186*$Z$186</f>
        <v>139.7909337044556</v>
      </c>
      <c r="AG186" s="4">
        <f>$O$186*$AA$186</f>
        <v>25.037101629621393</v>
      </c>
    </row>
    <row r="187" spans="1:33" ht="11.25" customHeight="1" x14ac:dyDescent="0.25">
      <c r="A187" s="3" t="s">
        <v>21</v>
      </c>
      <c r="B187" s="3" t="s">
        <v>22</v>
      </c>
      <c r="C187" s="3" t="s">
        <v>37</v>
      </c>
      <c r="D187" s="3" t="s">
        <v>24</v>
      </c>
      <c r="E187" s="3" t="s">
        <v>24</v>
      </c>
      <c r="F187" s="3" t="s">
        <v>25</v>
      </c>
      <c r="G187" s="3" t="s">
        <v>25</v>
      </c>
      <c r="H187" s="3" t="s">
        <v>38</v>
      </c>
      <c r="I187" s="6">
        <v>44378</v>
      </c>
      <c r="J187" s="4">
        <v>0</v>
      </c>
      <c r="K187" s="4">
        <v>0</v>
      </c>
      <c r="L187" s="4">
        <v>0.107</v>
      </c>
      <c r="M187" s="4">
        <v>0.107</v>
      </c>
      <c r="N187" s="4">
        <v>0.107</v>
      </c>
      <c r="O187" s="4">
        <v>0.107</v>
      </c>
      <c r="P187" s="4">
        <v>0</v>
      </c>
      <c r="Q187" s="3" t="s">
        <v>26</v>
      </c>
      <c r="R187" s="3">
        <v>0</v>
      </c>
      <c r="S187" s="4">
        <v>0</v>
      </c>
      <c r="T187" s="4">
        <v>28</v>
      </c>
      <c r="U187" s="4">
        <v>43</v>
      </c>
      <c r="V187" s="4">
        <f>IF(ISERROR(VLOOKUP($S$187,'TAR FIN'!$A$1:$O$85,15,0)),0,VLOOKUP($S$187,'TAR FIN'!$A$1:$O$85,15,0))</f>
        <v>0</v>
      </c>
      <c r="W187" s="4">
        <f>IF(ISERROR(VLOOKUP($T$187,'TAR FIN'!$A$1:$O$85,15,0)),0,VLOOKUP($T$187,'TAR FIN'!$A$1:$O$85,15,0))</f>
        <v>1197.26</v>
      </c>
      <c r="X187" s="4">
        <f>IF(ISERROR(VLOOKUP($U$187,'TAR FIN'!$A$1:$O$85,15,0)),0,VLOOKUP($U$187,'TAR FIN'!$A$1:$O$85,15,0))</f>
        <v>231.33</v>
      </c>
      <c r="Y187" s="4"/>
      <c r="Z187" s="4">
        <f ca="1">('TUSD BE'!$AM$18+'TUSD BF'!$AM$18+'TUSD CVA'!$AM$18)*1</f>
        <v>1456.1555594214124</v>
      </c>
      <c r="AA187" s="4">
        <f>('TE BE'!$AA$9+'TE BF'!$AA$9+'TE CVA'!$AA$9)*1</f>
        <v>260.80314197522284</v>
      </c>
      <c r="AB187" s="4">
        <f>$K$187*$V$187</f>
        <v>0</v>
      </c>
      <c r="AC187" s="4">
        <f>$M$187*$W$187</f>
        <v>128.10682</v>
      </c>
      <c r="AD187" s="4">
        <f>$O$187*$X$187</f>
        <v>24.752310000000001</v>
      </c>
      <c r="AE187" s="4">
        <f>$K$187*$Y$187</f>
        <v>0</v>
      </c>
      <c r="AF187" s="4">
        <f ca="1">$M$187*$Z$187</f>
        <v>155.80864485809113</v>
      </c>
      <c r="AG187" s="4">
        <f>$O$187*$AA$187</f>
        <v>27.905936191348843</v>
      </c>
    </row>
    <row r="188" spans="1:33" ht="11.25" customHeight="1" x14ac:dyDescent="0.25">
      <c r="A188" s="3" t="s">
        <v>21</v>
      </c>
      <c r="B188" s="3" t="s">
        <v>22</v>
      </c>
      <c r="C188" s="3" t="s">
        <v>37</v>
      </c>
      <c r="D188" s="3" t="s">
        <v>24</v>
      </c>
      <c r="E188" s="3" t="s">
        <v>24</v>
      </c>
      <c r="F188" s="3" t="s">
        <v>25</v>
      </c>
      <c r="G188" s="3" t="s">
        <v>25</v>
      </c>
      <c r="H188" s="3" t="s">
        <v>38</v>
      </c>
      <c r="I188" s="6">
        <v>44409</v>
      </c>
      <c r="J188" s="4">
        <v>0</v>
      </c>
      <c r="K188" s="4">
        <v>0</v>
      </c>
      <c r="L188" s="4">
        <v>9.4E-2</v>
      </c>
      <c r="M188" s="4">
        <v>9.4E-2</v>
      </c>
      <c r="N188" s="4">
        <v>9.4E-2</v>
      </c>
      <c r="O188" s="4">
        <v>9.4E-2</v>
      </c>
      <c r="P188" s="4">
        <v>0</v>
      </c>
      <c r="Q188" s="3" t="s">
        <v>26</v>
      </c>
      <c r="R188" s="3">
        <v>0</v>
      </c>
      <c r="S188" s="4">
        <v>0</v>
      </c>
      <c r="T188" s="4">
        <v>28</v>
      </c>
      <c r="U188" s="4">
        <v>43</v>
      </c>
      <c r="V188" s="4">
        <f>IF(ISERROR(VLOOKUP($S$188,'TAR FIN'!$A$1:$O$85,15,0)),0,VLOOKUP($S$188,'TAR FIN'!$A$1:$O$85,15,0))</f>
        <v>0</v>
      </c>
      <c r="W188" s="4">
        <f>IF(ISERROR(VLOOKUP($T$188,'TAR FIN'!$A$1:$O$85,15,0)),0,VLOOKUP($T$188,'TAR FIN'!$A$1:$O$85,15,0))</f>
        <v>1197.26</v>
      </c>
      <c r="X188" s="4">
        <f>IF(ISERROR(VLOOKUP($U$188,'TAR FIN'!$A$1:$O$85,15,0)),0,VLOOKUP($U$188,'TAR FIN'!$A$1:$O$85,15,0))</f>
        <v>231.33</v>
      </c>
      <c r="Y188" s="4"/>
      <c r="Z188" s="4">
        <f ca="1">('TUSD BE'!$AM$18+'TUSD BF'!$AM$18+'TUSD CVA'!$AM$18)*1</f>
        <v>1456.1555594214124</v>
      </c>
      <c r="AA188" s="4">
        <f>('TE BE'!$AA$9+'TE BF'!$AA$9+'TE CVA'!$AA$9)*1</f>
        <v>260.80314197522284</v>
      </c>
      <c r="AB188" s="4">
        <f>$K$188*$V$188</f>
        <v>0</v>
      </c>
      <c r="AC188" s="4">
        <f>$M$188*$W$188</f>
        <v>112.54244</v>
      </c>
      <c r="AD188" s="4">
        <f>$O$188*$X$188</f>
        <v>21.74502</v>
      </c>
      <c r="AE188" s="4">
        <f>$K$188*$Y$188</f>
        <v>0</v>
      </c>
      <c r="AF188" s="4">
        <f ca="1">$M$188*$Z$188</f>
        <v>136.87862258561276</v>
      </c>
      <c r="AG188" s="4">
        <f>$O$188*$AA$188</f>
        <v>24.515495345670946</v>
      </c>
    </row>
    <row r="189" spans="1:33" ht="11.25" customHeight="1" x14ac:dyDescent="0.25">
      <c r="A189" s="3" t="s">
        <v>21</v>
      </c>
      <c r="B189" s="3" t="s">
        <v>22</v>
      </c>
      <c r="C189" s="3" t="s">
        <v>37</v>
      </c>
      <c r="D189" s="3" t="s">
        <v>24</v>
      </c>
      <c r="E189" s="3" t="s">
        <v>24</v>
      </c>
      <c r="F189" s="3" t="s">
        <v>25</v>
      </c>
      <c r="G189" s="3" t="s">
        <v>25</v>
      </c>
      <c r="H189" s="3" t="s">
        <v>38</v>
      </c>
      <c r="I189" s="6">
        <v>44440</v>
      </c>
      <c r="J189" s="4">
        <v>0</v>
      </c>
      <c r="K189" s="4">
        <v>0</v>
      </c>
      <c r="L189" s="4">
        <v>0.11</v>
      </c>
      <c r="M189" s="4">
        <v>0.11</v>
      </c>
      <c r="N189" s="4">
        <v>0.11</v>
      </c>
      <c r="O189" s="4">
        <v>0.11</v>
      </c>
      <c r="P189" s="4">
        <v>0</v>
      </c>
      <c r="Q189" s="3" t="s">
        <v>26</v>
      </c>
      <c r="R189" s="3">
        <v>0</v>
      </c>
      <c r="S189" s="4">
        <v>0</v>
      </c>
      <c r="T189" s="4">
        <v>28</v>
      </c>
      <c r="U189" s="4">
        <v>43</v>
      </c>
      <c r="V189" s="4">
        <f>IF(ISERROR(VLOOKUP($S$189,'TAR FIN'!$A$1:$O$85,15,0)),0,VLOOKUP($S$189,'TAR FIN'!$A$1:$O$85,15,0))</f>
        <v>0</v>
      </c>
      <c r="W189" s="4">
        <f>IF(ISERROR(VLOOKUP($T$189,'TAR FIN'!$A$1:$O$85,15,0)),0,VLOOKUP($T$189,'TAR FIN'!$A$1:$O$85,15,0))</f>
        <v>1197.26</v>
      </c>
      <c r="X189" s="4">
        <f>IF(ISERROR(VLOOKUP($U$189,'TAR FIN'!$A$1:$O$85,15,0)),0,VLOOKUP($U$189,'TAR FIN'!$A$1:$O$85,15,0))</f>
        <v>231.33</v>
      </c>
      <c r="Y189" s="4"/>
      <c r="Z189" s="4">
        <f ca="1">('TUSD BE'!$AM$18+'TUSD BF'!$AM$18+'TUSD CVA'!$AM$18)*1</f>
        <v>1456.1555594214124</v>
      </c>
      <c r="AA189" s="4">
        <f>('TE BE'!$AA$9+'TE BF'!$AA$9+'TE CVA'!$AA$9)*1</f>
        <v>260.80314197522284</v>
      </c>
      <c r="AB189" s="4">
        <f>$K$189*$V$189</f>
        <v>0</v>
      </c>
      <c r="AC189" s="4">
        <f>$M$189*$W$189</f>
        <v>131.6986</v>
      </c>
      <c r="AD189" s="4">
        <f>$O$189*$X$189</f>
        <v>25.446300000000001</v>
      </c>
      <c r="AE189" s="4">
        <f>$K$189*$Y$189</f>
        <v>0</v>
      </c>
      <c r="AF189" s="4">
        <f ca="1">$M$189*$Z$189</f>
        <v>160.17711153635537</v>
      </c>
      <c r="AG189" s="4">
        <f>$O$189*$AA$189</f>
        <v>28.688345617274514</v>
      </c>
    </row>
    <row r="190" spans="1:33" ht="11.25" customHeight="1" x14ac:dyDescent="0.25">
      <c r="A190" s="3" t="s">
        <v>21</v>
      </c>
      <c r="B190" s="3" t="s">
        <v>22</v>
      </c>
      <c r="C190" s="3" t="s">
        <v>37</v>
      </c>
      <c r="D190" s="3" t="s">
        <v>24</v>
      </c>
      <c r="E190" s="3" t="s">
        <v>24</v>
      </c>
      <c r="F190" s="3" t="s">
        <v>25</v>
      </c>
      <c r="G190" s="3" t="s">
        <v>25</v>
      </c>
      <c r="H190" s="3" t="s">
        <v>38</v>
      </c>
      <c r="I190" s="6">
        <v>44470</v>
      </c>
      <c r="J190" s="4">
        <v>0</v>
      </c>
      <c r="K190" s="4">
        <v>0</v>
      </c>
      <c r="L190" s="4">
        <v>8.6999999999999994E-2</v>
      </c>
      <c r="M190" s="4">
        <v>8.6999999999999994E-2</v>
      </c>
      <c r="N190" s="4">
        <v>8.6999999999999994E-2</v>
      </c>
      <c r="O190" s="4">
        <v>8.6999999999999994E-2</v>
      </c>
      <c r="P190" s="4">
        <v>0</v>
      </c>
      <c r="Q190" s="3" t="s">
        <v>26</v>
      </c>
      <c r="R190" s="3">
        <v>0</v>
      </c>
      <c r="S190" s="4">
        <v>0</v>
      </c>
      <c r="T190" s="4">
        <v>28</v>
      </c>
      <c r="U190" s="4">
        <v>43</v>
      </c>
      <c r="V190" s="4">
        <f>IF(ISERROR(VLOOKUP($S$190,'TAR FIN'!$A$1:$O$85,15,0)),0,VLOOKUP($S$190,'TAR FIN'!$A$1:$O$85,15,0))</f>
        <v>0</v>
      </c>
      <c r="W190" s="4">
        <f>IF(ISERROR(VLOOKUP($T$190,'TAR FIN'!$A$1:$O$85,15,0)),0,VLOOKUP($T$190,'TAR FIN'!$A$1:$O$85,15,0))</f>
        <v>1197.26</v>
      </c>
      <c r="X190" s="4">
        <f>IF(ISERROR(VLOOKUP($U$190,'TAR FIN'!$A$1:$O$85,15,0)),0,VLOOKUP($U$190,'TAR FIN'!$A$1:$O$85,15,0))</f>
        <v>231.33</v>
      </c>
      <c r="Y190" s="4"/>
      <c r="Z190" s="4">
        <f ca="1">('TUSD BE'!$AM$18+'TUSD BF'!$AM$18+'TUSD CVA'!$AM$18)*1</f>
        <v>1456.1555594214124</v>
      </c>
      <c r="AA190" s="4">
        <f>('TE BE'!$AA$9+'TE BF'!$AA$9+'TE CVA'!$AA$9)*1</f>
        <v>260.80314197522284</v>
      </c>
      <c r="AB190" s="4">
        <f>$K$190*$V$190</f>
        <v>0</v>
      </c>
      <c r="AC190" s="4">
        <f>$M$190*$W$190</f>
        <v>104.16161999999998</v>
      </c>
      <c r="AD190" s="4">
        <f>$O$190*$X$190</f>
        <v>20.125709999999998</v>
      </c>
      <c r="AE190" s="4">
        <f>$K$190*$Y$190</f>
        <v>0</v>
      </c>
      <c r="AF190" s="4">
        <f ca="1">$M$190*$Z$190</f>
        <v>126.68553366966286</v>
      </c>
      <c r="AG190" s="4">
        <f>$O$190*$AA$190</f>
        <v>22.689873351844387</v>
      </c>
    </row>
    <row r="191" spans="1:33" ht="11.25" customHeight="1" x14ac:dyDescent="0.25">
      <c r="A191" s="3" t="s">
        <v>21</v>
      </c>
      <c r="B191" s="3" t="s">
        <v>22</v>
      </c>
      <c r="C191" s="3" t="s">
        <v>37</v>
      </c>
      <c r="D191" s="3" t="s">
        <v>24</v>
      </c>
      <c r="E191" s="3" t="s">
        <v>24</v>
      </c>
      <c r="F191" s="3" t="s">
        <v>25</v>
      </c>
      <c r="G191" s="3" t="s">
        <v>25</v>
      </c>
      <c r="H191" s="3" t="s">
        <v>38</v>
      </c>
      <c r="I191" s="6">
        <v>44501</v>
      </c>
      <c r="J191" s="4">
        <v>0</v>
      </c>
      <c r="K191" s="4">
        <v>0</v>
      </c>
      <c r="L191" s="4">
        <v>0.123</v>
      </c>
      <c r="M191" s="4">
        <v>0.123</v>
      </c>
      <c r="N191" s="4">
        <v>0.123</v>
      </c>
      <c r="O191" s="4">
        <v>0.123</v>
      </c>
      <c r="P191" s="4">
        <v>0</v>
      </c>
      <c r="Q191" s="3" t="s">
        <v>26</v>
      </c>
      <c r="R191" s="3">
        <v>0</v>
      </c>
      <c r="S191" s="4">
        <v>0</v>
      </c>
      <c r="T191" s="4">
        <v>28</v>
      </c>
      <c r="U191" s="4">
        <v>43</v>
      </c>
      <c r="V191" s="4">
        <f>IF(ISERROR(VLOOKUP($S$191,'TAR FIN'!$A$1:$O$85,15,0)),0,VLOOKUP($S$191,'TAR FIN'!$A$1:$O$85,15,0))</f>
        <v>0</v>
      </c>
      <c r="W191" s="4">
        <f>IF(ISERROR(VLOOKUP($T$191,'TAR FIN'!$A$1:$O$85,15,0)),0,VLOOKUP($T$191,'TAR FIN'!$A$1:$O$85,15,0))</f>
        <v>1197.26</v>
      </c>
      <c r="X191" s="4">
        <f>IF(ISERROR(VLOOKUP($U$191,'TAR FIN'!$A$1:$O$85,15,0)),0,VLOOKUP($U$191,'TAR FIN'!$A$1:$O$85,15,0))</f>
        <v>231.33</v>
      </c>
      <c r="Y191" s="4"/>
      <c r="Z191" s="4">
        <f ca="1">('TUSD BE'!$AM$18+'TUSD BF'!$AM$18+'TUSD CVA'!$AM$18)*1</f>
        <v>1456.1555594214124</v>
      </c>
      <c r="AA191" s="4">
        <f>('TE BE'!$AA$9+'TE BF'!$AA$9+'TE CVA'!$AA$9)*1</f>
        <v>260.80314197522284</v>
      </c>
      <c r="AB191" s="4">
        <f>$K$191*$V$191</f>
        <v>0</v>
      </c>
      <c r="AC191" s="4">
        <f>$M$191*$W$191</f>
        <v>147.26298</v>
      </c>
      <c r="AD191" s="4">
        <f>$O$191*$X$191</f>
        <v>28.453590000000002</v>
      </c>
      <c r="AE191" s="4">
        <f>$K$191*$Y$191</f>
        <v>0</v>
      </c>
      <c r="AF191" s="4">
        <f ca="1">$M$191*$Z$191</f>
        <v>179.10713380883371</v>
      </c>
      <c r="AG191" s="4">
        <f>$O$191*$AA$191</f>
        <v>32.078786462952408</v>
      </c>
    </row>
    <row r="192" spans="1:33" ht="11.25" customHeight="1" x14ac:dyDescent="0.25">
      <c r="A192" s="3" t="s">
        <v>21</v>
      </c>
      <c r="B192" s="3" t="s">
        <v>22</v>
      </c>
      <c r="C192" s="3" t="s">
        <v>37</v>
      </c>
      <c r="D192" s="3" t="s">
        <v>24</v>
      </c>
      <c r="E192" s="3" t="s">
        <v>24</v>
      </c>
      <c r="F192" s="3" t="s">
        <v>25</v>
      </c>
      <c r="G192" s="3" t="s">
        <v>25</v>
      </c>
      <c r="H192" s="3" t="s">
        <v>38</v>
      </c>
      <c r="I192" s="6">
        <v>44531</v>
      </c>
      <c r="J192" s="4">
        <v>0</v>
      </c>
      <c r="K192" s="4">
        <v>0</v>
      </c>
      <c r="L192" s="4">
        <v>7.5999999999999998E-2</v>
      </c>
      <c r="M192" s="4">
        <v>7.5999999999999998E-2</v>
      </c>
      <c r="N192" s="4">
        <v>7.5999999999999998E-2</v>
      </c>
      <c r="O192" s="4">
        <v>7.5999999999999998E-2</v>
      </c>
      <c r="P192" s="4">
        <v>0</v>
      </c>
      <c r="Q192" s="3" t="s">
        <v>26</v>
      </c>
      <c r="R192" s="3">
        <v>0</v>
      </c>
      <c r="S192" s="4">
        <v>0</v>
      </c>
      <c r="T192" s="4">
        <v>28</v>
      </c>
      <c r="U192" s="4">
        <v>43</v>
      </c>
      <c r="V192" s="4">
        <f>IF(ISERROR(VLOOKUP($S$192,'TAR FIN'!$A$1:$O$85,15,0)),0,VLOOKUP($S$192,'TAR FIN'!$A$1:$O$85,15,0))</f>
        <v>0</v>
      </c>
      <c r="W192" s="4">
        <f>IF(ISERROR(VLOOKUP($T$192,'TAR FIN'!$A$1:$O$85,15,0)),0,VLOOKUP($T$192,'TAR FIN'!$A$1:$O$85,15,0))</f>
        <v>1197.26</v>
      </c>
      <c r="X192" s="4">
        <f>IF(ISERROR(VLOOKUP($U$192,'TAR FIN'!$A$1:$O$85,15,0)),0,VLOOKUP($U$192,'TAR FIN'!$A$1:$O$85,15,0))</f>
        <v>231.33</v>
      </c>
      <c r="Y192" s="4"/>
      <c r="Z192" s="4">
        <f ca="1">('TUSD BE'!$AM$18+'TUSD BF'!$AM$18+'TUSD CVA'!$AM$18)*1</f>
        <v>1456.1555594214124</v>
      </c>
      <c r="AA192" s="4">
        <f>('TE BE'!$AA$9+'TE BF'!$AA$9+'TE CVA'!$AA$9)*1</f>
        <v>260.80314197522284</v>
      </c>
      <c r="AB192" s="4">
        <f>$K$192*$V$192</f>
        <v>0</v>
      </c>
      <c r="AC192" s="4">
        <f>$M$192*$W$192</f>
        <v>90.991759999999999</v>
      </c>
      <c r="AD192" s="4">
        <f>$O$192*$X$192</f>
        <v>17.58108</v>
      </c>
      <c r="AE192" s="4">
        <f>$K$192*$Y$192</f>
        <v>0</v>
      </c>
      <c r="AF192" s="4">
        <f ca="1">$M$192*$Z$192</f>
        <v>110.66782251602734</v>
      </c>
      <c r="AG192" s="4">
        <f>$O$192*$AA$192</f>
        <v>19.821038790116937</v>
      </c>
    </row>
    <row r="193" spans="1:33" ht="11.25" customHeight="1" x14ac:dyDescent="0.25">
      <c r="A193" s="3" t="s">
        <v>28</v>
      </c>
      <c r="B193" s="3" t="s">
        <v>22</v>
      </c>
      <c r="C193" s="3" t="s">
        <v>37</v>
      </c>
      <c r="D193" s="3" t="s">
        <v>24</v>
      </c>
      <c r="E193" s="3" t="s">
        <v>24</v>
      </c>
      <c r="F193" s="3" t="s">
        <v>25</v>
      </c>
      <c r="G193" s="3" t="s">
        <v>25</v>
      </c>
      <c r="H193" s="3" t="s">
        <v>38</v>
      </c>
      <c r="I193" s="6">
        <v>44531</v>
      </c>
      <c r="J193" s="4">
        <v>0</v>
      </c>
      <c r="K193" s="4">
        <v>0</v>
      </c>
      <c r="L193" s="4">
        <v>3.1E-2</v>
      </c>
      <c r="M193" s="4">
        <v>3.1E-2</v>
      </c>
      <c r="N193" s="4">
        <v>3.1E-2</v>
      </c>
      <c r="O193" s="4">
        <v>3.1E-2</v>
      </c>
      <c r="P193" s="4">
        <v>0</v>
      </c>
      <c r="Q193" s="3" t="s">
        <v>26</v>
      </c>
      <c r="R193" s="3">
        <v>0</v>
      </c>
      <c r="S193" s="4">
        <v>0</v>
      </c>
      <c r="T193" s="4">
        <v>28</v>
      </c>
      <c r="U193" s="4">
        <v>43</v>
      </c>
      <c r="V193" s="4">
        <f>IF(ISERROR(VLOOKUP($S$193,'TAR FIN'!$A$1:$O$85,15,0)),0,VLOOKUP($S$193,'TAR FIN'!$A$1:$O$85,15,0))</f>
        <v>0</v>
      </c>
      <c r="W193" s="4">
        <f>IF(ISERROR(VLOOKUP($T$193,'TAR FIN'!$A$1:$O$85,15,0)),0,VLOOKUP($T$193,'TAR FIN'!$A$1:$O$85,15,0))</f>
        <v>1197.26</v>
      </c>
      <c r="X193" s="4">
        <f>IF(ISERROR(VLOOKUP($U$193,'TAR FIN'!$A$1:$O$85,15,0)),0,VLOOKUP($U$193,'TAR FIN'!$A$1:$O$85,15,0))</f>
        <v>231.33</v>
      </c>
      <c r="Y193" s="4"/>
      <c r="Z193" s="4">
        <f ca="1">('TUSD BE'!$AM$18+'TUSD BF'!$AM$18+'TUSD CVA'!$AM$18)*1</f>
        <v>1456.1555594214124</v>
      </c>
      <c r="AA193" s="4">
        <f>('TE BE'!$AA$9+'TE BF'!$AA$9+'TE CVA'!$AA$9)*1</f>
        <v>260.80314197522284</v>
      </c>
      <c r="AB193" s="4">
        <f>$K$193*$V$193</f>
        <v>0</v>
      </c>
      <c r="AC193" s="4">
        <f>$M$193*$W$193</f>
        <v>37.11506</v>
      </c>
      <c r="AD193" s="4">
        <f>$O$193*$X$193</f>
        <v>7.1712300000000004</v>
      </c>
      <c r="AE193" s="4">
        <f>$K$193*$Y$193</f>
        <v>0</v>
      </c>
      <c r="AF193" s="4">
        <f ca="1">$M$193*$Z$193</f>
        <v>45.140822342063785</v>
      </c>
      <c r="AG193" s="4">
        <f>$O$193*$AA$193</f>
        <v>8.0848974012319079</v>
      </c>
    </row>
    <row r="194" spans="1:33" ht="11.25" customHeight="1" x14ac:dyDescent="0.25">
      <c r="A194" s="3" t="s">
        <v>21</v>
      </c>
      <c r="B194" s="3" t="s">
        <v>22</v>
      </c>
      <c r="C194" s="3" t="s">
        <v>37</v>
      </c>
      <c r="D194" s="3" t="s">
        <v>24</v>
      </c>
      <c r="E194" s="3" t="s">
        <v>24</v>
      </c>
      <c r="F194" s="3" t="s">
        <v>25</v>
      </c>
      <c r="G194" s="3" t="s">
        <v>25</v>
      </c>
      <c r="H194" s="3" t="s">
        <v>38</v>
      </c>
      <c r="I194" s="6">
        <v>44562</v>
      </c>
      <c r="J194" s="4">
        <v>0</v>
      </c>
      <c r="K194" s="4">
        <v>0</v>
      </c>
      <c r="L194" s="4">
        <v>8.5999999999999993E-2</v>
      </c>
      <c r="M194" s="4">
        <v>8.5999999999999993E-2</v>
      </c>
      <c r="N194" s="4">
        <v>8.5999999999999993E-2</v>
      </c>
      <c r="O194" s="4">
        <v>8.5999999999999993E-2</v>
      </c>
      <c r="P194" s="4">
        <v>0</v>
      </c>
      <c r="Q194" s="3" t="s">
        <v>26</v>
      </c>
      <c r="R194" s="3">
        <v>0</v>
      </c>
      <c r="S194" s="4">
        <v>0</v>
      </c>
      <c r="T194" s="4">
        <v>28</v>
      </c>
      <c r="U194" s="4">
        <v>43</v>
      </c>
      <c r="V194" s="4">
        <f>IF(ISERROR(VLOOKUP($S$194,'TAR FIN'!$A$1:$O$85,15,0)),0,VLOOKUP($S$194,'TAR FIN'!$A$1:$O$85,15,0))</f>
        <v>0</v>
      </c>
      <c r="W194" s="4">
        <f>IF(ISERROR(VLOOKUP($T$194,'TAR FIN'!$A$1:$O$85,15,0)),0,VLOOKUP($T$194,'TAR FIN'!$A$1:$O$85,15,0))</f>
        <v>1197.26</v>
      </c>
      <c r="X194" s="4">
        <f>IF(ISERROR(VLOOKUP($U$194,'TAR FIN'!$A$1:$O$85,15,0)),0,VLOOKUP($U$194,'TAR FIN'!$A$1:$O$85,15,0))</f>
        <v>231.33</v>
      </c>
      <c r="Y194" s="4"/>
      <c r="Z194" s="4">
        <f ca="1">('TUSD BE'!$AM$18+'TUSD BF'!$AM$18+'TUSD CVA'!$AM$18)*1</f>
        <v>1456.1555594214124</v>
      </c>
      <c r="AA194" s="4">
        <f>('TE BE'!$AA$9+'TE BF'!$AA$9+'TE CVA'!$AA$9)*1</f>
        <v>260.80314197522284</v>
      </c>
      <c r="AB194" s="4">
        <f>$K$194*$V$194</f>
        <v>0</v>
      </c>
      <c r="AC194" s="4">
        <f>$M$194*$W$194</f>
        <v>102.96435999999999</v>
      </c>
      <c r="AD194" s="4">
        <f>$O$194*$X$194</f>
        <v>19.894379999999998</v>
      </c>
      <c r="AE194" s="4">
        <f>$K$194*$Y$194</f>
        <v>0</v>
      </c>
      <c r="AF194" s="4">
        <f ca="1">$M$194*$Z$194</f>
        <v>125.22937811024146</v>
      </c>
      <c r="AG194" s="4">
        <f>$O$194*$AA$194</f>
        <v>22.429070209869163</v>
      </c>
    </row>
    <row r="195" spans="1:33" ht="11.25" customHeight="1" x14ac:dyDescent="0.25">
      <c r="A195" s="3" t="s">
        <v>21</v>
      </c>
      <c r="B195" s="3" t="s">
        <v>22</v>
      </c>
      <c r="C195" s="3" t="s">
        <v>37</v>
      </c>
      <c r="D195" s="3" t="s">
        <v>24</v>
      </c>
      <c r="E195" s="3" t="s">
        <v>24</v>
      </c>
      <c r="F195" s="3" t="s">
        <v>25</v>
      </c>
      <c r="G195" s="3" t="s">
        <v>25</v>
      </c>
      <c r="H195" s="3" t="s">
        <v>38</v>
      </c>
      <c r="I195" s="6">
        <v>44593</v>
      </c>
      <c r="J195" s="4">
        <v>0</v>
      </c>
      <c r="K195" s="4">
        <v>0</v>
      </c>
      <c r="L195" s="4">
        <v>8.8999999999999996E-2</v>
      </c>
      <c r="M195" s="4">
        <v>8.8999999999999996E-2</v>
      </c>
      <c r="N195" s="4">
        <v>8.8999999999999996E-2</v>
      </c>
      <c r="O195" s="4">
        <v>8.8999999999999996E-2</v>
      </c>
      <c r="P195" s="4">
        <v>0</v>
      </c>
      <c r="Q195" s="3" t="s">
        <v>26</v>
      </c>
      <c r="R195" s="3">
        <v>0</v>
      </c>
      <c r="S195" s="4">
        <v>0</v>
      </c>
      <c r="T195" s="4">
        <v>28</v>
      </c>
      <c r="U195" s="4">
        <v>43</v>
      </c>
      <c r="V195" s="4">
        <f>IF(ISERROR(VLOOKUP($S$195,'TAR FIN'!$A$1:$O$85,15,0)),0,VLOOKUP($S$195,'TAR FIN'!$A$1:$O$85,15,0))</f>
        <v>0</v>
      </c>
      <c r="W195" s="4">
        <f>IF(ISERROR(VLOOKUP($T$195,'TAR FIN'!$A$1:$O$85,15,0)),0,VLOOKUP($T$195,'TAR FIN'!$A$1:$O$85,15,0))</f>
        <v>1197.26</v>
      </c>
      <c r="X195" s="4">
        <f>IF(ISERROR(VLOOKUP($U$195,'TAR FIN'!$A$1:$O$85,15,0)),0,VLOOKUP($U$195,'TAR FIN'!$A$1:$O$85,15,0))</f>
        <v>231.33</v>
      </c>
      <c r="Y195" s="4"/>
      <c r="Z195" s="4">
        <f ca="1">('TUSD BE'!$AM$18+'TUSD BF'!$AM$18+'TUSD CVA'!$AM$18)*1</f>
        <v>1456.1555594214124</v>
      </c>
      <c r="AA195" s="4">
        <f>('TE BE'!$AA$9+'TE BF'!$AA$9+'TE CVA'!$AA$9)*1</f>
        <v>260.80314197522284</v>
      </c>
      <c r="AB195" s="4">
        <f>$K$195*$V$195</f>
        <v>0</v>
      </c>
      <c r="AC195" s="4">
        <f>$M$195*$W$195</f>
        <v>106.55614</v>
      </c>
      <c r="AD195" s="4">
        <f>$O$195*$X$195</f>
        <v>20.588370000000001</v>
      </c>
      <c r="AE195" s="4">
        <f>$K$195*$Y$195</f>
        <v>0</v>
      </c>
      <c r="AF195" s="4">
        <f ca="1">$M$195*$Z$195</f>
        <v>129.59784478850568</v>
      </c>
      <c r="AG195" s="4">
        <f>$O$195*$AA$195</f>
        <v>23.211479635794831</v>
      </c>
    </row>
    <row r="196" spans="1:33" ht="11.25" customHeight="1" x14ac:dyDescent="0.25">
      <c r="A196" s="3" t="s">
        <v>21</v>
      </c>
      <c r="B196" s="3" t="s">
        <v>22</v>
      </c>
      <c r="C196" s="3" t="s">
        <v>37</v>
      </c>
      <c r="D196" s="3" t="s">
        <v>24</v>
      </c>
      <c r="E196" s="3" t="s">
        <v>24</v>
      </c>
      <c r="F196" s="3" t="s">
        <v>25</v>
      </c>
      <c r="G196" s="3" t="s">
        <v>25</v>
      </c>
      <c r="H196" s="3" t="s">
        <v>38</v>
      </c>
      <c r="I196" s="6">
        <v>44621</v>
      </c>
      <c r="J196" s="4">
        <v>0</v>
      </c>
      <c r="K196" s="4">
        <v>0</v>
      </c>
      <c r="L196" s="4">
        <v>0.1</v>
      </c>
      <c r="M196" s="4">
        <v>0.1</v>
      </c>
      <c r="N196" s="4">
        <v>0.1</v>
      </c>
      <c r="O196" s="4">
        <v>0.1</v>
      </c>
      <c r="P196" s="4">
        <v>0</v>
      </c>
      <c r="Q196" s="3" t="s">
        <v>26</v>
      </c>
      <c r="R196" s="3">
        <v>0</v>
      </c>
      <c r="S196" s="4">
        <v>0</v>
      </c>
      <c r="T196" s="4">
        <v>28</v>
      </c>
      <c r="U196" s="4">
        <v>43</v>
      </c>
      <c r="V196" s="4">
        <f>IF(ISERROR(VLOOKUP($S$196,'TAR FIN'!$A$1:$O$85,15,0)),0,VLOOKUP($S$196,'TAR FIN'!$A$1:$O$85,15,0))</f>
        <v>0</v>
      </c>
      <c r="W196" s="4">
        <f>IF(ISERROR(VLOOKUP($T$196,'TAR FIN'!$A$1:$O$85,15,0)),0,VLOOKUP($T$196,'TAR FIN'!$A$1:$O$85,15,0))</f>
        <v>1197.26</v>
      </c>
      <c r="X196" s="4">
        <f>IF(ISERROR(VLOOKUP($U$196,'TAR FIN'!$A$1:$O$85,15,0)),0,VLOOKUP($U$196,'TAR FIN'!$A$1:$O$85,15,0))</f>
        <v>231.33</v>
      </c>
      <c r="Y196" s="4"/>
      <c r="Z196" s="4">
        <f ca="1">('TUSD BE'!$AM$18+'TUSD BF'!$AM$18+'TUSD CVA'!$AM$18)*1</f>
        <v>1456.1555594214124</v>
      </c>
      <c r="AA196" s="4">
        <f>('TE BE'!$AA$9+'TE BF'!$AA$9+'TE CVA'!$AA$9)*1</f>
        <v>260.80314197522284</v>
      </c>
      <c r="AB196" s="4">
        <f>$K$196*$V$196</f>
        <v>0</v>
      </c>
      <c r="AC196" s="4">
        <f>$M$196*$W$196</f>
        <v>119.726</v>
      </c>
      <c r="AD196" s="4">
        <f>$O$196*$X$196</f>
        <v>23.133000000000003</v>
      </c>
      <c r="AE196" s="4">
        <f>$K$196*$Y$196</f>
        <v>0</v>
      </c>
      <c r="AF196" s="4">
        <f ca="1">$M$196*$Z$196</f>
        <v>145.61555594214124</v>
      </c>
      <c r="AG196" s="4">
        <f>$O$196*$AA$196</f>
        <v>26.080314197522284</v>
      </c>
    </row>
    <row r="197" spans="1:33" ht="11.25" customHeight="1" x14ac:dyDescent="0.25">
      <c r="A197" s="3" t="s">
        <v>21</v>
      </c>
      <c r="B197" s="3" t="s">
        <v>22</v>
      </c>
      <c r="C197" s="3" t="s">
        <v>37</v>
      </c>
      <c r="D197" s="3" t="s">
        <v>24</v>
      </c>
      <c r="E197" s="3" t="s">
        <v>24</v>
      </c>
      <c r="F197" s="3" t="s">
        <v>25</v>
      </c>
      <c r="G197" s="3" t="s">
        <v>25</v>
      </c>
      <c r="H197" s="3" t="s">
        <v>35</v>
      </c>
      <c r="I197" s="6">
        <v>44287</v>
      </c>
      <c r="J197" s="4">
        <v>0</v>
      </c>
      <c r="K197" s="4">
        <v>0</v>
      </c>
      <c r="L197" s="4">
        <v>0.182</v>
      </c>
      <c r="M197" s="4">
        <v>0.182</v>
      </c>
      <c r="N197" s="4">
        <v>0.182</v>
      </c>
      <c r="O197" s="4">
        <v>0.182</v>
      </c>
      <c r="P197" s="4">
        <v>0</v>
      </c>
      <c r="Q197" s="3" t="s">
        <v>26</v>
      </c>
      <c r="R197" s="3">
        <v>0</v>
      </c>
      <c r="S197" s="4">
        <v>0</v>
      </c>
      <c r="T197" s="4">
        <v>27</v>
      </c>
      <c r="U197" s="4">
        <v>42</v>
      </c>
      <c r="V197" s="4">
        <f>IF(ISERROR(VLOOKUP($S$197,'TAR FIN'!$A$1:$O$85,15,0)),0,VLOOKUP($S$197,'TAR FIN'!$A$1:$O$85,15,0))</f>
        <v>0</v>
      </c>
      <c r="W197" s="4">
        <f>IF(ISERROR(VLOOKUP($T$197,'TAR FIN'!$A$1:$O$85,15,0)),0,VLOOKUP($T$197,'TAR FIN'!$A$1:$O$85,15,0))</f>
        <v>1902.47</v>
      </c>
      <c r="X197" s="4">
        <f>IF(ISERROR(VLOOKUP($U$197,'TAR FIN'!$A$1:$O$85,15,0)),0,VLOOKUP($U$197,'TAR FIN'!$A$1:$O$85,15,0))</f>
        <v>231.33</v>
      </c>
      <c r="Y197" s="4"/>
      <c r="Z197" s="4">
        <f ca="1">('TUSD BE'!$AM$17+'TUSD BF'!$AM$17+'TUSD CVA'!$AM$17)*1</f>
        <v>2303.8395152389066</v>
      </c>
      <c r="AA197" s="4">
        <f>('TE BE'!$AA$8+'TE BF'!$AA$8+'TE CVA'!$AA$8)*1</f>
        <v>260.80314197522284</v>
      </c>
      <c r="AB197" s="4">
        <f>$K$197*$V$197</f>
        <v>0</v>
      </c>
      <c r="AC197" s="4">
        <f>$M$197*$W$197</f>
        <v>346.24953999999997</v>
      </c>
      <c r="AD197" s="4">
        <f>$O$197*$X$197</f>
        <v>42.102060000000002</v>
      </c>
      <c r="AE197" s="4">
        <f>$K$197*$Y$197</f>
        <v>0</v>
      </c>
      <c r="AF197" s="4">
        <f ca="1">$M$197*$Z$197</f>
        <v>419.29879177348101</v>
      </c>
      <c r="AG197" s="4">
        <f>$O$197*$AA$197</f>
        <v>47.466171839490556</v>
      </c>
    </row>
    <row r="198" spans="1:33" ht="11.25" customHeight="1" x14ac:dyDescent="0.25">
      <c r="A198" s="3" t="s">
        <v>21</v>
      </c>
      <c r="B198" s="3" t="s">
        <v>22</v>
      </c>
      <c r="C198" s="3" t="s">
        <v>37</v>
      </c>
      <c r="D198" s="3" t="s">
        <v>24</v>
      </c>
      <c r="E198" s="3" t="s">
        <v>24</v>
      </c>
      <c r="F198" s="3" t="s">
        <v>25</v>
      </c>
      <c r="G198" s="3" t="s">
        <v>25</v>
      </c>
      <c r="H198" s="3" t="s">
        <v>35</v>
      </c>
      <c r="I198" s="6">
        <v>44317</v>
      </c>
      <c r="J198" s="4">
        <v>0</v>
      </c>
      <c r="K198" s="4">
        <v>0</v>
      </c>
      <c r="L198" s="4">
        <v>0.16700000000000001</v>
      </c>
      <c r="M198" s="4">
        <v>0.16700000000000001</v>
      </c>
      <c r="N198" s="4">
        <v>0.16700000000000001</v>
      </c>
      <c r="O198" s="4">
        <v>0.16700000000000001</v>
      </c>
      <c r="P198" s="4">
        <v>0</v>
      </c>
      <c r="Q198" s="3" t="s">
        <v>26</v>
      </c>
      <c r="R198" s="3">
        <v>0</v>
      </c>
      <c r="S198" s="4">
        <v>0</v>
      </c>
      <c r="T198" s="4">
        <v>27</v>
      </c>
      <c r="U198" s="4">
        <v>42</v>
      </c>
      <c r="V198" s="4">
        <f>IF(ISERROR(VLOOKUP($S$198,'TAR FIN'!$A$1:$O$85,15,0)),0,VLOOKUP($S$198,'TAR FIN'!$A$1:$O$85,15,0))</f>
        <v>0</v>
      </c>
      <c r="W198" s="4">
        <f>IF(ISERROR(VLOOKUP($T$198,'TAR FIN'!$A$1:$O$85,15,0)),0,VLOOKUP($T$198,'TAR FIN'!$A$1:$O$85,15,0))</f>
        <v>1902.47</v>
      </c>
      <c r="X198" s="4">
        <f>IF(ISERROR(VLOOKUP($U$198,'TAR FIN'!$A$1:$O$85,15,0)),0,VLOOKUP($U$198,'TAR FIN'!$A$1:$O$85,15,0))</f>
        <v>231.33</v>
      </c>
      <c r="Y198" s="4"/>
      <c r="Z198" s="4">
        <f ca="1">('TUSD BE'!$AM$17+'TUSD BF'!$AM$17+'TUSD CVA'!$AM$17)*1</f>
        <v>2303.8395152389066</v>
      </c>
      <c r="AA198" s="4">
        <f>('TE BE'!$AA$8+'TE BF'!$AA$8+'TE CVA'!$AA$8)*1</f>
        <v>260.80314197522284</v>
      </c>
      <c r="AB198" s="4">
        <f>$K$198*$V$198</f>
        <v>0</v>
      </c>
      <c r="AC198" s="4">
        <f>$M$198*$W$198</f>
        <v>317.71249</v>
      </c>
      <c r="AD198" s="4">
        <f>$O$198*$X$198</f>
        <v>38.632110000000004</v>
      </c>
      <c r="AE198" s="4">
        <f>$K$198*$Y$198</f>
        <v>0</v>
      </c>
      <c r="AF198" s="4">
        <f ca="1">$M$198*$Z$198</f>
        <v>384.74119904489743</v>
      </c>
      <c r="AG198" s="4">
        <f>$O$198*$AA$198</f>
        <v>43.554124709862215</v>
      </c>
    </row>
    <row r="199" spans="1:33" ht="11.25" customHeight="1" x14ac:dyDescent="0.25">
      <c r="A199" s="3" t="s">
        <v>21</v>
      </c>
      <c r="B199" s="3" t="s">
        <v>22</v>
      </c>
      <c r="C199" s="3" t="s">
        <v>37</v>
      </c>
      <c r="D199" s="3" t="s">
        <v>24</v>
      </c>
      <c r="E199" s="3" t="s">
        <v>24</v>
      </c>
      <c r="F199" s="3" t="s">
        <v>25</v>
      </c>
      <c r="G199" s="3" t="s">
        <v>25</v>
      </c>
      <c r="H199" s="3" t="s">
        <v>35</v>
      </c>
      <c r="I199" s="6">
        <v>44348</v>
      </c>
      <c r="J199" s="4">
        <v>0</v>
      </c>
      <c r="K199" s="4">
        <v>0</v>
      </c>
      <c r="L199" s="4">
        <v>0.16700000000000001</v>
      </c>
      <c r="M199" s="4">
        <v>0.16700000000000001</v>
      </c>
      <c r="N199" s="4">
        <v>0.16700000000000001</v>
      </c>
      <c r="O199" s="4">
        <v>0.16700000000000001</v>
      </c>
      <c r="P199" s="4">
        <v>0</v>
      </c>
      <c r="Q199" s="3" t="s">
        <v>26</v>
      </c>
      <c r="R199" s="3">
        <v>0</v>
      </c>
      <c r="S199" s="4">
        <v>0</v>
      </c>
      <c r="T199" s="4">
        <v>27</v>
      </c>
      <c r="U199" s="4">
        <v>42</v>
      </c>
      <c r="V199" s="4">
        <f>IF(ISERROR(VLOOKUP($S$199,'TAR FIN'!$A$1:$O$85,15,0)),0,VLOOKUP($S$199,'TAR FIN'!$A$1:$O$85,15,0))</f>
        <v>0</v>
      </c>
      <c r="W199" s="4">
        <f>IF(ISERROR(VLOOKUP($T$199,'TAR FIN'!$A$1:$O$85,15,0)),0,VLOOKUP($T$199,'TAR FIN'!$A$1:$O$85,15,0))</f>
        <v>1902.47</v>
      </c>
      <c r="X199" s="4">
        <f>IF(ISERROR(VLOOKUP($U$199,'TAR FIN'!$A$1:$O$85,15,0)),0,VLOOKUP($U$199,'TAR FIN'!$A$1:$O$85,15,0))</f>
        <v>231.33</v>
      </c>
      <c r="Y199" s="4"/>
      <c r="Z199" s="4">
        <f ca="1">('TUSD BE'!$AM$17+'TUSD BF'!$AM$17+'TUSD CVA'!$AM$17)*1</f>
        <v>2303.8395152389066</v>
      </c>
      <c r="AA199" s="4">
        <f>('TE BE'!$AA$8+'TE BF'!$AA$8+'TE CVA'!$AA$8)*1</f>
        <v>260.80314197522284</v>
      </c>
      <c r="AB199" s="4">
        <f>$K$199*$V$199</f>
        <v>0</v>
      </c>
      <c r="AC199" s="4">
        <f>$M$199*$W$199</f>
        <v>317.71249</v>
      </c>
      <c r="AD199" s="4">
        <f>$O$199*$X$199</f>
        <v>38.632110000000004</v>
      </c>
      <c r="AE199" s="4">
        <f>$K$199*$Y$199</f>
        <v>0</v>
      </c>
      <c r="AF199" s="4">
        <f ca="1">$M$199*$Z$199</f>
        <v>384.74119904489743</v>
      </c>
      <c r="AG199" s="4">
        <f>$O$199*$AA$199</f>
        <v>43.554124709862215</v>
      </c>
    </row>
    <row r="200" spans="1:33" ht="11.25" customHeight="1" x14ac:dyDescent="0.25">
      <c r="A200" s="3" t="s">
        <v>21</v>
      </c>
      <c r="B200" s="3" t="s">
        <v>22</v>
      </c>
      <c r="C200" s="3" t="s">
        <v>37</v>
      </c>
      <c r="D200" s="3" t="s">
        <v>24</v>
      </c>
      <c r="E200" s="3" t="s">
        <v>24</v>
      </c>
      <c r="F200" s="3" t="s">
        <v>25</v>
      </c>
      <c r="G200" s="3" t="s">
        <v>25</v>
      </c>
      <c r="H200" s="3" t="s">
        <v>35</v>
      </c>
      <c r="I200" s="6">
        <v>44378</v>
      </c>
      <c r="J200" s="4">
        <v>0</v>
      </c>
      <c r="K200" s="4">
        <v>0</v>
      </c>
      <c r="L200" s="4">
        <v>0.154</v>
      </c>
      <c r="M200" s="4">
        <v>0.154</v>
      </c>
      <c r="N200" s="4">
        <v>0.154</v>
      </c>
      <c r="O200" s="4">
        <v>0.154</v>
      </c>
      <c r="P200" s="4">
        <v>0</v>
      </c>
      <c r="Q200" s="3" t="s">
        <v>26</v>
      </c>
      <c r="R200" s="3">
        <v>0</v>
      </c>
      <c r="S200" s="4">
        <v>0</v>
      </c>
      <c r="T200" s="4">
        <v>27</v>
      </c>
      <c r="U200" s="4">
        <v>42</v>
      </c>
      <c r="V200" s="4">
        <f>IF(ISERROR(VLOOKUP($S$200,'TAR FIN'!$A$1:$O$85,15,0)),0,VLOOKUP($S$200,'TAR FIN'!$A$1:$O$85,15,0))</f>
        <v>0</v>
      </c>
      <c r="W200" s="4">
        <f>IF(ISERROR(VLOOKUP($T$200,'TAR FIN'!$A$1:$O$85,15,0)),0,VLOOKUP($T$200,'TAR FIN'!$A$1:$O$85,15,0))</f>
        <v>1902.47</v>
      </c>
      <c r="X200" s="4">
        <f>IF(ISERROR(VLOOKUP($U$200,'TAR FIN'!$A$1:$O$85,15,0)),0,VLOOKUP($U$200,'TAR FIN'!$A$1:$O$85,15,0))</f>
        <v>231.33</v>
      </c>
      <c r="Y200" s="4"/>
      <c r="Z200" s="4">
        <f ca="1">('TUSD BE'!$AM$17+'TUSD BF'!$AM$17+'TUSD CVA'!$AM$17)*1</f>
        <v>2303.8395152389066</v>
      </c>
      <c r="AA200" s="4">
        <f>('TE BE'!$AA$8+'TE BF'!$AA$8+'TE CVA'!$AA$8)*1</f>
        <v>260.80314197522284</v>
      </c>
      <c r="AB200" s="4">
        <f>$K$200*$V$200</f>
        <v>0</v>
      </c>
      <c r="AC200" s="4">
        <f>$M$200*$W$200</f>
        <v>292.98038000000003</v>
      </c>
      <c r="AD200" s="4">
        <f>$O$200*$X$200</f>
        <v>35.62482</v>
      </c>
      <c r="AE200" s="4">
        <f>$K$200*$Y$200</f>
        <v>0</v>
      </c>
      <c r="AF200" s="4">
        <f ca="1">$M$200*$Z$200</f>
        <v>354.7912853467916</v>
      </c>
      <c r="AG200" s="4">
        <f>$O$200*$AA$200</f>
        <v>40.163683864184314</v>
      </c>
    </row>
    <row r="201" spans="1:33" ht="11.25" customHeight="1" x14ac:dyDescent="0.25">
      <c r="A201" s="3" t="s">
        <v>21</v>
      </c>
      <c r="B201" s="3" t="s">
        <v>22</v>
      </c>
      <c r="C201" s="3" t="s">
        <v>37</v>
      </c>
      <c r="D201" s="3" t="s">
        <v>24</v>
      </c>
      <c r="E201" s="3" t="s">
        <v>24</v>
      </c>
      <c r="F201" s="3" t="s">
        <v>25</v>
      </c>
      <c r="G201" s="3" t="s">
        <v>25</v>
      </c>
      <c r="H201" s="3" t="s">
        <v>35</v>
      </c>
      <c r="I201" s="6">
        <v>44409</v>
      </c>
      <c r="J201" s="4">
        <v>0</v>
      </c>
      <c r="K201" s="4">
        <v>0</v>
      </c>
      <c r="L201" s="4">
        <v>0.16200000000000001</v>
      </c>
      <c r="M201" s="4">
        <v>0.16200000000000001</v>
      </c>
      <c r="N201" s="4">
        <v>0.16200000000000001</v>
      </c>
      <c r="O201" s="4">
        <v>0.16200000000000001</v>
      </c>
      <c r="P201" s="4">
        <v>0</v>
      </c>
      <c r="Q201" s="3" t="s">
        <v>26</v>
      </c>
      <c r="R201" s="3">
        <v>0</v>
      </c>
      <c r="S201" s="4">
        <v>0</v>
      </c>
      <c r="T201" s="4">
        <v>27</v>
      </c>
      <c r="U201" s="4">
        <v>42</v>
      </c>
      <c r="V201" s="4">
        <f>IF(ISERROR(VLOOKUP($S$201,'TAR FIN'!$A$1:$O$85,15,0)),0,VLOOKUP($S$201,'TAR FIN'!$A$1:$O$85,15,0))</f>
        <v>0</v>
      </c>
      <c r="W201" s="4">
        <f>IF(ISERROR(VLOOKUP($T$201,'TAR FIN'!$A$1:$O$85,15,0)),0,VLOOKUP($T$201,'TAR FIN'!$A$1:$O$85,15,0))</f>
        <v>1902.47</v>
      </c>
      <c r="X201" s="4">
        <f>IF(ISERROR(VLOOKUP($U$201,'TAR FIN'!$A$1:$O$85,15,0)),0,VLOOKUP($U$201,'TAR FIN'!$A$1:$O$85,15,0))</f>
        <v>231.33</v>
      </c>
      <c r="Y201" s="4"/>
      <c r="Z201" s="4">
        <f ca="1">('TUSD BE'!$AM$17+'TUSD BF'!$AM$17+'TUSD CVA'!$AM$17)*1</f>
        <v>2303.8395152389066</v>
      </c>
      <c r="AA201" s="4">
        <f>('TE BE'!$AA$8+'TE BF'!$AA$8+'TE CVA'!$AA$8)*1</f>
        <v>260.80314197522284</v>
      </c>
      <c r="AB201" s="4">
        <f>$K$201*$V$201</f>
        <v>0</v>
      </c>
      <c r="AC201" s="4">
        <f>$M$201*$W$201</f>
        <v>308.20014000000003</v>
      </c>
      <c r="AD201" s="4">
        <f>$O$201*$X$201</f>
        <v>37.475460000000005</v>
      </c>
      <c r="AE201" s="4">
        <f>$K$201*$Y$201</f>
        <v>0</v>
      </c>
      <c r="AF201" s="4">
        <f ca="1">$M$201*$Z$201</f>
        <v>373.2220014687029</v>
      </c>
      <c r="AG201" s="4">
        <f>$O$201*$AA$201</f>
        <v>42.250108999986104</v>
      </c>
    </row>
    <row r="202" spans="1:33" ht="11.25" customHeight="1" x14ac:dyDescent="0.25">
      <c r="A202" s="3" t="s">
        <v>21</v>
      </c>
      <c r="B202" s="3" t="s">
        <v>22</v>
      </c>
      <c r="C202" s="3" t="s">
        <v>37</v>
      </c>
      <c r="D202" s="3" t="s">
        <v>24</v>
      </c>
      <c r="E202" s="3" t="s">
        <v>24</v>
      </c>
      <c r="F202" s="3" t="s">
        <v>25</v>
      </c>
      <c r="G202" s="3" t="s">
        <v>25</v>
      </c>
      <c r="H202" s="3" t="s">
        <v>35</v>
      </c>
      <c r="I202" s="6">
        <v>44440</v>
      </c>
      <c r="J202" s="4">
        <v>0</v>
      </c>
      <c r="K202" s="4">
        <v>0</v>
      </c>
      <c r="L202" s="4">
        <v>0.17799999999999999</v>
      </c>
      <c r="M202" s="4">
        <v>0.17799999999999999</v>
      </c>
      <c r="N202" s="4">
        <v>0.17799999999999999</v>
      </c>
      <c r="O202" s="4">
        <v>0.17799999999999999</v>
      </c>
      <c r="P202" s="4">
        <v>0</v>
      </c>
      <c r="Q202" s="3" t="s">
        <v>26</v>
      </c>
      <c r="R202" s="3">
        <v>0</v>
      </c>
      <c r="S202" s="4">
        <v>0</v>
      </c>
      <c r="T202" s="4">
        <v>27</v>
      </c>
      <c r="U202" s="4">
        <v>42</v>
      </c>
      <c r="V202" s="4">
        <f>IF(ISERROR(VLOOKUP($S$202,'TAR FIN'!$A$1:$O$85,15,0)),0,VLOOKUP($S$202,'TAR FIN'!$A$1:$O$85,15,0))</f>
        <v>0</v>
      </c>
      <c r="W202" s="4">
        <f>IF(ISERROR(VLOOKUP($T$202,'TAR FIN'!$A$1:$O$85,15,0)),0,VLOOKUP($T$202,'TAR FIN'!$A$1:$O$85,15,0))</f>
        <v>1902.47</v>
      </c>
      <c r="X202" s="4">
        <f>IF(ISERROR(VLOOKUP($U$202,'TAR FIN'!$A$1:$O$85,15,0)),0,VLOOKUP($U$202,'TAR FIN'!$A$1:$O$85,15,0))</f>
        <v>231.33</v>
      </c>
      <c r="Y202" s="4"/>
      <c r="Z202" s="4">
        <f ca="1">('TUSD BE'!$AM$17+'TUSD BF'!$AM$17+'TUSD CVA'!$AM$17)*1</f>
        <v>2303.8395152389066</v>
      </c>
      <c r="AA202" s="4">
        <f>('TE BE'!$AA$8+'TE BF'!$AA$8+'TE CVA'!$AA$8)*1</f>
        <v>260.80314197522284</v>
      </c>
      <c r="AB202" s="4">
        <f>$K$202*$V$202</f>
        <v>0</v>
      </c>
      <c r="AC202" s="4">
        <f>$M$202*$W$202</f>
        <v>338.63965999999999</v>
      </c>
      <c r="AD202" s="4">
        <f>$O$202*$X$202</f>
        <v>41.176740000000002</v>
      </c>
      <c r="AE202" s="4">
        <f>$K$202*$Y$202</f>
        <v>0</v>
      </c>
      <c r="AF202" s="4">
        <f ca="1">$M$202*$Z$202</f>
        <v>410.08343371252539</v>
      </c>
      <c r="AG202" s="4">
        <f>$O$202*$AA$202</f>
        <v>46.422959271589662</v>
      </c>
    </row>
    <row r="203" spans="1:33" ht="11.25" customHeight="1" x14ac:dyDescent="0.25">
      <c r="A203" s="3" t="s">
        <v>21</v>
      </c>
      <c r="B203" s="3" t="s">
        <v>22</v>
      </c>
      <c r="C203" s="3" t="s">
        <v>37</v>
      </c>
      <c r="D203" s="3" t="s">
        <v>24</v>
      </c>
      <c r="E203" s="3" t="s">
        <v>24</v>
      </c>
      <c r="F203" s="3" t="s">
        <v>25</v>
      </c>
      <c r="G203" s="3" t="s">
        <v>25</v>
      </c>
      <c r="H203" s="3" t="s">
        <v>35</v>
      </c>
      <c r="I203" s="6">
        <v>44470</v>
      </c>
      <c r="J203" s="4">
        <v>0</v>
      </c>
      <c r="K203" s="4">
        <v>0</v>
      </c>
      <c r="L203" s="4">
        <v>0.13500000000000001</v>
      </c>
      <c r="M203" s="4">
        <v>0.13500000000000001</v>
      </c>
      <c r="N203" s="4">
        <v>0.13500000000000001</v>
      </c>
      <c r="O203" s="4">
        <v>0.13500000000000001</v>
      </c>
      <c r="P203" s="4">
        <v>0</v>
      </c>
      <c r="Q203" s="3" t="s">
        <v>26</v>
      </c>
      <c r="R203" s="3">
        <v>0</v>
      </c>
      <c r="S203" s="4">
        <v>0</v>
      </c>
      <c r="T203" s="4">
        <v>27</v>
      </c>
      <c r="U203" s="4">
        <v>42</v>
      </c>
      <c r="V203" s="4">
        <f>IF(ISERROR(VLOOKUP($S$203,'TAR FIN'!$A$1:$O$85,15,0)),0,VLOOKUP($S$203,'TAR FIN'!$A$1:$O$85,15,0))</f>
        <v>0</v>
      </c>
      <c r="W203" s="4">
        <f>IF(ISERROR(VLOOKUP($T$203,'TAR FIN'!$A$1:$O$85,15,0)),0,VLOOKUP($T$203,'TAR FIN'!$A$1:$O$85,15,0))</f>
        <v>1902.47</v>
      </c>
      <c r="X203" s="4">
        <f>IF(ISERROR(VLOOKUP($U$203,'TAR FIN'!$A$1:$O$85,15,0)),0,VLOOKUP($U$203,'TAR FIN'!$A$1:$O$85,15,0))</f>
        <v>231.33</v>
      </c>
      <c r="Y203" s="4"/>
      <c r="Z203" s="4">
        <f ca="1">('TUSD BE'!$AM$17+'TUSD BF'!$AM$17+'TUSD CVA'!$AM$17)*1</f>
        <v>2303.8395152389066</v>
      </c>
      <c r="AA203" s="4">
        <f>('TE BE'!$AA$8+'TE BF'!$AA$8+'TE CVA'!$AA$8)*1</f>
        <v>260.80314197522284</v>
      </c>
      <c r="AB203" s="4">
        <f>$K$203*$V$203</f>
        <v>0</v>
      </c>
      <c r="AC203" s="4">
        <f>$M$203*$W$203</f>
        <v>256.83345000000003</v>
      </c>
      <c r="AD203" s="4">
        <f>$O$203*$X$203</f>
        <v>31.229550000000003</v>
      </c>
      <c r="AE203" s="4">
        <f>$K$203*$Y$203</f>
        <v>0</v>
      </c>
      <c r="AF203" s="4">
        <f ca="1">$M$203*$Z$203</f>
        <v>311.01833455725244</v>
      </c>
      <c r="AG203" s="4">
        <f>$O$203*$AA$203</f>
        <v>35.208424166655085</v>
      </c>
    </row>
    <row r="204" spans="1:33" ht="11.25" customHeight="1" x14ac:dyDescent="0.25">
      <c r="A204" s="3" t="s">
        <v>21</v>
      </c>
      <c r="B204" s="3" t="s">
        <v>22</v>
      </c>
      <c r="C204" s="3" t="s">
        <v>37</v>
      </c>
      <c r="D204" s="3" t="s">
        <v>24</v>
      </c>
      <c r="E204" s="3" t="s">
        <v>24</v>
      </c>
      <c r="F204" s="3" t="s">
        <v>25</v>
      </c>
      <c r="G204" s="3" t="s">
        <v>25</v>
      </c>
      <c r="H204" s="3" t="s">
        <v>35</v>
      </c>
      <c r="I204" s="6">
        <v>44501</v>
      </c>
      <c r="J204" s="4">
        <v>0</v>
      </c>
      <c r="K204" s="4">
        <v>0</v>
      </c>
      <c r="L204" s="4">
        <v>0.56299999999999994</v>
      </c>
      <c r="M204" s="4">
        <v>0.56299999999999994</v>
      </c>
      <c r="N204" s="4">
        <v>0.56299999999999994</v>
      </c>
      <c r="O204" s="4">
        <v>0.56299999999999994</v>
      </c>
      <c r="P204" s="4">
        <v>0</v>
      </c>
      <c r="Q204" s="3" t="s">
        <v>26</v>
      </c>
      <c r="R204" s="3">
        <v>0</v>
      </c>
      <c r="S204" s="4">
        <v>0</v>
      </c>
      <c r="T204" s="4">
        <v>27</v>
      </c>
      <c r="U204" s="4">
        <v>42</v>
      </c>
      <c r="V204" s="4">
        <f>IF(ISERROR(VLOOKUP($S$204,'TAR FIN'!$A$1:$O$85,15,0)),0,VLOOKUP($S$204,'TAR FIN'!$A$1:$O$85,15,0))</f>
        <v>0</v>
      </c>
      <c r="W204" s="4">
        <f>IF(ISERROR(VLOOKUP($T$204,'TAR FIN'!$A$1:$O$85,15,0)),0,VLOOKUP($T$204,'TAR FIN'!$A$1:$O$85,15,0))</f>
        <v>1902.47</v>
      </c>
      <c r="X204" s="4">
        <f>IF(ISERROR(VLOOKUP($U$204,'TAR FIN'!$A$1:$O$85,15,0)),0,VLOOKUP($U$204,'TAR FIN'!$A$1:$O$85,15,0))</f>
        <v>231.33</v>
      </c>
      <c r="Y204" s="4"/>
      <c r="Z204" s="4">
        <f ca="1">('TUSD BE'!$AM$17+'TUSD BF'!$AM$17+'TUSD CVA'!$AM$17)*1</f>
        <v>2303.8395152389066</v>
      </c>
      <c r="AA204" s="4">
        <f>('TE BE'!$AA$8+'TE BF'!$AA$8+'TE CVA'!$AA$8)*1</f>
        <v>260.80314197522284</v>
      </c>
      <c r="AB204" s="4">
        <f>$K$204*$V$204</f>
        <v>0</v>
      </c>
      <c r="AC204" s="4">
        <f>$M$204*$W$204</f>
        <v>1071.09061</v>
      </c>
      <c r="AD204" s="4">
        <f>$O$204*$X$204</f>
        <v>130.23878999999999</v>
      </c>
      <c r="AE204" s="4">
        <f>$K$204*$Y$204</f>
        <v>0</v>
      </c>
      <c r="AF204" s="4">
        <f ca="1">$M$204*$Z$204</f>
        <v>1297.0616470795044</v>
      </c>
      <c r="AG204" s="4">
        <f>$O$204*$AA$204</f>
        <v>146.83216893205045</v>
      </c>
    </row>
    <row r="205" spans="1:33" ht="11.25" customHeight="1" x14ac:dyDescent="0.25">
      <c r="A205" s="3" t="s">
        <v>21</v>
      </c>
      <c r="B205" s="3" t="s">
        <v>22</v>
      </c>
      <c r="C205" s="3" t="s">
        <v>37</v>
      </c>
      <c r="D205" s="3" t="s">
        <v>24</v>
      </c>
      <c r="E205" s="3" t="s">
        <v>24</v>
      </c>
      <c r="F205" s="3" t="s">
        <v>25</v>
      </c>
      <c r="G205" s="3" t="s">
        <v>25</v>
      </c>
      <c r="H205" s="3" t="s">
        <v>35</v>
      </c>
      <c r="I205" s="6">
        <v>44531</v>
      </c>
      <c r="J205" s="4">
        <v>0</v>
      </c>
      <c r="K205" s="4">
        <v>0</v>
      </c>
      <c r="L205" s="4">
        <v>0.115</v>
      </c>
      <c r="M205" s="4">
        <v>0.115</v>
      </c>
      <c r="N205" s="4">
        <v>0.115</v>
      </c>
      <c r="O205" s="4">
        <v>0.115</v>
      </c>
      <c r="P205" s="4">
        <v>0</v>
      </c>
      <c r="Q205" s="3" t="s">
        <v>26</v>
      </c>
      <c r="R205" s="3">
        <v>0</v>
      </c>
      <c r="S205" s="4">
        <v>0</v>
      </c>
      <c r="T205" s="4">
        <v>27</v>
      </c>
      <c r="U205" s="4">
        <v>42</v>
      </c>
      <c r="V205" s="4">
        <f>IF(ISERROR(VLOOKUP($S$205,'TAR FIN'!$A$1:$O$85,15,0)),0,VLOOKUP($S$205,'TAR FIN'!$A$1:$O$85,15,0))</f>
        <v>0</v>
      </c>
      <c r="W205" s="4">
        <f>IF(ISERROR(VLOOKUP($T$205,'TAR FIN'!$A$1:$O$85,15,0)),0,VLOOKUP($T$205,'TAR FIN'!$A$1:$O$85,15,0))</f>
        <v>1902.47</v>
      </c>
      <c r="X205" s="4">
        <f>IF(ISERROR(VLOOKUP($U$205,'TAR FIN'!$A$1:$O$85,15,0)),0,VLOOKUP($U$205,'TAR FIN'!$A$1:$O$85,15,0))</f>
        <v>231.33</v>
      </c>
      <c r="Y205" s="4"/>
      <c r="Z205" s="4">
        <f ca="1">('TUSD BE'!$AM$17+'TUSD BF'!$AM$17+'TUSD CVA'!$AM$17)*1</f>
        <v>2303.8395152389066</v>
      </c>
      <c r="AA205" s="4">
        <f>('TE BE'!$AA$8+'TE BF'!$AA$8+'TE CVA'!$AA$8)*1</f>
        <v>260.80314197522284</v>
      </c>
      <c r="AB205" s="4">
        <f>$K$205*$V$205</f>
        <v>0</v>
      </c>
      <c r="AC205" s="4">
        <f>$M$205*$W$205</f>
        <v>218.78405000000001</v>
      </c>
      <c r="AD205" s="4">
        <f>$O$205*$X$205</f>
        <v>26.602950000000003</v>
      </c>
      <c r="AE205" s="4">
        <f>$K$205*$Y$205</f>
        <v>0</v>
      </c>
      <c r="AF205" s="4">
        <f ca="1">$M$205*$Z$205</f>
        <v>264.94154425247427</v>
      </c>
      <c r="AG205" s="4">
        <f>$O$205*$AA$205</f>
        <v>29.992361327150629</v>
      </c>
    </row>
    <row r="206" spans="1:33" ht="11.25" customHeight="1" x14ac:dyDescent="0.25">
      <c r="A206" s="3" t="s">
        <v>28</v>
      </c>
      <c r="B206" s="3" t="s">
        <v>22</v>
      </c>
      <c r="C206" s="3" t="s">
        <v>37</v>
      </c>
      <c r="D206" s="3" t="s">
        <v>24</v>
      </c>
      <c r="E206" s="3" t="s">
        <v>24</v>
      </c>
      <c r="F206" s="3" t="s">
        <v>25</v>
      </c>
      <c r="G206" s="3" t="s">
        <v>25</v>
      </c>
      <c r="H206" s="3" t="s">
        <v>35</v>
      </c>
      <c r="I206" s="6">
        <v>44531</v>
      </c>
      <c r="J206" s="4">
        <v>0</v>
      </c>
      <c r="K206" s="4">
        <v>0</v>
      </c>
      <c r="L206" s="4">
        <v>4.1000000000000002E-2</v>
      </c>
      <c r="M206" s="4">
        <v>4.1000000000000002E-2</v>
      </c>
      <c r="N206" s="4">
        <v>4.1000000000000002E-2</v>
      </c>
      <c r="O206" s="4">
        <v>4.1000000000000002E-2</v>
      </c>
      <c r="P206" s="4">
        <v>0</v>
      </c>
      <c r="Q206" s="3" t="s">
        <v>26</v>
      </c>
      <c r="R206" s="3">
        <v>0</v>
      </c>
      <c r="S206" s="4">
        <v>0</v>
      </c>
      <c r="T206" s="4">
        <v>27</v>
      </c>
      <c r="U206" s="4">
        <v>42</v>
      </c>
      <c r="V206" s="4">
        <f>IF(ISERROR(VLOOKUP($S$206,'TAR FIN'!$A$1:$O$85,15,0)),0,VLOOKUP($S$206,'TAR FIN'!$A$1:$O$85,15,0))</f>
        <v>0</v>
      </c>
      <c r="W206" s="4">
        <f>IF(ISERROR(VLOOKUP($T$206,'TAR FIN'!$A$1:$O$85,15,0)),0,VLOOKUP($T$206,'TAR FIN'!$A$1:$O$85,15,0))</f>
        <v>1902.47</v>
      </c>
      <c r="X206" s="4">
        <f>IF(ISERROR(VLOOKUP($U$206,'TAR FIN'!$A$1:$O$85,15,0)),0,VLOOKUP($U$206,'TAR FIN'!$A$1:$O$85,15,0))</f>
        <v>231.33</v>
      </c>
      <c r="Y206" s="4"/>
      <c r="Z206" s="4">
        <f ca="1">('TUSD BE'!$AM$17+'TUSD BF'!$AM$17+'TUSD CVA'!$AM$17)*1</f>
        <v>2303.8395152389066</v>
      </c>
      <c r="AA206" s="4">
        <f>('TE BE'!$AA$8+'TE BF'!$AA$8+'TE CVA'!$AA$8)*1</f>
        <v>260.80314197522284</v>
      </c>
      <c r="AB206" s="4">
        <f>$K$206*$V$206</f>
        <v>0</v>
      </c>
      <c r="AC206" s="4">
        <f>$M$206*$W$206</f>
        <v>78.001270000000005</v>
      </c>
      <c r="AD206" s="4">
        <f>$O$206*$X$206</f>
        <v>9.4845300000000012</v>
      </c>
      <c r="AE206" s="4">
        <f>$K$206*$Y$206</f>
        <v>0</v>
      </c>
      <c r="AF206" s="4">
        <f ca="1">$M$206*$Z$206</f>
        <v>94.457420124795178</v>
      </c>
      <c r="AG206" s="4">
        <f>$O$206*$AA$206</f>
        <v>10.692928820984138</v>
      </c>
    </row>
    <row r="207" spans="1:33" ht="11.25" customHeight="1" x14ac:dyDescent="0.25">
      <c r="A207" s="3" t="s">
        <v>21</v>
      </c>
      <c r="B207" s="3" t="s">
        <v>22</v>
      </c>
      <c r="C207" s="3" t="s">
        <v>37</v>
      </c>
      <c r="D207" s="3" t="s">
        <v>24</v>
      </c>
      <c r="E207" s="3" t="s">
        <v>24</v>
      </c>
      <c r="F207" s="3" t="s">
        <v>25</v>
      </c>
      <c r="G207" s="3" t="s">
        <v>25</v>
      </c>
      <c r="H207" s="3" t="s">
        <v>35</v>
      </c>
      <c r="I207" s="6">
        <v>44562</v>
      </c>
      <c r="J207" s="4">
        <v>0</v>
      </c>
      <c r="K207" s="4">
        <v>0</v>
      </c>
      <c r="L207" s="4">
        <v>0.158</v>
      </c>
      <c r="M207" s="4">
        <v>0.158</v>
      </c>
      <c r="N207" s="4">
        <v>0.158</v>
      </c>
      <c r="O207" s="4">
        <v>0.158</v>
      </c>
      <c r="P207" s="4">
        <v>0</v>
      </c>
      <c r="Q207" s="3" t="s">
        <v>26</v>
      </c>
      <c r="R207" s="3">
        <v>0</v>
      </c>
      <c r="S207" s="4">
        <v>0</v>
      </c>
      <c r="T207" s="4">
        <v>27</v>
      </c>
      <c r="U207" s="4">
        <v>42</v>
      </c>
      <c r="V207" s="4">
        <f>IF(ISERROR(VLOOKUP($S$207,'TAR FIN'!$A$1:$O$85,15,0)),0,VLOOKUP($S$207,'TAR FIN'!$A$1:$O$85,15,0))</f>
        <v>0</v>
      </c>
      <c r="W207" s="4">
        <f>IF(ISERROR(VLOOKUP($T$207,'TAR FIN'!$A$1:$O$85,15,0)),0,VLOOKUP($T$207,'TAR FIN'!$A$1:$O$85,15,0))</f>
        <v>1902.47</v>
      </c>
      <c r="X207" s="4">
        <f>IF(ISERROR(VLOOKUP($U$207,'TAR FIN'!$A$1:$O$85,15,0)),0,VLOOKUP($U$207,'TAR FIN'!$A$1:$O$85,15,0))</f>
        <v>231.33</v>
      </c>
      <c r="Y207" s="4"/>
      <c r="Z207" s="4">
        <f ca="1">('TUSD BE'!$AM$17+'TUSD BF'!$AM$17+'TUSD CVA'!$AM$17)*1</f>
        <v>2303.8395152389066</v>
      </c>
      <c r="AA207" s="4">
        <f>('TE BE'!$AA$8+'TE BF'!$AA$8+'TE CVA'!$AA$8)*1</f>
        <v>260.80314197522284</v>
      </c>
      <c r="AB207" s="4">
        <f>$K$207*$V$207</f>
        <v>0</v>
      </c>
      <c r="AC207" s="4">
        <f>$M$207*$W$207</f>
        <v>300.59026</v>
      </c>
      <c r="AD207" s="4">
        <f>$O$207*$X$207</f>
        <v>36.550139999999999</v>
      </c>
      <c r="AE207" s="4">
        <f>$K$207*$Y$207</f>
        <v>0</v>
      </c>
      <c r="AF207" s="4">
        <f ca="1">$M$207*$Z$207</f>
        <v>364.00664340774728</v>
      </c>
      <c r="AG207" s="4">
        <f>$O$207*$AA$207</f>
        <v>41.206896432085209</v>
      </c>
    </row>
    <row r="208" spans="1:33" ht="11.25" customHeight="1" x14ac:dyDescent="0.25">
      <c r="A208" s="3" t="s">
        <v>21</v>
      </c>
      <c r="B208" s="3" t="s">
        <v>22</v>
      </c>
      <c r="C208" s="3" t="s">
        <v>37</v>
      </c>
      <c r="D208" s="3" t="s">
        <v>24</v>
      </c>
      <c r="E208" s="3" t="s">
        <v>24</v>
      </c>
      <c r="F208" s="3" t="s">
        <v>25</v>
      </c>
      <c r="G208" s="3" t="s">
        <v>25</v>
      </c>
      <c r="H208" s="3" t="s">
        <v>35</v>
      </c>
      <c r="I208" s="6">
        <v>44593</v>
      </c>
      <c r="J208" s="4">
        <v>0</v>
      </c>
      <c r="K208" s="4">
        <v>0</v>
      </c>
      <c r="L208" s="4">
        <v>0.129</v>
      </c>
      <c r="M208" s="4">
        <v>0.129</v>
      </c>
      <c r="N208" s="4">
        <v>0.129</v>
      </c>
      <c r="O208" s="4">
        <v>0.129</v>
      </c>
      <c r="P208" s="4">
        <v>0</v>
      </c>
      <c r="Q208" s="3" t="s">
        <v>26</v>
      </c>
      <c r="R208" s="3">
        <v>0</v>
      </c>
      <c r="S208" s="4">
        <v>0</v>
      </c>
      <c r="T208" s="4">
        <v>27</v>
      </c>
      <c r="U208" s="4">
        <v>42</v>
      </c>
      <c r="V208" s="4">
        <f>IF(ISERROR(VLOOKUP($S$208,'TAR FIN'!$A$1:$O$85,15,0)),0,VLOOKUP($S$208,'TAR FIN'!$A$1:$O$85,15,0))</f>
        <v>0</v>
      </c>
      <c r="W208" s="4">
        <f>IF(ISERROR(VLOOKUP($T$208,'TAR FIN'!$A$1:$O$85,15,0)),0,VLOOKUP($T$208,'TAR FIN'!$A$1:$O$85,15,0))</f>
        <v>1902.47</v>
      </c>
      <c r="X208" s="4">
        <f>IF(ISERROR(VLOOKUP($U$208,'TAR FIN'!$A$1:$O$85,15,0)),0,VLOOKUP($U$208,'TAR FIN'!$A$1:$O$85,15,0))</f>
        <v>231.33</v>
      </c>
      <c r="Y208" s="4"/>
      <c r="Z208" s="4">
        <f ca="1">('TUSD BE'!$AM$17+'TUSD BF'!$AM$17+'TUSD CVA'!$AM$17)*1</f>
        <v>2303.8395152389066</v>
      </c>
      <c r="AA208" s="4">
        <f>('TE BE'!$AA$8+'TE BF'!$AA$8+'TE CVA'!$AA$8)*1</f>
        <v>260.80314197522284</v>
      </c>
      <c r="AB208" s="4">
        <f>$K$208*$V$208</f>
        <v>0</v>
      </c>
      <c r="AC208" s="4">
        <f>$M$208*$W$208</f>
        <v>245.41863000000001</v>
      </c>
      <c r="AD208" s="4">
        <f>$O$208*$X$208</f>
        <v>29.841570000000001</v>
      </c>
      <c r="AE208" s="4">
        <f>$K$208*$Y$208</f>
        <v>0</v>
      </c>
      <c r="AF208" s="4">
        <f ca="1">$M$208*$Z$208</f>
        <v>297.19529746581895</v>
      </c>
      <c r="AG208" s="4">
        <f>$O$208*$AA$208</f>
        <v>33.64360531480375</v>
      </c>
    </row>
    <row r="209" spans="1:33" ht="11.25" customHeight="1" x14ac:dyDescent="0.25">
      <c r="A209" s="3" t="s">
        <v>21</v>
      </c>
      <c r="B209" s="3" t="s">
        <v>22</v>
      </c>
      <c r="C209" s="3" t="s">
        <v>37</v>
      </c>
      <c r="D209" s="3" t="s">
        <v>24</v>
      </c>
      <c r="E209" s="3" t="s">
        <v>24</v>
      </c>
      <c r="F209" s="3" t="s">
        <v>25</v>
      </c>
      <c r="G209" s="3" t="s">
        <v>25</v>
      </c>
      <c r="H209" s="3" t="s">
        <v>35</v>
      </c>
      <c r="I209" s="6">
        <v>44621</v>
      </c>
      <c r="J209" s="4">
        <v>0</v>
      </c>
      <c r="K209" s="4">
        <v>0</v>
      </c>
      <c r="L209" s="4">
        <v>0.16300000000000001</v>
      </c>
      <c r="M209" s="4">
        <v>0.16300000000000001</v>
      </c>
      <c r="N209" s="4">
        <v>0.16300000000000001</v>
      </c>
      <c r="O209" s="4">
        <v>0.16300000000000001</v>
      </c>
      <c r="P209" s="4">
        <v>0</v>
      </c>
      <c r="Q209" s="3" t="s">
        <v>26</v>
      </c>
      <c r="R209" s="3">
        <v>0</v>
      </c>
      <c r="S209" s="4">
        <v>0</v>
      </c>
      <c r="T209" s="4">
        <v>27</v>
      </c>
      <c r="U209" s="4">
        <v>42</v>
      </c>
      <c r="V209" s="4">
        <f>IF(ISERROR(VLOOKUP($S$209,'TAR FIN'!$A$1:$O$85,15,0)),0,VLOOKUP($S$209,'TAR FIN'!$A$1:$O$85,15,0))</f>
        <v>0</v>
      </c>
      <c r="W209" s="4">
        <f>IF(ISERROR(VLOOKUP($T$209,'TAR FIN'!$A$1:$O$85,15,0)),0,VLOOKUP($T$209,'TAR FIN'!$A$1:$O$85,15,0))</f>
        <v>1902.47</v>
      </c>
      <c r="X209" s="4">
        <f>IF(ISERROR(VLOOKUP($U$209,'TAR FIN'!$A$1:$O$85,15,0)),0,VLOOKUP($U$209,'TAR FIN'!$A$1:$O$85,15,0))</f>
        <v>231.33</v>
      </c>
      <c r="Y209" s="4"/>
      <c r="Z209" s="4">
        <f ca="1">('TUSD BE'!$AM$17+'TUSD BF'!$AM$17+'TUSD CVA'!$AM$17)*1</f>
        <v>2303.8395152389066</v>
      </c>
      <c r="AA209" s="4">
        <f>('TE BE'!$AA$8+'TE BF'!$AA$8+'TE CVA'!$AA$8)*1</f>
        <v>260.80314197522284</v>
      </c>
      <c r="AB209" s="4">
        <f>$K$209*$V$209</f>
        <v>0</v>
      </c>
      <c r="AC209" s="4">
        <f>$M$209*$W$209</f>
        <v>310.10261000000003</v>
      </c>
      <c r="AD209" s="4">
        <f>$O$209*$X$209</f>
        <v>37.706790000000005</v>
      </c>
      <c r="AE209" s="4">
        <f>$K$209*$Y$209</f>
        <v>0</v>
      </c>
      <c r="AF209" s="4">
        <f ca="1">$M$209*$Z$209</f>
        <v>375.52584098394181</v>
      </c>
      <c r="AG209" s="4">
        <f>$O$209*$AA$209</f>
        <v>42.510912141961327</v>
      </c>
    </row>
    <row r="210" spans="1:33" ht="11.25" customHeight="1" x14ac:dyDescent="0.25">
      <c r="A210" s="3" t="s">
        <v>21</v>
      </c>
      <c r="B210" s="3" t="s">
        <v>22</v>
      </c>
      <c r="C210" s="3" t="s">
        <v>23</v>
      </c>
      <c r="D210" s="3" t="s">
        <v>24</v>
      </c>
      <c r="E210" s="3" t="s">
        <v>24</v>
      </c>
      <c r="F210" s="3" t="s">
        <v>25</v>
      </c>
      <c r="G210" s="3" t="s">
        <v>25</v>
      </c>
      <c r="H210" s="3" t="s">
        <v>25</v>
      </c>
      <c r="I210" s="6">
        <v>44287</v>
      </c>
      <c r="J210" s="4">
        <v>0</v>
      </c>
      <c r="K210" s="4">
        <v>0</v>
      </c>
      <c r="L210" s="4">
        <v>2505.59</v>
      </c>
      <c r="M210" s="4">
        <v>2505.59</v>
      </c>
      <c r="N210" s="4">
        <v>2505.59</v>
      </c>
      <c r="O210" s="4">
        <v>2505.59</v>
      </c>
      <c r="P210" s="4">
        <v>14846</v>
      </c>
      <c r="Q210" s="3" t="s">
        <v>26</v>
      </c>
      <c r="R210" s="3">
        <v>0</v>
      </c>
      <c r="S210" s="4">
        <v>0</v>
      </c>
      <c r="T210" s="4">
        <v>36</v>
      </c>
      <c r="U210" s="4">
        <v>45</v>
      </c>
      <c r="V210" s="4">
        <f>IF(ISERROR(VLOOKUP($S$210,'TAR FIN'!$A$1:$O$85,15,0)),0,VLOOKUP($S$210,'TAR FIN'!$A$1:$O$85,15,0))</f>
        <v>0</v>
      </c>
      <c r="W210" s="4">
        <f>IF(ISERROR(VLOOKUP($T$210,'TAR FIN'!$A$1:$O$85,15,0)),0,VLOOKUP($T$210,'TAR FIN'!$A$1:$O$85,15,0))</f>
        <v>792.41</v>
      </c>
      <c r="X210" s="4">
        <f>IF(ISERROR(VLOOKUP($U$210,'TAR FIN'!$A$1:$O$85,15,0)),0,VLOOKUP($U$210,'TAR FIN'!$A$1:$O$85,15,0))</f>
        <v>231.33</v>
      </c>
      <c r="Y210" s="4"/>
      <c r="Z210" s="4">
        <f ca="1">('TUSD BE'!$AM$20+'TUSD BF'!$AM$20+'TUSD CVA'!$AM$20)*1</f>
        <v>969.52247148289666</v>
      </c>
      <c r="AA210" s="4">
        <f>('TE BE'!$AA$11+'TE BF'!$AA$11+'TE CVA'!$AA$11)*1</f>
        <v>260.80314197522284</v>
      </c>
      <c r="AB210" s="4">
        <f>$K$210*$V$210</f>
        <v>0</v>
      </c>
      <c r="AC210" s="4">
        <f>$M$210*$W$210</f>
        <v>1985454.5719000001</v>
      </c>
      <c r="AD210" s="4">
        <f>$O$210*$X$210</f>
        <v>579618.13470000005</v>
      </c>
      <c r="AE210" s="4">
        <f>$K$210*$Y$210</f>
        <v>0</v>
      </c>
      <c r="AF210" s="4">
        <f ca="1">$M$210*$Z$210</f>
        <v>2429225.8093228312</v>
      </c>
      <c r="AG210" s="4">
        <f>$O$210*$AA$210</f>
        <v>653465.74450169865</v>
      </c>
    </row>
    <row r="211" spans="1:33" ht="11.25" customHeight="1" x14ac:dyDescent="0.25">
      <c r="A211" s="3" t="s">
        <v>27</v>
      </c>
      <c r="B211" s="3" t="s">
        <v>22</v>
      </c>
      <c r="C211" s="3" t="s">
        <v>23</v>
      </c>
      <c r="D211" s="3" t="s">
        <v>24</v>
      </c>
      <c r="E211" s="3" t="s">
        <v>24</v>
      </c>
      <c r="F211" s="3" t="s">
        <v>25</v>
      </c>
      <c r="G211" s="3" t="s">
        <v>25</v>
      </c>
      <c r="H211" s="3" t="s">
        <v>25</v>
      </c>
      <c r="I211" s="6">
        <v>44287</v>
      </c>
      <c r="J211" s="4">
        <v>0</v>
      </c>
      <c r="K211" s="4">
        <v>0</v>
      </c>
      <c r="L211" s="4">
        <v>-1.494</v>
      </c>
      <c r="M211" s="4">
        <v>-1.494</v>
      </c>
      <c r="N211" s="4">
        <v>-1.494</v>
      </c>
      <c r="O211" s="4">
        <v>-1.494</v>
      </c>
      <c r="P211" s="4">
        <v>0</v>
      </c>
      <c r="Q211" s="3" t="s">
        <v>26</v>
      </c>
      <c r="R211" s="3">
        <v>0</v>
      </c>
      <c r="S211" s="4">
        <v>0</v>
      </c>
      <c r="T211" s="4">
        <v>36</v>
      </c>
      <c r="U211" s="4">
        <v>45</v>
      </c>
      <c r="V211" s="4">
        <f>IF(ISERROR(VLOOKUP($S$211,'TAR FIN'!$A$1:$O$85,15,0)),0,VLOOKUP($S$211,'TAR FIN'!$A$1:$O$85,15,0))</f>
        <v>0</v>
      </c>
      <c r="W211" s="4">
        <f>IF(ISERROR(VLOOKUP($T$211,'TAR FIN'!$A$1:$O$85,15,0)),0,VLOOKUP($T$211,'TAR FIN'!$A$1:$O$85,15,0))</f>
        <v>792.41</v>
      </c>
      <c r="X211" s="4">
        <f>IF(ISERROR(VLOOKUP($U$211,'TAR FIN'!$A$1:$O$85,15,0)),0,VLOOKUP($U$211,'TAR FIN'!$A$1:$O$85,15,0))</f>
        <v>231.33</v>
      </c>
      <c r="Y211" s="4"/>
      <c r="Z211" s="4">
        <f ca="1">('TUSD BE'!$AM$20+'TUSD BF'!$AM$20+'TUSD CVA'!$AM$20)*1</f>
        <v>969.52247148289666</v>
      </c>
      <c r="AA211" s="4">
        <f>('TE BE'!$AA$11+'TE BF'!$AA$11+'TE CVA'!$AA$11)*1</f>
        <v>260.80314197522284</v>
      </c>
      <c r="AB211" s="4">
        <f>$K$211*$V$211</f>
        <v>0</v>
      </c>
      <c r="AC211" s="4">
        <f>$M$211*$W$211</f>
        <v>-1183.8605399999999</v>
      </c>
      <c r="AD211" s="4">
        <f>$O$211*$X$211</f>
        <v>-345.60702000000003</v>
      </c>
      <c r="AE211" s="4">
        <f>$K$211*$Y$211</f>
        <v>0</v>
      </c>
      <c r="AF211" s="4">
        <f ca="1">$M$211*$Z$211</f>
        <v>-1448.4665723954477</v>
      </c>
      <c r="AG211" s="4">
        <f>$O$211*$AA$211</f>
        <v>-389.63989411098294</v>
      </c>
    </row>
    <row r="212" spans="1:33" ht="11.25" customHeight="1" x14ac:dyDescent="0.25">
      <c r="A212" s="3" t="s">
        <v>28</v>
      </c>
      <c r="B212" s="3" t="s">
        <v>22</v>
      </c>
      <c r="C212" s="3" t="s">
        <v>23</v>
      </c>
      <c r="D212" s="3" t="s">
        <v>24</v>
      </c>
      <c r="E212" s="3" t="s">
        <v>24</v>
      </c>
      <c r="F212" s="3" t="s">
        <v>25</v>
      </c>
      <c r="G212" s="3" t="s">
        <v>25</v>
      </c>
      <c r="H212" s="3" t="s">
        <v>25</v>
      </c>
      <c r="I212" s="6">
        <v>44287</v>
      </c>
      <c r="J212" s="4">
        <v>0</v>
      </c>
      <c r="K212" s="4">
        <v>0</v>
      </c>
      <c r="L212" s="4">
        <v>17.643999999999998</v>
      </c>
      <c r="M212" s="4">
        <v>17.643999999999998</v>
      </c>
      <c r="N212" s="4">
        <v>17.643999999999998</v>
      </c>
      <c r="O212" s="4">
        <v>17.643999999999998</v>
      </c>
      <c r="P212" s="4">
        <v>115</v>
      </c>
      <c r="Q212" s="3" t="s">
        <v>26</v>
      </c>
      <c r="R212" s="3">
        <v>0</v>
      </c>
      <c r="S212" s="4">
        <v>0</v>
      </c>
      <c r="T212" s="4">
        <v>36</v>
      </c>
      <c r="U212" s="4">
        <v>45</v>
      </c>
      <c r="V212" s="4">
        <f>IF(ISERROR(VLOOKUP($S$212,'TAR FIN'!$A$1:$O$85,15,0)),0,VLOOKUP($S$212,'TAR FIN'!$A$1:$O$85,15,0))</f>
        <v>0</v>
      </c>
      <c r="W212" s="4">
        <f>IF(ISERROR(VLOOKUP($T$212,'TAR FIN'!$A$1:$O$85,15,0)),0,VLOOKUP($T$212,'TAR FIN'!$A$1:$O$85,15,0))</f>
        <v>792.41</v>
      </c>
      <c r="X212" s="4">
        <f>IF(ISERROR(VLOOKUP($U$212,'TAR FIN'!$A$1:$O$85,15,0)),0,VLOOKUP($U$212,'TAR FIN'!$A$1:$O$85,15,0))</f>
        <v>231.33</v>
      </c>
      <c r="Y212" s="4"/>
      <c r="Z212" s="4">
        <f ca="1">('TUSD BE'!$AM$20+'TUSD BF'!$AM$20+'TUSD CVA'!$AM$20)*1</f>
        <v>969.52247148289666</v>
      </c>
      <c r="AA212" s="4">
        <f>('TE BE'!$AA$11+'TE BF'!$AA$11+'TE CVA'!$AA$11)*1</f>
        <v>260.80314197522284</v>
      </c>
      <c r="AB212" s="4">
        <f>$K$212*$V$212</f>
        <v>0</v>
      </c>
      <c r="AC212" s="4">
        <f>$M$212*$W$212</f>
        <v>13981.282039999998</v>
      </c>
      <c r="AD212" s="4">
        <f>$O$212*$X$212</f>
        <v>4081.5865199999998</v>
      </c>
      <c r="AE212" s="4">
        <f>$K$212*$Y$212</f>
        <v>0</v>
      </c>
      <c r="AF212" s="4">
        <f ca="1">$M$212*$Z$212</f>
        <v>17106.254486844227</v>
      </c>
      <c r="AG212" s="4">
        <f>$O$212*$AA$212</f>
        <v>4601.6106370108319</v>
      </c>
    </row>
    <row r="213" spans="1:33" ht="11.25" customHeight="1" x14ac:dyDescent="0.25">
      <c r="A213" s="3" t="s">
        <v>21</v>
      </c>
      <c r="B213" s="3" t="s">
        <v>22</v>
      </c>
      <c r="C213" s="3" t="s">
        <v>23</v>
      </c>
      <c r="D213" s="3" t="s">
        <v>24</v>
      </c>
      <c r="E213" s="3" t="s">
        <v>24</v>
      </c>
      <c r="F213" s="3" t="s">
        <v>25</v>
      </c>
      <c r="G213" s="3" t="s">
        <v>25</v>
      </c>
      <c r="H213" s="3" t="s">
        <v>25</v>
      </c>
      <c r="I213" s="6">
        <v>44317</v>
      </c>
      <c r="J213" s="4">
        <v>0</v>
      </c>
      <c r="K213" s="4">
        <v>0</v>
      </c>
      <c r="L213" s="4">
        <v>2147.9580000000001</v>
      </c>
      <c r="M213" s="4">
        <v>2147.9580000000001</v>
      </c>
      <c r="N213" s="4">
        <v>2147.9580000000001</v>
      </c>
      <c r="O213" s="4">
        <v>2147.9580000000001</v>
      </c>
      <c r="P213" s="4">
        <v>14895</v>
      </c>
      <c r="Q213" s="3" t="s">
        <v>26</v>
      </c>
      <c r="R213" s="3">
        <v>0</v>
      </c>
      <c r="S213" s="4">
        <v>0</v>
      </c>
      <c r="T213" s="4">
        <v>36</v>
      </c>
      <c r="U213" s="4">
        <v>45</v>
      </c>
      <c r="V213" s="4">
        <f>IF(ISERROR(VLOOKUP($S$213,'TAR FIN'!$A$1:$O$85,15,0)),0,VLOOKUP($S$213,'TAR FIN'!$A$1:$O$85,15,0))</f>
        <v>0</v>
      </c>
      <c r="W213" s="4">
        <f>IF(ISERROR(VLOOKUP($T$213,'TAR FIN'!$A$1:$O$85,15,0)),0,VLOOKUP($T$213,'TAR FIN'!$A$1:$O$85,15,0))</f>
        <v>792.41</v>
      </c>
      <c r="X213" s="4">
        <f>IF(ISERROR(VLOOKUP($U$213,'TAR FIN'!$A$1:$O$85,15,0)),0,VLOOKUP($U$213,'TAR FIN'!$A$1:$O$85,15,0))</f>
        <v>231.33</v>
      </c>
      <c r="Y213" s="4"/>
      <c r="Z213" s="4">
        <f ca="1">('TUSD BE'!$AM$20+'TUSD BF'!$AM$20+'TUSD CVA'!$AM$20)*1</f>
        <v>969.52247148289666</v>
      </c>
      <c r="AA213" s="4">
        <f>('TE BE'!$AA$11+'TE BF'!$AA$11+'TE CVA'!$AA$11)*1</f>
        <v>260.80314197522284</v>
      </c>
      <c r="AB213" s="4">
        <f>$K$213*$V$213</f>
        <v>0</v>
      </c>
      <c r="AC213" s="4">
        <f>$M$213*$W$213</f>
        <v>1702063.3987799999</v>
      </c>
      <c r="AD213" s="4">
        <f>$O$213*$X$213</f>
        <v>496887.12414000003</v>
      </c>
      <c r="AE213" s="4">
        <f>$K$213*$Y$213</f>
        <v>0</v>
      </c>
      <c r="AF213" s="4">
        <f ca="1">$M$213*$Z$213</f>
        <v>2082493.5488014598</v>
      </c>
      <c r="AG213" s="4">
        <f>$O$213*$AA$213</f>
        <v>560194.19523081568</v>
      </c>
    </row>
    <row r="214" spans="1:33" ht="11.25" customHeight="1" x14ac:dyDescent="0.25">
      <c r="A214" s="3" t="s">
        <v>27</v>
      </c>
      <c r="B214" s="3" t="s">
        <v>22</v>
      </c>
      <c r="C214" s="3" t="s">
        <v>23</v>
      </c>
      <c r="D214" s="3" t="s">
        <v>24</v>
      </c>
      <c r="E214" s="3" t="s">
        <v>24</v>
      </c>
      <c r="F214" s="3" t="s">
        <v>25</v>
      </c>
      <c r="G214" s="3" t="s">
        <v>25</v>
      </c>
      <c r="H214" s="3" t="s">
        <v>25</v>
      </c>
      <c r="I214" s="6">
        <v>44317</v>
      </c>
      <c r="J214" s="4">
        <v>0</v>
      </c>
      <c r="K214" s="4">
        <v>0</v>
      </c>
      <c r="L214" s="4">
        <v>-3.4980000000000002</v>
      </c>
      <c r="M214" s="4">
        <v>-3.4980000000000002</v>
      </c>
      <c r="N214" s="4">
        <v>-3.4980000000000002</v>
      </c>
      <c r="O214" s="4">
        <v>-3.4980000000000002</v>
      </c>
      <c r="P214" s="4">
        <v>0</v>
      </c>
      <c r="Q214" s="3" t="s">
        <v>26</v>
      </c>
      <c r="R214" s="3">
        <v>0</v>
      </c>
      <c r="S214" s="4">
        <v>0</v>
      </c>
      <c r="T214" s="4">
        <v>36</v>
      </c>
      <c r="U214" s="4">
        <v>45</v>
      </c>
      <c r="V214" s="4">
        <f>IF(ISERROR(VLOOKUP($S$214,'TAR FIN'!$A$1:$O$85,15,0)),0,VLOOKUP($S$214,'TAR FIN'!$A$1:$O$85,15,0))</f>
        <v>0</v>
      </c>
      <c r="W214" s="4">
        <f>IF(ISERROR(VLOOKUP($T$214,'TAR FIN'!$A$1:$O$85,15,0)),0,VLOOKUP($T$214,'TAR FIN'!$A$1:$O$85,15,0))</f>
        <v>792.41</v>
      </c>
      <c r="X214" s="4">
        <f>IF(ISERROR(VLOOKUP($U$214,'TAR FIN'!$A$1:$O$85,15,0)),0,VLOOKUP($U$214,'TAR FIN'!$A$1:$O$85,15,0))</f>
        <v>231.33</v>
      </c>
      <c r="Y214" s="4"/>
      <c r="Z214" s="4">
        <f ca="1">('TUSD BE'!$AM$20+'TUSD BF'!$AM$20+'TUSD CVA'!$AM$20)*1</f>
        <v>969.52247148289666</v>
      </c>
      <c r="AA214" s="4">
        <f>('TE BE'!$AA$11+'TE BF'!$AA$11+'TE CVA'!$AA$11)*1</f>
        <v>260.80314197522284</v>
      </c>
      <c r="AB214" s="4">
        <f>$K$214*$V$214</f>
        <v>0</v>
      </c>
      <c r="AC214" s="4">
        <f>$M$214*$W$214</f>
        <v>-2771.8501799999999</v>
      </c>
      <c r="AD214" s="4">
        <f>$O$214*$X$214</f>
        <v>-809.19234000000006</v>
      </c>
      <c r="AE214" s="4">
        <f>$K$214*$Y$214</f>
        <v>0</v>
      </c>
      <c r="AF214" s="4">
        <f ca="1">$M$214*$Z$214</f>
        <v>-3391.3896052471728</v>
      </c>
      <c r="AG214" s="4">
        <f>$O$214*$AA$214</f>
        <v>-912.28939062932955</v>
      </c>
    </row>
    <row r="215" spans="1:33" ht="11.25" customHeight="1" x14ac:dyDescent="0.25">
      <c r="A215" s="3" t="s">
        <v>28</v>
      </c>
      <c r="B215" s="3" t="s">
        <v>22</v>
      </c>
      <c r="C215" s="3" t="s">
        <v>23</v>
      </c>
      <c r="D215" s="3" t="s">
        <v>24</v>
      </c>
      <c r="E215" s="3" t="s">
        <v>24</v>
      </c>
      <c r="F215" s="3" t="s">
        <v>25</v>
      </c>
      <c r="G215" s="3" t="s">
        <v>25</v>
      </c>
      <c r="H215" s="3" t="s">
        <v>25</v>
      </c>
      <c r="I215" s="6">
        <v>44317</v>
      </c>
      <c r="J215" s="4">
        <v>0</v>
      </c>
      <c r="K215" s="4">
        <v>0</v>
      </c>
      <c r="L215" s="4">
        <v>16.823</v>
      </c>
      <c r="M215" s="4">
        <v>16.823</v>
      </c>
      <c r="N215" s="4">
        <v>16.823</v>
      </c>
      <c r="O215" s="4">
        <v>16.823</v>
      </c>
      <c r="P215" s="4">
        <v>122</v>
      </c>
      <c r="Q215" s="3" t="s">
        <v>26</v>
      </c>
      <c r="R215" s="3">
        <v>0</v>
      </c>
      <c r="S215" s="4">
        <v>0</v>
      </c>
      <c r="T215" s="4">
        <v>36</v>
      </c>
      <c r="U215" s="4">
        <v>45</v>
      </c>
      <c r="V215" s="4">
        <f>IF(ISERROR(VLOOKUP($S$215,'TAR FIN'!$A$1:$O$85,15,0)),0,VLOOKUP($S$215,'TAR FIN'!$A$1:$O$85,15,0))</f>
        <v>0</v>
      </c>
      <c r="W215" s="4">
        <f>IF(ISERROR(VLOOKUP($T$215,'TAR FIN'!$A$1:$O$85,15,0)),0,VLOOKUP($T$215,'TAR FIN'!$A$1:$O$85,15,0))</f>
        <v>792.41</v>
      </c>
      <c r="X215" s="4">
        <f>IF(ISERROR(VLOOKUP($U$215,'TAR FIN'!$A$1:$O$85,15,0)),0,VLOOKUP($U$215,'TAR FIN'!$A$1:$O$85,15,0))</f>
        <v>231.33</v>
      </c>
      <c r="Y215" s="4"/>
      <c r="Z215" s="4">
        <f ca="1">('TUSD BE'!$AM$20+'TUSD BF'!$AM$20+'TUSD CVA'!$AM$20)*1</f>
        <v>969.52247148289666</v>
      </c>
      <c r="AA215" s="4">
        <f>('TE BE'!$AA$11+'TE BF'!$AA$11+'TE CVA'!$AA$11)*1</f>
        <v>260.80314197522284</v>
      </c>
      <c r="AB215" s="4">
        <f>$K$215*$V$215</f>
        <v>0</v>
      </c>
      <c r="AC215" s="4">
        <f>$M$215*$W$215</f>
        <v>13330.71343</v>
      </c>
      <c r="AD215" s="4">
        <f>$O$215*$X$215</f>
        <v>3891.6645900000003</v>
      </c>
      <c r="AE215" s="4">
        <f>$K$215*$Y$215</f>
        <v>0</v>
      </c>
      <c r="AF215" s="4">
        <f ca="1">$M$215*$Z$215</f>
        <v>16310.27653775677</v>
      </c>
      <c r="AG215" s="4">
        <f>$O$215*$AA$215</f>
        <v>4387.4912574491736</v>
      </c>
    </row>
    <row r="216" spans="1:33" ht="11.25" customHeight="1" x14ac:dyDescent="0.25">
      <c r="A216" s="3" t="s">
        <v>21</v>
      </c>
      <c r="B216" s="3" t="s">
        <v>22</v>
      </c>
      <c r="C216" s="3" t="s">
        <v>23</v>
      </c>
      <c r="D216" s="3" t="s">
        <v>24</v>
      </c>
      <c r="E216" s="3" t="s">
        <v>24</v>
      </c>
      <c r="F216" s="3" t="s">
        <v>25</v>
      </c>
      <c r="G216" s="3" t="s">
        <v>25</v>
      </c>
      <c r="H216" s="3" t="s">
        <v>25</v>
      </c>
      <c r="I216" s="6">
        <v>44348</v>
      </c>
      <c r="J216" s="4">
        <v>0</v>
      </c>
      <c r="K216" s="4">
        <v>0</v>
      </c>
      <c r="L216" s="4">
        <v>2106.0639999999999</v>
      </c>
      <c r="M216" s="4">
        <v>2106.0639999999999</v>
      </c>
      <c r="N216" s="4">
        <v>2106.0639999999999</v>
      </c>
      <c r="O216" s="4">
        <v>2106.0639999999999</v>
      </c>
      <c r="P216" s="4">
        <v>14931</v>
      </c>
      <c r="Q216" s="3" t="s">
        <v>26</v>
      </c>
      <c r="R216" s="3">
        <v>0</v>
      </c>
      <c r="S216" s="4">
        <v>0</v>
      </c>
      <c r="T216" s="4">
        <v>36</v>
      </c>
      <c r="U216" s="4">
        <v>45</v>
      </c>
      <c r="V216" s="4">
        <f>IF(ISERROR(VLOOKUP($S$216,'TAR FIN'!$A$1:$O$85,15,0)),0,VLOOKUP($S$216,'TAR FIN'!$A$1:$O$85,15,0))</f>
        <v>0</v>
      </c>
      <c r="W216" s="4">
        <f>IF(ISERROR(VLOOKUP($T$216,'TAR FIN'!$A$1:$O$85,15,0)),0,VLOOKUP($T$216,'TAR FIN'!$A$1:$O$85,15,0))</f>
        <v>792.41</v>
      </c>
      <c r="X216" s="4">
        <f>IF(ISERROR(VLOOKUP($U$216,'TAR FIN'!$A$1:$O$85,15,0)),0,VLOOKUP($U$216,'TAR FIN'!$A$1:$O$85,15,0))</f>
        <v>231.33</v>
      </c>
      <c r="Y216" s="4"/>
      <c r="Z216" s="4">
        <f ca="1">('TUSD BE'!$AM$20+'TUSD BF'!$AM$20+'TUSD CVA'!$AM$20)*1</f>
        <v>969.52247148289666</v>
      </c>
      <c r="AA216" s="4">
        <f>('TE BE'!$AA$11+'TE BF'!$AA$11+'TE CVA'!$AA$11)*1</f>
        <v>260.80314197522284</v>
      </c>
      <c r="AB216" s="4">
        <f>$K$216*$V$216</f>
        <v>0</v>
      </c>
      <c r="AC216" s="4">
        <f>$M$216*$W$216</f>
        <v>1668866.1742399998</v>
      </c>
      <c r="AD216" s="4">
        <f>$O$216*$X$216</f>
        <v>487195.78512000002</v>
      </c>
      <c r="AE216" s="4">
        <f>$K$216*$Y$216</f>
        <v>0</v>
      </c>
      <c r="AF216" s="4">
        <f ca="1">$M$216*$Z$216</f>
        <v>2041876.3743811552</v>
      </c>
      <c r="AG216" s="4">
        <f>$O$216*$AA$216</f>
        <v>549268.10840090574</v>
      </c>
    </row>
    <row r="217" spans="1:33" ht="11.25" customHeight="1" x14ac:dyDescent="0.25">
      <c r="A217" s="3" t="s">
        <v>27</v>
      </c>
      <c r="B217" s="3" t="s">
        <v>22</v>
      </c>
      <c r="C217" s="3" t="s">
        <v>23</v>
      </c>
      <c r="D217" s="3" t="s">
        <v>24</v>
      </c>
      <c r="E217" s="3" t="s">
        <v>24</v>
      </c>
      <c r="F217" s="3" t="s">
        <v>25</v>
      </c>
      <c r="G217" s="3" t="s">
        <v>25</v>
      </c>
      <c r="H217" s="3" t="s">
        <v>25</v>
      </c>
      <c r="I217" s="6">
        <v>44348</v>
      </c>
      <c r="J217" s="4">
        <v>0</v>
      </c>
      <c r="K217" s="4">
        <v>0</v>
      </c>
      <c r="L217" s="4">
        <v>-6.3109999999999999</v>
      </c>
      <c r="M217" s="4">
        <v>-6.3109999999999999</v>
      </c>
      <c r="N217" s="4">
        <v>-6.3109999999999999</v>
      </c>
      <c r="O217" s="4">
        <v>-6.3109999999999999</v>
      </c>
      <c r="P217" s="4">
        <v>0</v>
      </c>
      <c r="Q217" s="3" t="s">
        <v>26</v>
      </c>
      <c r="R217" s="3">
        <v>0</v>
      </c>
      <c r="S217" s="4">
        <v>0</v>
      </c>
      <c r="T217" s="4">
        <v>36</v>
      </c>
      <c r="U217" s="4">
        <v>45</v>
      </c>
      <c r="V217" s="4">
        <f>IF(ISERROR(VLOOKUP($S$217,'TAR FIN'!$A$1:$O$85,15,0)),0,VLOOKUP($S$217,'TAR FIN'!$A$1:$O$85,15,0))</f>
        <v>0</v>
      </c>
      <c r="W217" s="4">
        <f>IF(ISERROR(VLOOKUP($T$217,'TAR FIN'!$A$1:$O$85,15,0)),0,VLOOKUP($T$217,'TAR FIN'!$A$1:$O$85,15,0))</f>
        <v>792.41</v>
      </c>
      <c r="X217" s="4">
        <f>IF(ISERROR(VLOOKUP($U$217,'TAR FIN'!$A$1:$O$85,15,0)),0,VLOOKUP($U$217,'TAR FIN'!$A$1:$O$85,15,0))</f>
        <v>231.33</v>
      </c>
      <c r="Y217" s="4"/>
      <c r="Z217" s="4">
        <f ca="1">('TUSD BE'!$AM$20+'TUSD BF'!$AM$20+'TUSD CVA'!$AM$20)*1</f>
        <v>969.52247148289666</v>
      </c>
      <c r="AA217" s="4">
        <f>('TE BE'!$AA$11+'TE BF'!$AA$11+'TE CVA'!$AA$11)*1</f>
        <v>260.80314197522284</v>
      </c>
      <c r="AB217" s="4">
        <f>$K$217*$V$217</f>
        <v>0</v>
      </c>
      <c r="AC217" s="4">
        <f>$M$217*$W$217</f>
        <v>-5000.8995100000002</v>
      </c>
      <c r="AD217" s="4">
        <f>$O$217*$X$217</f>
        <v>-1459.92363</v>
      </c>
      <c r="AE217" s="4">
        <f>$K$217*$Y$217</f>
        <v>0</v>
      </c>
      <c r="AF217" s="4">
        <f ca="1">$M$217*$Z$217</f>
        <v>-6118.656317528561</v>
      </c>
      <c r="AG217" s="4">
        <f>$O$217*$AA$217</f>
        <v>-1645.9286290056314</v>
      </c>
    </row>
    <row r="218" spans="1:33" ht="11.25" customHeight="1" x14ac:dyDescent="0.25">
      <c r="A218" s="3" t="s">
        <v>28</v>
      </c>
      <c r="B218" s="3" t="s">
        <v>22</v>
      </c>
      <c r="C218" s="3" t="s">
        <v>23</v>
      </c>
      <c r="D218" s="3" t="s">
        <v>24</v>
      </c>
      <c r="E218" s="3" t="s">
        <v>24</v>
      </c>
      <c r="F218" s="3" t="s">
        <v>25</v>
      </c>
      <c r="G218" s="3" t="s">
        <v>25</v>
      </c>
      <c r="H218" s="3" t="s">
        <v>25</v>
      </c>
      <c r="I218" s="6">
        <v>44348</v>
      </c>
      <c r="J218" s="4">
        <v>0</v>
      </c>
      <c r="K218" s="4">
        <v>0</v>
      </c>
      <c r="L218" s="4">
        <v>23.161000000000001</v>
      </c>
      <c r="M218" s="4">
        <v>23.161000000000001</v>
      </c>
      <c r="N218" s="4">
        <v>23.161000000000001</v>
      </c>
      <c r="O218" s="4">
        <v>23.161000000000001</v>
      </c>
      <c r="P218" s="4">
        <v>131</v>
      </c>
      <c r="Q218" s="3" t="s">
        <v>26</v>
      </c>
      <c r="R218" s="3">
        <v>0</v>
      </c>
      <c r="S218" s="4">
        <v>0</v>
      </c>
      <c r="T218" s="4">
        <v>36</v>
      </c>
      <c r="U218" s="4">
        <v>45</v>
      </c>
      <c r="V218" s="4">
        <f>IF(ISERROR(VLOOKUP($S$218,'TAR FIN'!$A$1:$O$85,15,0)),0,VLOOKUP($S$218,'TAR FIN'!$A$1:$O$85,15,0))</f>
        <v>0</v>
      </c>
      <c r="W218" s="4">
        <f>IF(ISERROR(VLOOKUP($T$218,'TAR FIN'!$A$1:$O$85,15,0)),0,VLOOKUP($T$218,'TAR FIN'!$A$1:$O$85,15,0))</f>
        <v>792.41</v>
      </c>
      <c r="X218" s="4">
        <f>IF(ISERROR(VLOOKUP($U$218,'TAR FIN'!$A$1:$O$85,15,0)),0,VLOOKUP($U$218,'TAR FIN'!$A$1:$O$85,15,0))</f>
        <v>231.33</v>
      </c>
      <c r="Y218" s="4"/>
      <c r="Z218" s="4">
        <f ca="1">('TUSD BE'!$AM$20+'TUSD BF'!$AM$20+'TUSD CVA'!$AM$20)*1</f>
        <v>969.52247148289666</v>
      </c>
      <c r="AA218" s="4">
        <f>('TE BE'!$AA$11+'TE BF'!$AA$11+'TE CVA'!$AA$11)*1</f>
        <v>260.80314197522284</v>
      </c>
      <c r="AB218" s="4">
        <f>$K$218*$V$218</f>
        <v>0</v>
      </c>
      <c r="AC218" s="4">
        <f>$M$218*$W$218</f>
        <v>18353.008010000001</v>
      </c>
      <c r="AD218" s="4">
        <f>$O$218*$X$218</f>
        <v>5357.8341300000002</v>
      </c>
      <c r="AE218" s="4">
        <f>$K$218*$Y$218</f>
        <v>0</v>
      </c>
      <c r="AF218" s="4">
        <f ca="1">$M$218*$Z$218</f>
        <v>22455.109962015373</v>
      </c>
      <c r="AG218" s="4">
        <f>$O$218*$AA$218</f>
        <v>6040.4615712881368</v>
      </c>
    </row>
    <row r="219" spans="1:33" ht="11.25" customHeight="1" x14ac:dyDescent="0.25">
      <c r="A219" s="3" t="s">
        <v>21</v>
      </c>
      <c r="B219" s="3" t="s">
        <v>22</v>
      </c>
      <c r="C219" s="3" t="s">
        <v>23</v>
      </c>
      <c r="D219" s="3" t="s">
        <v>24</v>
      </c>
      <c r="E219" s="3" t="s">
        <v>24</v>
      </c>
      <c r="F219" s="3" t="s">
        <v>25</v>
      </c>
      <c r="G219" s="3" t="s">
        <v>25</v>
      </c>
      <c r="H219" s="3" t="s">
        <v>25</v>
      </c>
      <c r="I219" s="6">
        <v>44378</v>
      </c>
      <c r="J219" s="4">
        <v>0</v>
      </c>
      <c r="K219" s="4">
        <v>0</v>
      </c>
      <c r="L219" s="4">
        <v>1875.779</v>
      </c>
      <c r="M219" s="4">
        <v>1875.779</v>
      </c>
      <c r="N219" s="4">
        <v>1875.779</v>
      </c>
      <c r="O219" s="4">
        <v>1875.779</v>
      </c>
      <c r="P219" s="4">
        <v>14931</v>
      </c>
      <c r="Q219" s="3" t="s">
        <v>26</v>
      </c>
      <c r="R219" s="3">
        <v>0</v>
      </c>
      <c r="S219" s="4">
        <v>0</v>
      </c>
      <c r="T219" s="4">
        <v>36</v>
      </c>
      <c r="U219" s="4">
        <v>45</v>
      </c>
      <c r="V219" s="4">
        <f>IF(ISERROR(VLOOKUP($S$219,'TAR FIN'!$A$1:$O$85,15,0)),0,VLOOKUP($S$219,'TAR FIN'!$A$1:$O$85,15,0))</f>
        <v>0</v>
      </c>
      <c r="W219" s="4">
        <f>IF(ISERROR(VLOOKUP($T$219,'TAR FIN'!$A$1:$O$85,15,0)),0,VLOOKUP($T$219,'TAR FIN'!$A$1:$O$85,15,0))</f>
        <v>792.41</v>
      </c>
      <c r="X219" s="4">
        <f>IF(ISERROR(VLOOKUP($U$219,'TAR FIN'!$A$1:$O$85,15,0)),0,VLOOKUP($U$219,'TAR FIN'!$A$1:$O$85,15,0))</f>
        <v>231.33</v>
      </c>
      <c r="Y219" s="4"/>
      <c r="Z219" s="4">
        <f ca="1">('TUSD BE'!$AM$20+'TUSD BF'!$AM$20+'TUSD CVA'!$AM$20)*1</f>
        <v>969.52247148289666</v>
      </c>
      <c r="AA219" s="4">
        <f>('TE BE'!$AA$11+'TE BF'!$AA$11+'TE CVA'!$AA$11)*1</f>
        <v>260.80314197522284</v>
      </c>
      <c r="AB219" s="4">
        <f>$K$219*$V$219</f>
        <v>0</v>
      </c>
      <c r="AC219" s="4">
        <f>$M$219*$W$219</f>
        <v>1486386.03739</v>
      </c>
      <c r="AD219" s="4">
        <f>$O$219*$X$219</f>
        <v>433923.95607000001</v>
      </c>
      <c r="AE219" s="4">
        <f>$K$219*$Y$219</f>
        <v>0</v>
      </c>
      <c r="AF219" s="4">
        <f ca="1">$M$219*$Z$219</f>
        <v>1818609.8920357164</v>
      </c>
      <c r="AG219" s="4">
        <f>$O$219*$AA$219</f>
        <v>489209.0568511415</v>
      </c>
    </row>
    <row r="220" spans="1:33" ht="11.25" customHeight="1" x14ac:dyDescent="0.25">
      <c r="A220" s="3" t="s">
        <v>27</v>
      </c>
      <c r="B220" s="3" t="s">
        <v>22</v>
      </c>
      <c r="C220" s="3" t="s">
        <v>23</v>
      </c>
      <c r="D220" s="3" t="s">
        <v>24</v>
      </c>
      <c r="E220" s="3" t="s">
        <v>24</v>
      </c>
      <c r="F220" s="3" t="s">
        <v>25</v>
      </c>
      <c r="G220" s="3" t="s">
        <v>25</v>
      </c>
      <c r="H220" s="3" t="s">
        <v>25</v>
      </c>
      <c r="I220" s="6">
        <v>44378</v>
      </c>
      <c r="J220" s="4">
        <v>0</v>
      </c>
      <c r="K220" s="4">
        <v>0</v>
      </c>
      <c r="L220" s="4">
        <v>-2.4430000000000001</v>
      </c>
      <c r="M220" s="4">
        <v>-2.4430000000000001</v>
      </c>
      <c r="N220" s="4">
        <v>-2.4430000000000001</v>
      </c>
      <c r="O220" s="4">
        <v>-2.4430000000000001</v>
      </c>
      <c r="P220" s="4">
        <v>0</v>
      </c>
      <c r="Q220" s="3" t="s">
        <v>26</v>
      </c>
      <c r="R220" s="3">
        <v>0</v>
      </c>
      <c r="S220" s="4">
        <v>0</v>
      </c>
      <c r="T220" s="4">
        <v>36</v>
      </c>
      <c r="U220" s="4">
        <v>45</v>
      </c>
      <c r="V220" s="4">
        <f>IF(ISERROR(VLOOKUP($S$220,'TAR FIN'!$A$1:$O$85,15,0)),0,VLOOKUP($S$220,'TAR FIN'!$A$1:$O$85,15,0))</f>
        <v>0</v>
      </c>
      <c r="W220" s="4">
        <f>IF(ISERROR(VLOOKUP($T$220,'TAR FIN'!$A$1:$O$85,15,0)),0,VLOOKUP($T$220,'TAR FIN'!$A$1:$O$85,15,0))</f>
        <v>792.41</v>
      </c>
      <c r="X220" s="4">
        <f>IF(ISERROR(VLOOKUP($U$220,'TAR FIN'!$A$1:$O$85,15,0)),0,VLOOKUP($U$220,'TAR FIN'!$A$1:$O$85,15,0))</f>
        <v>231.33</v>
      </c>
      <c r="Y220" s="4"/>
      <c r="Z220" s="4">
        <f ca="1">('TUSD BE'!$AM$20+'TUSD BF'!$AM$20+'TUSD CVA'!$AM$20)*1</f>
        <v>969.52247148289666</v>
      </c>
      <c r="AA220" s="4">
        <f>('TE BE'!$AA$11+'TE BF'!$AA$11+'TE CVA'!$AA$11)*1</f>
        <v>260.80314197522284</v>
      </c>
      <c r="AB220" s="4">
        <f>$K$220*$V$220</f>
        <v>0</v>
      </c>
      <c r="AC220" s="4">
        <f>$M$220*$W$220</f>
        <v>-1935.85763</v>
      </c>
      <c r="AD220" s="4">
        <f>$O$220*$X$220</f>
        <v>-565.1391900000001</v>
      </c>
      <c r="AE220" s="4">
        <f>$K$220*$Y$220</f>
        <v>0</v>
      </c>
      <c r="AF220" s="4">
        <f ca="1">$M$220*$Z$220</f>
        <v>-2368.5433978327164</v>
      </c>
      <c r="AG220" s="4">
        <f>$O$220*$AA$220</f>
        <v>-637.14207584546944</v>
      </c>
    </row>
    <row r="221" spans="1:33" ht="11.25" customHeight="1" x14ac:dyDescent="0.25">
      <c r="A221" s="3" t="s">
        <v>28</v>
      </c>
      <c r="B221" s="3" t="s">
        <v>22</v>
      </c>
      <c r="C221" s="3" t="s">
        <v>23</v>
      </c>
      <c r="D221" s="3" t="s">
        <v>24</v>
      </c>
      <c r="E221" s="3" t="s">
        <v>24</v>
      </c>
      <c r="F221" s="3" t="s">
        <v>25</v>
      </c>
      <c r="G221" s="3" t="s">
        <v>25</v>
      </c>
      <c r="H221" s="3" t="s">
        <v>25</v>
      </c>
      <c r="I221" s="6">
        <v>44378</v>
      </c>
      <c r="J221" s="4">
        <v>0</v>
      </c>
      <c r="K221" s="4">
        <v>0</v>
      </c>
      <c r="L221" s="4">
        <v>22.52</v>
      </c>
      <c r="M221" s="4">
        <v>22.52</v>
      </c>
      <c r="N221" s="4">
        <v>22.52</v>
      </c>
      <c r="O221" s="4">
        <v>22.52</v>
      </c>
      <c r="P221" s="4">
        <v>141</v>
      </c>
      <c r="Q221" s="3" t="s">
        <v>26</v>
      </c>
      <c r="R221" s="3">
        <v>0</v>
      </c>
      <c r="S221" s="4">
        <v>0</v>
      </c>
      <c r="T221" s="4">
        <v>36</v>
      </c>
      <c r="U221" s="4">
        <v>45</v>
      </c>
      <c r="V221" s="4">
        <f>IF(ISERROR(VLOOKUP($S$221,'TAR FIN'!$A$1:$O$85,15,0)),0,VLOOKUP($S$221,'TAR FIN'!$A$1:$O$85,15,0))</f>
        <v>0</v>
      </c>
      <c r="W221" s="4">
        <f>IF(ISERROR(VLOOKUP($T$221,'TAR FIN'!$A$1:$O$85,15,0)),0,VLOOKUP($T$221,'TAR FIN'!$A$1:$O$85,15,0))</f>
        <v>792.41</v>
      </c>
      <c r="X221" s="4">
        <f>IF(ISERROR(VLOOKUP($U$221,'TAR FIN'!$A$1:$O$85,15,0)),0,VLOOKUP($U$221,'TAR FIN'!$A$1:$O$85,15,0))</f>
        <v>231.33</v>
      </c>
      <c r="Y221" s="4"/>
      <c r="Z221" s="4">
        <f ca="1">('TUSD BE'!$AM$20+'TUSD BF'!$AM$20+'TUSD CVA'!$AM$20)*1</f>
        <v>969.52247148289666</v>
      </c>
      <c r="AA221" s="4">
        <f>('TE BE'!$AA$11+'TE BF'!$AA$11+'TE CVA'!$AA$11)*1</f>
        <v>260.80314197522284</v>
      </c>
      <c r="AB221" s="4">
        <f>$K$221*$V$221</f>
        <v>0</v>
      </c>
      <c r="AC221" s="4">
        <f>$M$221*$W$221</f>
        <v>17845.073199999999</v>
      </c>
      <c r="AD221" s="4">
        <f>$O$221*$X$221</f>
        <v>5209.5515999999998</v>
      </c>
      <c r="AE221" s="4">
        <f>$K$221*$Y$221</f>
        <v>0</v>
      </c>
      <c r="AF221" s="4">
        <f ca="1">$M$221*$Z$221</f>
        <v>21833.646057794831</v>
      </c>
      <c r="AG221" s="4">
        <f>$O$221*$AA$221</f>
        <v>5873.2867572820187</v>
      </c>
    </row>
    <row r="222" spans="1:33" ht="11.25" customHeight="1" x14ac:dyDescent="0.25">
      <c r="A222" s="3" t="s">
        <v>21</v>
      </c>
      <c r="B222" s="3" t="s">
        <v>22</v>
      </c>
      <c r="C222" s="3" t="s">
        <v>23</v>
      </c>
      <c r="D222" s="3" t="s">
        <v>24</v>
      </c>
      <c r="E222" s="3" t="s">
        <v>24</v>
      </c>
      <c r="F222" s="3" t="s">
        <v>25</v>
      </c>
      <c r="G222" s="3" t="s">
        <v>25</v>
      </c>
      <c r="H222" s="3" t="s">
        <v>25</v>
      </c>
      <c r="I222" s="6">
        <v>44409</v>
      </c>
      <c r="J222" s="4">
        <v>0</v>
      </c>
      <c r="K222" s="4">
        <v>0</v>
      </c>
      <c r="L222" s="4">
        <v>1879.2909999999999</v>
      </c>
      <c r="M222" s="4">
        <v>1879.2909999999999</v>
      </c>
      <c r="N222" s="4">
        <v>1879.2909999999999</v>
      </c>
      <c r="O222" s="4">
        <v>1879.2909999999999</v>
      </c>
      <c r="P222" s="4">
        <v>14910</v>
      </c>
      <c r="Q222" s="3" t="s">
        <v>26</v>
      </c>
      <c r="R222" s="3">
        <v>0</v>
      </c>
      <c r="S222" s="4">
        <v>0</v>
      </c>
      <c r="T222" s="4">
        <v>36</v>
      </c>
      <c r="U222" s="4">
        <v>45</v>
      </c>
      <c r="V222" s="4">
        <f>IF(ISERROR(VLOOKUP($S$222,'TAR FIN'!$A$1:$O$85,15,0)),0,VLOOKUP($S$222,'TAR FIN'!$A$1:$O$85,15,0))</f>
        <v>0</v>
      </c>
      <c r="W222" s="4">
        <f>IF(ISERROR(VLOOKUP($T$222,'TAR FIN'!$A$1:$O$85,15,0)),0,VLOOKUP($T$222,'TAR FIN'!$A$1:$O$85,15,0))</f>
        <v>792.41</v>
      </c>
      <c r="X222" s="4">
        <f>IF(ISERROR(VLOOKUP($U$222,'TAR FIN'!$A$1:$O$85,15,0)),0,VLOOKUP($U$222,'TAR FIN'!$A$1:$O$85,15,0))</f>
        <v>231.33</v>
      </c>
      <c r="Y222" s="4"/>
      <c r="Z222" s="4">
        <f ca="1">('TUSD BE'!$AM$20+'TUSD BF'!$AM$20+'TUSD CVA'!$AM$20)*1</f>
        <v>969.52247148289666</v>
      </c>
      <c r="AA222" s="4">
        <f>('TE BE'!$AA$11+'TE BF'!$AA$11+'TE CVA'!$AA$11)*1</f>
        <v>260.80314197522284</v>
      </c>
      <c r="AB222" s="4">
        <f>$K$222*$V$222</f>
        <v>0</v>
      </c>
      <c r="AC222" s="4">
        <f>$M$222*$W$222</f>
        <v>1489168.9813099999</v>
      </c>
      <c r="AD222" s="4">
        <f>$O$222*$X$222</f>
        <v>434736.38702999998</v>
      </c>
      <c r="AE222" s="4">
        <f>$K$222*$Y$222</f>
        <v>0</v>
      </c>
      <c r="AF222" s="4">
        <f ca="1">$M$222*$Z$222</f>
        <v>1822014.8549555643</v>
      </c>
      <c r="AG222" s="4">
        <f>$O$222*$AA$222</f>
        <v>490124.9974857585</v>
      </c>
    </row>
    <row r="223" spans="1:33" ht="11.25" customHeight="1" x14ac:dyDescent="0.25">
      <c r="A223" s="3" t="s">
        <v>27</v>
      </c>
      <c r="B223" s="3" t="s">
        <v>22</v>
      </c>
      <c r="C223" s="3" t="s">
        <v>23</v>
      </c>
      <c r="D223" s="3" t="s">
        <v>24</v>
      </c>
      <c r="E223" s="3" t="s">
        <v>24</v>
      </c>
      <c r="F223" s="3" t="s">
        <v>25</v>
      </c>
      <c r="G223" s="3" t="s">
        <v>25</v>
      </c>
      <c r="H223" s="3" t="s">
        <v>25</v>
      </c>
      <c r="I223" s="6">
        <v>44409</v>
      </c>
      <c r="J223" s="4">
        <v>0</v>
      </c>
      <c r="K223" s="4">
        <v>0</v>
      </c>
      <c r="L223" s="4">
        <v>-1.458</v>
      </c>
      <c r="M223" s="4">
        <v>-1.458</v>
      </c>
      <c r="N223" s="4">
        <v>-1.458</v>
      </c>
      <c r="O223" s="4">
        <v>-1.458</v>
      </c>
      <c r="P223" s="4">
        <v>0</v>
      </c>
      <c r="Q223" s="3" t="s">
        <v>26</v>
      </c>
      <c r="R223" s="3">
        <v>0</v>
      </c>
      <c r="S223" s="4">
        <v>0</v>
      </c>
      <c r="T223" s="4">
        <v>36</v>
      </c>
      <c r="U223" s="4">
        <v>45</v>
      </c>
      <c r="V223" s="4">
        <f>IF(ISERROR(VLOOKUP($S$223,'TAR FIN'!$A$1:$O$85,15,0)),0,VLOOKUP($S$223,'TAR FIN'!$A$1:$O$85,15,0))</f>
        <v>0</v>
      </c>
      <c r="W223" s="4">
        <f>IF(ISERROR(VLOOKUP($T$223,'TAR FIN'!$A$1:$O$85,15,0)),0,VLOOKUP($T$223,'TAR FIN'!$A$1:$O$85,15,0))</f>
        <v>792.41</v>
      </c>
      <c r="X223" s="4">
        <f>IF(ISERROR(VLOOKUP($U$223,'TAR FIN'!$A$1:$O$85,15,0)),0,VLOOKUP($U$223,'TAR FIN'!$A$1:$O$85,15,0))</f>
        <v>231.33</v>
      </c>
      <c r="Y223" s="4"/>
      <c r="Z223" s="4">
        <f ca="1">('TUSD BE'!$AM$20+'TUSD BF'!$AM$20+'TUSD CVA'!$AM$20)*1</f>
        <v>969.52247148289666</v>
      </c>
      <c r="AA223" s="4">
        <f>('TE BE'!$AA$11+'TE BF'!$AA$11+'TE CVA'!$AA$11)*1</f>
        <v>260.80314197522284</v>
      </c>
      <c r="AB223" s="4">
        <f>$K$223*$V$223</f>
        <v>0</v>
      </c>
      <c r="AC223" s="4">
        <f>$M$223*$W$223</f>
        <v>-1155.3337799999999</v>
      </c>
      <c r="AD223" s="4">
        <f>$O$223*$X$223</f>
        <v>-337.27913999999998</v>
      </c>
      <c r="AE223" s="4">
        <f>$K$223*$Y$223</f>
        <v>0</v>
      </c>
      <c r="AF223" s="4">
        <f ca="1">$M$223*$Z$223</f>
        <v>-1413.5637634220634</v>
      </c>
      <c r="AG223" s="4">
        <f>$O$223*$AA$223</f>
        <v>-380.25098099987491</v>
      </c>
    </row>
    <row r="224" spans="1:33" ht="11.25" customHeight="1" x14ac:dyDescent="0.25">
      <c r="A224" s="3" t="s">
        <v>28</v>
      </c>
      <c r="B224" s="3" t="s">
        <v>22</v>
      </c>
      <c r="C224" s="3" t="s">
        <v>23</v>
      </c>
      <c r="D224" s="3" t="s">
        <v>24</v>
      </c>
      <c r="E224" s="3" t="s">
        <v>24</v>
      </c>
      <c r="F224" s="3" t="s">
        <v>25</v>
      </c>
      <c r="G224" s="3" t="s">
        <v>25</v>
      </c>
      <c r="H224" s="3" t="s">
        <v>25</v>
      </c>
      <c r="I224" s="6">
        <v>44409</v>
      </c>
      <c r="J224" s="4">
        <v>0</v>
      </c>
      <c r="K224" s="4">
        <v>0</v>
      </c>
      <c r="L224" s="4">
        <v>22.29</v>
      </c>
      <c r="M224" s="4">
        <v>22.29</v>
      </c>
      <c r="N224" s="4">
        <v>22.29</v>
      </c>
      <c r="O224" s="4">
        <v>22.29</v>
      </c>
      <c r="P224" s="4">
        <v>157</v>
      </c>
      <c r="Q224" s="3" t="s">
        <v>26</v>
      </c>
      <c r="R224" s="3">
        <v>0</v>
      </c>
      <c r="S224" s="4">
        <v>0</v>
      </c>
      <c r="T224" s="4">
        <v>36</v>
      </c>
      <c r="U224" s="4">
        <v>45</v>
      </c>
      <c r="V224" s="4">
        <f>IF(ISERROR(VLOOKUP($S$224,'TAR FIN'!$A$1:$O$85,15,0)),0,VLOOKUP($S$224,'TAR FIN'!$A$1:$O$85,15,0))</f>
        <v>0</v>
      </c>
      <c r="W224" s="4">
        <f>IF(ISERROR(VLOOKUP($T$224,'TAR FIN'!$A$1:$O$85,15,0)),0,VLOOKUP($T$224,'TAR FIN'!$A$1:$O$85,15,0))</f>
        <v>792.41</v>
      </c>
      <c r="X224" s="4">
        <f>IF(ISERROR(VLOOKUP($U$224,'TAR FIN'!$A$1:$O$85,15,0)),0,VLOOKUP($U$224,'TAR FIN'!$A$1:$O$85,15,0))</f>
        <v>231.33</v>
      </c>
      <c r="Y224" s="4"/>
      <c r="Z224" s="4">
        <f ca="1">('TUSD BE'!$AM$20+'TUSD BF'!$AM$20+'TUSD CVA'!$AM$20)*1</f>
        <v>969.52247148289666</v>
      </c>
      <c r="AA224" s="4">
        <f>('TE BE'!$AA$11+'TE BF'!$AA$11+'TE CVA'!$AA$11)*1</f>
        <v>260.80314197522284</v>
      </c>
      <c r="AB224" s="4">
        <f>$K$224*$V$224</f>
        <v>0</v>
      </c>
      <c r="AC224" s="4">
        <f>$M$224*$W$224</f>
        <v>17662.818899999998</v>
      </c>
      <c r="AD224" s="4">
        <f>$O$224*$X$224</f>
        <v>5156.3456999999999</v>
      </c>
      <c r="AE224" s="4">
        <f>$K$224*$Y$224</f>
        <v>0</v>
      </c>
      <c r="AF224" s="4">
        <f ca="1">$M$224*$Z$224</f>
        <v>21610.655889353766</v>
      </c>
      <c r="AG224" s="4">
        <f>$O$224*$AA$224</f>
        <v>5813.3020346277171</v>
      </c>
    </row>
    <row r="225" spans="1:33" ht="11.25" customHeight="1" x14ac:dyDescent="0.25">
      <c r="A225" s="3" t="s">
        <v>21</v>
      </c>
      <c r="B225" s="3" t="s">
        <v>22</v>
      </c>
      <c r="C225" s="3" t="s">
        <v>23</v>
      </c>
      <c r="D225" s="3" t="s">
        <v>24</v>
      </c>
      <c r="E225" s="3" t="s">
        <v>24</v>
      </c>
      <c r="F225" s="3" t="s">
        <v>25</v>
      </c>
      <c r="G225" s="3" t="s">
        <v>25</v>
      </c>
      <c r="H225" s="3" t="s">
        <v>25</v>
      </c>
      <c r="I225" s="6">
        <v>44440</v>
      </c>
      <c r="J225" s="4">
        <v>0</v>
      </c>
      <c r="K225" s="4">
        <v>0</v>
      </c>
      <c r="L225" s="4">
        <v>2177.0700000000002</v>
      </c>
      <c r="M225" s="4">
        <v>2177.0700000000002</v>
      </c>
      <c r="N225" s="4">
        <v>2177.0700000000002</v>
      </c>
      <c r="O225" s="4">
        <v>2177.0700000000002</v>
      </c>
      <c r="P225" s="4">
        <v>14981</v>
      </c>
      <c r="Q225" s="3" t="s">
        <v>26</v>
      </c>
      <c r="R225" s="3">
        <v>0</v>
      </c>
      <c r="S225" s="4">
        <v>0</v>
      </c>
      <c r="T225" s="4">
        <v>36</v>
      </c>
      <c r="U225" s="4">
        <v>45</v>
      </c>
      <c r="V225" s="4">
        <f>IF(ISERROR(VLOOKUP($S$225,'TAR FIN'!$A$1:$O$85,15,0)),0,VLOOKUP($S$225,'TAR FIN'!$A$1:$O$85,15,0))</f>
        <v>0</v>
      </c>
      <c r="W225" s="4">
        <f>IF(ISERROR(VLOOKUP($T$225,'TAR FIN'!$A$1:$O$85,15,0)),0,VLOOKUP($T$225,'TAR FIN'!$A$1:$O$85,15,0))</f>
        <v>792.41</v>
      </c>
      <c r="X225" s="4">
        <f>IF(ISERROR(VLOOKUP($U$225,'TAR FIN'!$A$1:$O$85,15,0)),0,VLOOKUP($U$225,'TAR FIN'!$A$1:$O$85,15,0))</f>
        <v>231.33</v>
      </c>
      <c r="Y225" s="4"/>
      <c r="Z225" s="4">
        <f ca="1">('TUSD BE'!$AM$20+'TUSD BF'!$AM$20+'TUSD CVA'!$AM$20)*1</f>
        <v>969.52247148289666</v>
      </c>
      <c r="AA225" s="4">
        <f>('TE BE'!$AA$11+'TE BF'!$AA$11+'TE CVA'!$AA$11)*1</f>
        <v>260.80314197522284</v>
      </c>
      <c r="AB225" s="4">
        <f>$K$225*$V$225</f>
        <v>0</v>
      </c>
      <c r="AC225" s="4">
        <f>$M$225*$W$225</f>
        <v>1725132.0387000002</v>
      </c>
      <c r="AD225" s="4">
        <f>$O$225*$X$225</f>
        <v>503621.60310000007</v>
      </c>
      <c r="AE225" s="4">
        <f>$K$225*$Y$225</f>
        <v>0</v>
      </c>
      <c r="AF225" s="4">
        <f ca="1">$M$225*$Z$225</f>
        <v>2110718.2869912698</v>
      </c>
      <c r="AG225" s="4">
        <f>$O$225*$AA$225</f>
        <v>567786.69629999844</v>
      </c>
    </row>
    <row r="226" spans="1:33" ht="11.25" customHeight="1" x14ac:dyDescent="0.25">
      <c r="A226" s="3" t="s">
        <v>27</v>
      </c>
      <c r="B226" s="3" t="s">
        <v>22</v>
      </c>
      <c r="C226" s="3" t="s">
        <v>23</v>
      </c>
      <c r="D226" s="3" t="s">
        <v>24</v>
      </c>
      <c r="E226" s="3" t="s">
        <v>24</v>
      </c>
      <c r="F226" s="3" t="s">
        <v>25</v>
      </c>
      <c r="G226" s="3" t="s">
        <v>25</v>
      </c>
      <c r="H226" s="3" t="s">
        <v>25</v>
      </c>
      <c r="I226" s="6">
        <v>44440</v>
      </c>
      <c r="J226" s="4">
        <v>0</v>
      </c>
      <c r="K226" s="4">
        <v>0</v>
      </c>
      <c r="L226" s="4">
        <v>-1.1859999999999999</v>
      </c>
      <c r="M226" s="4">
        <v>-1.1859999999999999</v>
      </c>
      <c r="N226" s="4">
        <v>-1.1859999999999999</v>
      </c>
      <c r="O226" s="4">
        <v>-1.1859999999999999</v>
      </c>
      <c r="P226" s="4">
        <v>0</v>
      </c>
      <c r="Q226" s="3" t="s">
        <v>26</v>
      </c>
      <c r="R226" s="3">
        <v>0</v>
      </c>
      <c r="S226" s="4">
        <v>0</v>
      </c>
      <c r="T226" s="4">
        <v>36</v>
      </c>
      <c r="U226" s="4">
        <v>45</v>
      </c>
      <c r="V226" s="4">
        <f>IF(ISERROR(VLOOKUP($S$226,'TAR FIN'!$A$1:$O$85,15,0)),0,VLOOKUP($S$226,'TAR FIN'!$A$1:$O$85,15,0))</f>
        <v>0</v>
      </c>
      <c r="W226" s="4">
        <f>IF(ISERROR(VLOOKUP($T$226,'TAR FIN'!$A$1:$O$85,15,0)),0,VLOOKUP($T$226,'TAR FIN'!$A$1:$O$85,15,0))</f>
        <v>792.41</v>
      </c>
      <c r="X226" s="4">
        <f>IF(ISERROR(VLOOKUP($U$226,'TAR FIN'!$A$1:$O$85,15,0)),0,VLOOKUP($U$226,'TAR FIN'!$A$1:$O$85,15,0))</f>
        <v>231.33</v>
      </c>
      <c r="Y226" s="4"/>
      <c r="Z226" s="4">
        <f ca="1">('TUSD BE'!$AM$20+'TUSD BF'!$AM$20+'TUSD CVA'!$AM$20)*1</f>
        <v>969.52247148289666</v>
      </c>
      <c r="AA226" s="4">
        <f>('TE BE'!$AA$11+'TE BF'!$AA$11+'TE CVA'!$AA$11)*1</f>
        <v>260.80314197522284</v>
      </c>
      <c r="AB226" s="4">
        <f>$K$226*$V$226</f>
        <v>0</v>
      </c>
      <c r="AC226" s="4">
        <f>$M$226*$W$226</f>
        <v>-939.79825999999991</v>
      </c>
      <c r="AD226" s="4">
        <f>$O$226*$X$226</f>
        <v>-274.35737999999998</v>
      </c>
      <c r="AE226" s="4">
        <f>$K$226*$Y$226</f>
        <v>0</v>
      </c>
      <c r="AF226" s="4">
        <f ca="1">$M$226*$Z$226</f>
        <v>-1149.8536511787154</v>
      </c>
      <c r="AG226" s="4">
        <f>$O$226*$AA$226</f>
        <v>-309.31252638261429</v>
      </c>
    </row>
    <row r="227" spans="1:33" ht="11.25" customHeight="1" x14ac:dyDescent="0.25">
      <c r="A227" s="3" t="s">
        <v>28</v>
      </c>
      <c r="B227" s="3" t="s">
        <v>22</v>
      </c>
      <c r="C227" s="3" t="s">
        <v>23</v>
      </c>
      <c r="D227" s="3" t="s">
        <v>24</v>
      </c>
      <c r="E227" s="3" t="s">
        <v>24</v>
      </c>
      <c r="F227" s="3" t="s">
        <v>25</v>
      </c>
      <c r="G227" s="3" t="s">
        <v>25</v>
      </c>
      <c r="H227" s="3" t="s">
        <v>25</v>
      </c>
      <c r="I227" s="6">
        <v>44440</v>
      </c>
      <c r="J227" s="4">
        <v>0</v>
      </c>
      <c r="K227" s="4">
        <v>0</v>
      </c>
      <c r="L227" s="4">
        <v>22.503</v>
      </c>
      <c r="M227" s="4">
        <v>22.503</v>
      </c>
      <c r="N227" s="4">
        <v>22.503</v>
      </c>
      <c r="O227" s="4">
        <v>22.503</v>
      </c>
      <c r="P227" s="4">
        <v>170</v>
      </c>
      <c r="Q227" s="3" t="s">
        <v>26</v>
      </c>
      <c r="R227" s="3">
        <v>0</v>
      </c>
      <c r="S227" s="4">
        <v>0</v>
      </c>
      <c r="T227" s="4">
        <v>36</v>
      </c>
      <c r="U227" s="4">
        <v>45</v>
      </c>
      <c r="V227" s="4">
        <f>IF(ISERROR(VLOOKUP($S$227,'TAR FIN'!$A$1:$O$85,15,0)),0,VLOOKUP($S$227,'TAR FIN'!$A$1:$O$85,15,0))</f>
        <v>0</v>
      </c>
      <c r="W227" s="4">
        <f>IF(ISERROR(VLOOKUP($T$227,'TAR FIN'!$A$1:$O$85,15,0)),0,VLOOKUP($T$227,'TAR FIN'!$A$1:$O$85,15,0))</f>
        <v>792.41</v>
      </c>
      <c r="X227" s="4">
        <f>IF(ISERROR(VLOOKUP($U$227,'TAR FIN'!$A$1:$O$85,15,0)),0,VLOOKUP($U$227,'TAR FIN'!$A$1:$O$85,15,0))</f>
        <v>231.33</v>
      </c>
      <c r="Y227" s="4"/>
      <c r="Z227" s="4">
        <f ca="1">('TUSD BE'!$AM$20+'TUSD BF'!$AM$20+'TUSD CVA'!$AM$20)*1</f>
        <v>969.52247148289666</v>
      </c>
      <c r="AA227" s="4">
        <f>('TE BE'!$AA$11+'TE BF'!$AA$11+'TE CVA'!$AA$11)*1</f>
        <v>260.80314197522284</v>
      </c>
      <c r="AB227" s="4">
        <f>$K$227*$V$227</f>
        <v>0</v>
      </c>
      <c r="AC227" s="4">
        <f>$M$227*$W$227</f>
        <v>17831.60223</v>
      </c>
      <c r="AD227" s="4">
        <f>$O$227*$X$227</f>
        <v>5205.6189899999999</v>
      </c>
      <c r="AE227" s="4">
        <f>$K$227*$Y$227</f>
        <v>0</v>
      </c>
      <c r="AF227" s="4">
        <f ca="1">$M$227*$Z$227</f>
        <v>21817.164175779624</v>
      </c>
      <c r="AG227" s="4">
        <f>$O$227*$AA$227</f>
        <v>5868.8531038684396</v>
      </c>
    </row>
    <row r="228" spans="1:33" ht="11.25" customHeight="1" x14ac:dyDescent="0.25">
      <c r="A228" s="3" t="s">
        <v>28</v>
      </c>
      <c r="B228" s="3" t="s">
        <v>22</v>
      </c>
      <c r="C228" s="3" t="s">
        <v>23</v>
      </c>
      <c r="D228" s="3" t="s">
        <v>24</v>
      </c>
      <c r="E228" s="3" t="s">
        <v>24</v>
      </c>
      <c r="F228" s="3" t="s">
        <v>25</v>
      </c>
      <c r="G228" s="3" t="s">
        <v>25</v>
      </c>
      <c r="H228" s="3" t="s">
        <v>25</v>
      </c>
      <c r="I228" s="6">
        <v>44440</v>
      </c>
      <c r="J228" s="4">
        <v>0</v>
      </c>
      <c r="K228" s="4">
        <v>0</v>
      </c>
      <c r="L228" s="4">
        <v>0.72299999999999998</v>
      </c>
      <c r="M228" s="4">
        <v>0.72299999999999998</v>
      </c>
      <c r="N228" s="4">
        <v>0.72299999999999998</v>
      </c>
      <c r="O228" s="4">
        <v>0.72299999999999998</v>
      </c>
      <c r="P228" s="4">
        <v>1</v>
      </c>
      <c r="Q228" s="3" t="s">
        <v>26</v>
      </c>
      <c r="R228" s="3">
        <v>0</v>
      </c>
      <c r="S228" s="4">
        <v>0</v>
      </c>
      <c r="T228" s="4">
        <v>36</v>
      </c>
      <c r="U228" s="4">
        <v>45</v>
      </c>
      <c r="V228" s="4">
        <f>IF(ISERROR(VLOOKUP($S$228,'TAR FIN'!$A$1:$O$85,15,0)),0,VLOOKUP($S$228,'TAR FIN'!$A$1:$O$85,15,0))</f>
        <v>0</v>
      </c>
      <c r="W228" s="4">
        <f>IF(ISERROR(VLOOKUP($T$228,'TAR FIN'!$A$1:$O$85,15,0)),0,VLOOKUP($T$228,'TAR FIN'!$A$1:$O$85,15,0))</f>
        <v>792.41</v>
      </c>
      <c r="X228" s="4">
        <f>IF(ISERROR(VLOOKUP($U$228,'TAR FIN'!$A$1:$O$85,15,0)),0,VLOOKUP($U$228,'TAR FIN'!$A$1:$O$85,15,0))</f>
        <v>231.33</v>
      </c>
      <c r="Y228" s="4"/>
      <c r="Z228" s="4">
        <f ca="1">('TUSD BE'!$AM$20+'TUSD BF'!$AM$20+'TUSD CVA'!$AM$20)*1</f>
        <v>969.52247148289666</v>
      </c>
      <c r="AA228" s="4">
        <f>('TE BE'!$AA$11+'TE BF'!$AA$11+'TE CVA'!$AA$11)*1</f>
        <v>260.80314197522284</v>
      </c>
      <c r="AB228" s="4">
        <f>$K$228*$V$228</f>
        <v>0</v>
      </c>
      <c r="AC228" s="4">
        <f>$M$228*$W$228</f>
        <v>572.91242999999997</v>
      </c>
      <c r="AD228" s="4">
        <f>$O$228*$X$228</f>
        <v>167.25158999999999</v>
      </c>
      <c r="AE228" s="4">
        <f>$K$228*$Y$228</f>
        <v>0</v>
      </c>
      <c r="AF228" s="4">
        <f ca="1">$M$228*$Z$228</f>
        <v>700.96474688213425</v>
      </c>
      <c r="AG228" s="4">
        <f>$O$228*$AA$228</f>
        <v>188.5606716480861</v>
      </c>
    </row>
    <row r="229" spans="1:33" ht="11.25" customHeight="1" x14ac:dyDescent="0.25">
      <c r="A229" s="3" t="s">
        <v>21</v>
      </c>
      <c r="B229" s="3" t="s">
        <v>22</v>
      </c>
      <c r="C229" s="3" t="s">
        <v>23</v>
      </c>
      <c r="D229" s="3" t="s">
        <v>24</v>
      </c>
      <c r="E229" s="3" t="s">
        <v>24</v>
      </c>
      <c r="F229" s="3" t="s">
        <v>25</v>
      </c>
      <c r="G229" s="3" t="s">
        <v>25</v>
      </c>
      <c r="H229" s="3" t="s">
        <v>25</v>
      </c>
      <c r="I229" s="6">
        <v>44470</v>
      </c>
      <c r="J229" s="4">
        <v>0</v>
      </c>
      <c r="K229" s="4">
        <v>0</v>
      </c>
      <c r="L229" s="4">
        <v>2061.8270000000002</v>
      </c>
      <c r="M229" s="4">
        <v>2061.8270000000002</v>
      </c>
      <c r="N229" s="4">
        <v>2061.8270000000002</v>
      </c>
      <c r="O229" s="4">
        <v>2061.8270000000002</v>
      </c>
      <c r="P229" s="4">
        <v>14921</v>
      </c>
      <c r="Q229" s="3" t="s">
        <v>26</v>
      </c>
      <c r="R229" s="3">
        <v>0</v>
      </c>
      <c r="S229" s="4">
        <v>0</v>
      </c>
      <c r="T229" s="4">
        <v>36</v>
      </c>
      <c r="U229" s="4">
        <v>45</v>
      </c>
      <c r="V229" s="4">
        <f>IF(ISERROR(VLOOKUP($S$229,'TAR FIN'!$A$1:$O$85,15,0)),0,VLOOKUP($S$229,'TAR FIN'!$A$1:$O$85,15,0))</f>
        <v>0</v>
      </c>
      <c r="W229" s="4">
        <f>IF(ISERROR(VLOOKUP($T$229,'TAR FIN'!$A$1:$O$85,15,0)),0,VLOOKUP($T$229,'TAR FIN'!$A$1:$O$85,15,0))</f>
        <v>792.41</v>
      </c>
      <c r="X229" s="4">
        <f>IF(ISERROR(VLOOKUP($U$229,'TAR FIN'!$A$1:$O$85,15,0)),0,VLOOKUP($U$229,'TAR FIN'!$A$1:$O$85,15,0))</f>
        <v>231.33</v>
      </c>
      <c r="Y229" s="4"/>
      <c r="Z229" s="4">
        <f ca="1">('TUSD BE'!$AM$20+'TUSD BF'!$AM$20+'TUSD CVA'!$AM$20)*1</f>
        <v>969.52247148289666</v>
      </c>
      <c r="AA229" s="4">
        <f>('TE BE'!$AA$11+'TE BF'!$AA$11+'TE CVA'!$AA$11)*1</f>
        <v>260.80314197522284</v>
      </c>
      <c r="AB229" s="4">
        <f>$K$229*$V$229</f>
        <v>0</v>
      </c>
      <c r="AC229" s="4">
        <f>$M$229*$W$229</f>
        <v>1633812.3330700002</v>
      </c>
      <c r="AD229" s="4">
        <f>$O$229*$X$229</f>
        <v>476962.43991000007</v>
      </c>
      <c r="AE229" s="4">
        <f>$K$229*$Y$229</f>
        <v>0</v>
      </c>
      <c r="AF229" s="4">
        <f ca="1">$M$229*$Z$229</f>
        <v>1998987.6088101666</v>
      </c>
      <c r="AG229" s="4">
        <f>$O$229*$AA$229</f>
        <v>537730.95980934787</v>
      </c>
    </row>
    <row r="230" spans="1:33" ht="11.25" customHeight="1" x14ac:dyDescent="0.25">
      <c r="A230" s="3" t="s">
        <v>27</v>
      </c>
      <c r="B230" s="3" t="s">
        <v>22</v>
      </c>
      <c r="C230" s="3" t="s">
        <v>23</v>
      </c>
      <c r="D230" s="3" t="s">
        <v>24</v>
      </c>
      <c r="E230" s="3" t="s">
        <v>24</v>
      </c>
      <c r="F230" s="3" t="s">
        <v>25</v>
      </c>
      <c r="G230" s="3" t="s">
        <v>25</v>
      </c>
      <c r="H230" s="3" t="s">
        <v>25</v>
      </c>
      <c r="I230" s="6">
        <v>44470</v>
      </c>
      <c r="J230" s="4">
        <v>0</v>
      </c>
      <c r="K230" s="4">
        <v>0</v>
      </c>
      <c r="L230" s="4">
        <v>-1.9179999999999999</v>
      </c>
      <c r="M230" s="4">
        <v>-1.9179999999999999</v>
      </c>
      <c r="N230" s="4">
        <v>-1.9179999999999999</v>
      </c>
      <c r="O230" s="4">
        <v>-1.9179999999999999</v>
      </c>
      <c r="P230" s="4">
        <v>0</v>
      </c>
      <c r="Q230" s="3" t="s">
        <v>26</v>
      </c>
      <c r="R230" s="3">
        <v>0</v>
      </c>
      <c r="S230" s="4">
        <v>0</v>
      </c>
      <c r="T230" s="4">
        <v>36</v>
      </c>
      <c r="U230" s="4">
        <v>45</v>
      </c>
      <c r="V230" s="4">
        <f>IF(ISERROR(VLOOKUP($S$230,'TAR FIN'!$A$1:$O$85,15,0)),0,VLOOKUP($S$230,'TAR FIN'!$A$1:$O$85,15,0))</f>
        <v>0</v>
      </c>
      <c r="W230" s="4">
        <f>IF(ISERROR(VLOOKUP($T$230,'TAR FIN'!$A$1:$O$85,15,0)),0,VLOOKUP($T$230,'TAR FIN'!$A$1:$O$85,15,0))</f>
        <v>792.41</v>
      </c>
      <c r="X230" s="4">
        <f>IF(ISERROR(VLOOKUP($U$230,'TAR FIN'!$A$1:$O$85,15,0)),0,VLOOKUP($U$230,'TAR FIN'!$A$1:$O$85,15,0))</f>
        <v>231.33</v>
      </c>
      <c r="Y230" s="4"/>
      <c r="Z230" s="4">
        <f ca="1">('TUSD BE'!$AM$20+'TUSD BF'!$AM$20+'TUSD CVA'!$AM$20)*1</f>
        <v>969.52247148289666</v>
      </c>
      <c r="AA230" s="4">
        <f>('TE BE'!$AA$11+'TE BF'!$AA$11+'TE CVA'!$AA$11)*1</f>
        <v>260.80314197522284</v>
      </c>
      <c r="AB230" s="4">
        <f>$K$230*$V$230</f>
        <v>0</v>
      </c>
      <c r="AC230" s="4">
        <f>$M$230*$W$230</f>
        <v>-1519.8423799999998</v>
      </c>
      <c r="AD230" s="4">
        <f>$O$230*$X$230</f>
        <v>-443.69094000000001</v>
      </c>
      <c r="AE230" s="4">
        <f>$K$230*$Y$230</f>
        <v>0</v>
      </c>
      <c r="AF230" s="4">
        <f ca="1">$M$230*$Z$230</f>
        <v>-1859.5441003041958</v>
      </c>
      <c r="AG230" s="4">
        <f>$O$230*$AA$230</f>
        <v>-500.22042630847739</v>
      </c>
    </row>
    <row r="231" spans="1:33" ht="11.25" customHeight="1" x14ac:dyDescent="0.25">
      <c r="A231" s="3" t="s">
        <v>28</v>
      </c>
      <c r="B231" s="3" t="s">
        <v>22</v>
      </c>
      <c r="C231" s="3" t="s">
        <v>23</v>
      </c>
      <c r="D231" s="3" t="s">
        <v>24</v>
      </c>
      <c r="E231" s="3" t="s">
        <v>24</v>
      </c>
      <c r="F231" s="3" t="s">
        <v>25</v>
      </c>
      <c r="G231" s="3" t="s">
        <v>25</v>
      </c>
      <c r="H231" s="3" t="s">
        <v>25</v>
      </c>
      <c r="I231" s="6">
        <v>44470</v>
      </c>
      <c r="J231" s="4">
        <v>0</v>
      </c>
      <c r="K231" s="4">
        <v>0</v>
      </c>
      <c r="L231" s="4">
        <v>24.122</v>
      </c>
      <c r="M231" s="4">
        <v>24.122</v>
      </c>
      <c r="N231" s="4">
        <v>24.122</v>
      </c>
      <c r="O231" s="4">
        <v>24.122</v>
      </c>
      <c r="P231" s="4">
        <v>179</v>
      </c>
      <c r="Q231" s="3" t="s">
        <v>26</v>
      </c>
      <c r="R231" s="3">
        <v>0</v>
      </c>
      <c r="S231" s="4">
        <v>0</v>
      </c>
      <c r="T231" s="4">
        <v>36</v>
      </c>
      <c r="U231" s="4">
        <v>45</v>
      </c>
      <c r="V231" s="4">
        <f>IF(ISERROR(VLOOKUP($S$231,'TAR FIN'!$A$1:$O$85,15,0)),0,VLOOKUP($S$231,'TAR FIN'!$A$1:$O$85,15,0))</f>
        <v>0</v>
      </c>
      <c r="W231" s="4">
        <f>IF(ISERROR(VLOOKUP($T$231,'TAR FIN'!$A$1:$O$85,15,0)),0,VLOOKUP($T$231,'TAR FIN'!$A$1:$O$85,15,0))</f>
        <v>792.41</v>
      </c>
      <c r="X231" s="4">
        <f>IF(ISERROR(VLOOKUP($U$231,'TAR FIN'!$A$1:$O$85,15,0)),0,VLOOKUP($U$231,'TAR FIN'!$A$1:$O$85,15,0))</f>
        <v>231.33</v>
      </c>
      <c r="Y231" s="4"/>
      <c r="Z231" s="4">
        <f ca="1">('TUSD BE'!$AM$20+'TUSD BF'!$AM$20+'TUSD CVA'!$AM$20)*1</f>
        <v>969.52247148289666</v>
      </c>
      <c r="AA231" s="4">
        <f>('TE BE'!$AA$11+'TE BF'!$AA$11+'TE CVA'!$AA$11)*1</f>
        <v>260.80314197522284</v>
      </c>
      <c r="AB231" s="4">
        <f>$K$231*$V$231</f>
        <v>0</v>
      </c>
      <c r="AC231" s="4">
        <f>$M$231*$W$231</f>
        <v>19114.514019999999</v>
      </c>
      <c r="AD231" s="4">
        <f>$O$231*$X$231</f>
        <v>5580.1422600000005</v>
      </c>
      <c r="AE231" s="4">
        <f>$K$231*$Y$231</f>
        <v>0</v>
      </c>
      <c r="AF231" s="4">
        <f ca="1">$M$231*$Z$231</f>
        <v>23386.821057110432</v>
      </c>
      <c r="AG231" s="4">
        <f>$O$231*$AA$231</f>
        <v>6291.0933907263252</v>
      </c>
    </row>
    <row r="232" spans="1:33" ht="11.25" customHeight="1" x14ac:dyDescent="0.25">
      <c r="A232" s="3" t="s">
        <v>21</v>
      </c>
      <c r="B232" s="3" t="s">
        <v>22</v>
      </c>
      <c r="C232" s="3" t="s">
        <v>23</v>
      </c>
      <c r="D232" s="3" t="s">
        <v>24</v>
      </c>
      <c r="E232" s="3" t="s">
        <v>24</v>
      </c>
      <c r="F232" s="3" t="s">
        <v>25</v>
      </c>
      <c r="G232" s="3" t="s">
        <v>25</v>
      </c>
      <c r="H232" s="3" t="s">
        <v>25</v>
      </c>
      <c r="I232" s="6">
        <v>44501</v>
      </c>
      <c r="J232" s="4">
        <v>0</v>
      </c>
      <c r="K232" s="4">
        <v>0</v>
      </c>
      <c r="L232" s="4">
        <v>2043.135</v>
      </c>
      <c r="M232" s="4">
        <v>2043.135</v>
      </c>
      <c r="N232" s="4">
        <v>2043.135</v>
      </c>
      <c r="O232" s="4">
        <v>2043.135</v>
      </c>
      <c r="P232" s="4">
        <v>14898</v>
      </c>
      <c r="Q232" s="3" t="s">
        <v>26</v>
      </c>
      <c r="R232" s="3">
        <v>0</v>
      </c>
      <c r="S232" s="4">
        <v>0</v>
      </c>
      <c r="T232" s="4">
        <v>36</v>
      </c>
      <c r="U232" s="4">
        <v>45</v>
      </c>
      <c r="V232" s="4">
        <f>IF(ISERROR(VLOOKUP($S$232,'TAR FIN'!$A$1:$O$85,15,0)),0,VLOOKUP($S$232,'TAR FIN'!$A$1:$O$85,15,0))</f>
        <v>0</v>
      </c>
      <c r="W232" s="4">
        <f>IF(ISERROR(VLOOKUP($T$232,'TAR FIN'!$A$1:$O$85,15,0)),0,VLOOKUP($T$232,'TAR FIN'!$A$1:$O$85,15,0))</f>
        <v>792.41</v>
      </c>
      <c r="X232" s="4">
        <f>IF(ISERROR(VLOOKUP($U$232,'TAR FIN'!$A$1:$O$85,15,0)),0,VLOOKUP($U$232,'TAR FIN'!$A$1:$O$85,15,0))</f>
        <v>231.33</v>
      </c>
      <c r="Y232" s="4"/>
      <c r="Z232" s="4">
        <f ca="1">('TUSD BE'!$AM$20+'TUSD BF'!$AM$20+'TUSD CVA'!$AM$20)*1</f>
        <v>969.52247148289666</v>
      </c>
      <c r="AA232" s="4">
        <f>('TE BE'!$AA$11+'TE BF'!$AA$11+'TE CVA'!$AA$11)*1</f>
        <v>260.80314197522284</v>
      </c>
      <c r="AB232" s="4">
        <f>$K$232*$V$232</f>
        <v>0</v>
      </c>
      <c r="AC232" s="4">
        <f>$M$232*$W$232</f>
        <v>1619000.6053499999</v>
      </c>
      <c r="AD232" s="4">
        <f>$O$232*$X$232</f>
        <v>472638.41955000005</v>
      </c>
      <c r="AE232" s="4">
        <f>$K$232*$Y$232</f>
        <v>0</v>
      </c>
      <c r="AF232" s="4">
        <f ca="1">$M$232*$Z$232</f>
        <v>1980865.294773208</v>
      </c>
      <c r="AG232" s="4">
        <f>$O$232*$AA$232</f>
        <v>532856.02747954696</v>
      </c>
    </row>
    <row r="233" spans="1:33" ht="11.25" customHeight="1" x14ac:dyDescent="0.25">
      <c r="A233" s="3" t="s">
        <v>27</v>
      </c>
      <c r="B233" s="3" t="s">
        <v>22</v>
      </c>
      <c r="C233" s="3" t="s">
        <v>23</v>
      </c>
      <c r="D233" s="3" t="s">
        <v>24</v>
      </c>
      <c r="E233" s="3" t="s">
        <v>24</v>
      </c>
      <c r="F233" s="3" t="s">
        <v>25</v>
      </c>
      <c r="G233" s="3" t="s">
        <v>25</v>
      </c>
      <c r="H233" s="3" t="s">
        <v>25</v>
      </c>
      <c r="I233" s="6">
        <v>44501</v>
      </c>
      <c r="J233" s="4">
        <v>0</v>
      </c>
      <c r="K233" s="4">
        <v>0</v>
      </c>
      <c r="L233" s="4">
        <v>-6.23</v>
      </c>
      <c r="M233" s="4">
        <v>-6.23</v>
      </c>
      <c r="N233" s="4">
        <v>-6.23</v>
      </c>
      <c r="O233" s="4">
        <v>-6.23</v>
      </c>
      <c r="P233" s="4">
        <v>0</v>
      </c>
      <c r="Q233" s="3" t="s">
        <v>26</v>
      </c>
      <c r="R233" s="3">
        <v>0</v>
      </c>
      <c r="S233" s="4">
        <v>0</v>
      </c>
      <c r="T233" s="4">
        <v>36</v>
      </c>
      <c r="U233" s="4">
        <v>45</v>
      </c>
      <c r="V233" s="4">
        <f>IF(ISERROR(VLOOKUP($S$233,'TAR FIN'!$A$1:$O$85,15,0)),0,VLOOKUP($S$233,'TAR FIN'!$A$1:$O$85,15,0))</f>
        <v>0</v>
      </c>
      <c r="W233" s="4">
        <f>IF(ISERROR(VLOOKUP($T$233,'TAR FIN'!$A$1:$O$85,15,0)),0,VLOOKUP($T$233,'TAR FIN'!$A$1:$O$85,15,0))</f>
        <v>792.41</v>
      </c>
      <c r="X233" s="4">
        <f>IF(ISERROR(VLOOKUP($U$233,'TAR FIN'!$A$1:$O$85,15,0)),0,VLOOKUP($U$233,'TAR FIN'!$A$1:$O$85,15,0))</f>
        <v>231.33</v>
      </c>
      <c r="Y233" s="4"/>
      <c r="Z233" s="4">
        <f ca="1">('TUSD BE'!$AM$20+'TUSD BF'!$AM$20+'TUSD CVA'!$AM$20)*1</f>
        <v>969.52247148289666</v>
      </c>
      <c r="AA233" s="4">
        <f>('TE BE'!$AA$11+'TE BF'!$AA$11+'TE CVA'!$AA$11)*1</f>
        <v>260.80314197522284</v>
      </c>
      <c r="AB233" s="4">
        <f>$K$233*$V$233</f>
        <v>0</v>
      </c>
      <c r="AC233" s="4">
        <f>$M$233*$W$233</f>
        <v>-4936.7143000000005</v>
      </c>
      <c r="AD233" s="4">
        <f>$O$233*$X$233</f>
        <v>-1441.1859000000002</v>
      </c>
      <c r="AE233" s="4">
        <f>$K$233*$Y$233</f>
        <v>0</v>
      </c>
      <c r="AF233" s="4">
        <f ca="1">$M$233*$Z$233</f>
        <v>-6040.1249973384465</v>
      </c>
      <c r="AG233" s="4">
        <f>$O$233*$AA$233</f>
        <v>-1624.8035745056384</v>
      </c>
    </row>
    <row r="234" spans="1:33" ht="11.25" customHeight="1" x14ac:dyDescent="0.25">
      <c r="A234" s="3" t="s">
        <v>28</v>
      </c>
      <c r="B234" s="3" t="s">
        <v>22</v>
      </c>
      <c r="C234" s="3" t="s">
        <v>23</v>
      </c>
      <c r="D234" s="3" t="s">
        <v>24</v>
      </c>
      <c r="E234" s="3" t="s">
        <v>24</v>
      </c>
      <c r="F234" s="3" t="s">
        <v>25</v>
      </c>
      <c r="G234" s="3" t="s">
        <v>25</v>
      </c>
      <c r="H234" s="3" t="s">
        <v>25</v>
      </c>
      <c r="I234" s="6">
        <v>44501</v>
      </c>
      <c r="J234" s="4">
        <v>0</v>
      </c>
      <c r="K234" s="4">
        <v>0</v>
      </c>
      <c r="L234" s="4">
        <v>24.597000000000001</v>
      </c>
      <c r="M234" s="4">
        <v>24.597000000000001</v>
      </c>
      <c r="N234" s="4">
        <v>24.597000000000001</v>
      </c>
      <c r="O234" s="4">
        <v>24.597000000000001</v>
      </c>
      <c r="P234" s="4">
        <v>193</v>
      </c>
      <c r="Q234" s="3" t="s">
        <v>26</v>
      </c>
      <c r="R234" s="3">
        <v>0</v>
      </c>
      <c r="S234" s="4">
        <v>0</v>
      </c>
      <c r="T234" s="4">
        <v>36</v>
      </c>
      <c r="U234" s="4">
        <v>45</v>
      </c>
      <c r="V234" s="4">
        <f>IF(ISERROR(VLOOKUP($S$234,'TAR FIN'!$A$1:$O$85,15,0)),0,VLOOKUP($S$234,'TAR FIN'!$A$1:$O$85,15,0))</f>
        <v>0</v>
      </c>
      <c r="W234" s="4">
        <f>IF(ISERROR(VLOOKUP($T$234,'TAR FIN'!$A$1:$O$85,15,0)),0,VLOOKUP($T$234,'TAR FIN'!$A$1:$O$85,15,0))</f>
        <v>792.41</v>
      </c>
      <c r="X234" s="4">
        <f>IF(ISERROR(VLOOKUP($U$234,'TAR FIN'!$A$1:$O$85,15,0)),0,VLOOKUP($U$234,'TAR FIN'!$A$1:$O$85,15,0))</f>
        <v>231.33</v>
      </c>
      <c r="Y234" s="4"/>
      <c r="Z234" s="4">
        <f ca="1">('TUSD BE'!$AM$20+'TUSD BF'!$AM$20+'TUSD CVA'!$AM$20)*1</f>
        <v>969.52247148289666</v>
      </c>
      <c r="AA234" s="4">
        <f>('TE BE'!$AA$11+'TE BF'!$AA$11+'TE CVA'!$AA$11)*1</f>
        <v>260.80314197522284</v>
      </c>
      <c r="AB234" s="4">
        <f>$K$234*$V$234</f>
        <v>0</v>
      </c>
      <c r="AC234" s="4">
        <f>$M$234*$W$234</f>
        <v>19490.908770000002</v>
      </c>
      <c r="AD234" s="4">
        <f>$O$234*$X$234</f>
        <v>5690.024010000001</v>
      </c>
      <c r="AE234" s="4">
        <f>$K$234*$Y$234</f>
        <v>0</v>
      </c>
      <c r="AF234" s="4">
        <f ca="1">$M$234*$Z$234</f>
        <v>23847.34423106481</v>
      </c>
      <c r="AG234" s="4">
        <f>$O$234*$AA$234</f>
        <v>6414.9748831645566</v>
      </c>
    </row>
    <row r="235" spans="1:33" ht="11.25" customHeight="1" x14ac:dyDescent="0.25">
      <c r="A235" s="3" t="s">
        <v>21</v>
      </c>
      <c r="B235" s="3" t="s">
        <v>22</v>
      </c>
      <c r="C235" s="3" t="s">
        <v>23</v>
      </c>
      <c r="D235" s="3" t="s">
        <v>24</v>
      </c>
      <c r="E235" s="3" t="s">
        <v>24</v>
      </c>
      <c r="F235" s="3" t="s">
        <v>25</v>
      </c>
      <c r="G235" s="3" t="s">
        <v>25</v>
      </c>
      <c r="H235" s="3" t="s">
        <v>25</v>
      </c>
      <c r="I235" s="6">
        <v>44531</v>
      </c>
      <c r="J235" s="4">
        <v>0</v>
      </c>
      <c r="K235" s="4">
        <v>0</v>
      </c>
      <c r="L235" s="4">
        <v>2159.143</v>
      </c>
      <c r="M235" s="4">
        <v>2159.143</v>
      </c>
      <c r="N235" s="4">
        <v>2159.143</v>
      </c>
      <c r="O235" s="4">
        <v>2159.143</v>
      </c>
      <c r="P235" s="4">
        <v>14900</v>
      </c>
      <c r="Q235" s="3" t="s">
        <v>26</v>
      </c>
      <c r="R235" s="3">
        <v>0</v>
      </c>
      <c r="S235" s="4">
        <v>0</v>
      </c>
      <c r="T235" s="4">
        <v>36</v>
      </c>
      <c r="U235" s="4">
        <v>45</v>
      </c>
      <c r="V235" s="4">
        <f>IF(ISERROR(VLOOKUP($S$235,'TAR FIN'!$A$1:$O$85,15,0)),0,VLOOKUP($S$235,'TAR FIN'!$A$1:$O$85,15,0))</f>
        <v>0</v>
      </c>
      <c r="W235" s="4">
        <f>IF(ISERROR(VLOOKUP($T$235,'TAR FIN'!$A$1:$O$85,15,0)),0,VLOOKUP($T$235,'TAR FIN'!$A$1:$O$85,15,0))</f>
        <v>792.41</v>
      </c>
      <c r="X235" s="4">
        <f>IF(ISERROR(VLOOKUP($U$235,'TAR FIN'!$A$1:$O$85,15,0)),0,VLOOKUP($U$235,'TAR FIN'!$A$1:$O$85,15,0))</f>
        <v>231.33</v>
      </c>
      <c r="Y235" s="4"/>
      <c r="Z235" s="4">
        <f ca="1">('TUSD BE'!$AM$20+'TUSD BF'!$AM$20+'TUSD CVA'!$AM$20)*1</f>
        <v>969.52247148289666</v>
      </c>
      <c r="AA235" s="4">
        <f>('TE BE'!$AA$11+'TE BF'!$AA$11+'TE CVA'!$AA$11)*1</f>
        <v>260.80314197522284</v>
      </c>
      <c r="AB235" s="4">
        <f>$K$235*$V$235</f>
        <v>0</v>
      </c>
      <c r="AC235" s="4">
        <f>$M$235*$W$235</f>
        <v>1710926.5046299999</v>
      </c>
      <c r="AD235" s="4">
        <f>$O$235*$X$235</f>
        <v>499474.55019000004</v>
      </c>
      <c r="AE235" s="4">
        <f>$K$235*$Y$235</f>
        <v>0</v>
      </c>
      <c r="AF235" s="4">
        <f ca="1">$M$235*$Z$235</f>
        <v>2093337.657644996</v>
      </c>
      <c r="AG235" s="4">
        <f>$O$235*$AA$235</f>
        <v>563111.2783738086</v>
      </c>
    </row>
    <row r="236" spans="1:33" ht="11.25" customHeight="1" x14ac:dyDescent="0.25">
      <c r="A236" s="3" t="s">
        <v>27</v>
      </c>
      <c r="B236" s="3" t="s">
        <v>22</v>
      </c>
      <c r="C236" s="3" t="s">
        <v>23</v>
      </c>
      <c r="D236" s="3" t="s">
        <v>24</v>
      </c>
      <c r="E236" s="3" t="s">
        <v>24</v>
      </c>
      <c r="F236" s="3" t="s">
        <v>25</v>
      </c>
      <c r="G236" s="3" t="s">
        <v>25</v>
      </c>
      <c r="H236" s="3" t="s">
        <v>25</v>
      </c>
      <c r="I236" s="6">
        <v>44531</v>
      </c>
      <c r="J236" s="4">
        <v>0</v>
      </c>
      <c r="K236" s="4">
        <v>0</v>
      </c>
      <c r="L236" s="4">
        <v>-2.7770000000000001</v>
      </c>
      <c r="M236" s="4">
        <v>-2.7770000000000001</v>
      </c>
      <c r="N236" s="4">
        <v>-2.7770000000000001</v>
      </c>
      <c r="O236" s="4">
        <v>-2.7770000000000001</v>
      </c>
      <c r="P236" s="4">
        <v>0</v>
      </c>
      <c r="Q236" s="3" t="s">
        <v>26</v>
      </c>
      <c r="R236" s="3">
        <v>0</v>
      </c>
      <c r="S236" s="4">
        <v>0</v>
      </c>
      <c r="T236" s="4">
        <v>36</v>
      </c>
      <c r="U236" s="4">
        <v>45</v>
      </c>
      <c r="V236" s="4">
        <f>IF(ISERROR(VLOOKUP($S$236,'TAR FIN'!$A$1:$O$85,15,0)),0,VLOOKUP($S$236,'TAR FIN'!$A$1:$O$85,15,0))</f>
        <v>0</v>
      </c>
      <c r="W236" s="4">
        <f>IF(ISERROR(VLOOKUP($T$236,'TAR FIN'!$A$1:$O$85,15,0)),0,VLOOKUP($T$236,'TAR FIN'!$A$1:$O$85,15,0))</f>
        <v>792.41</v>
      </c>
      <c r="X236" s="4">
        <f>IF(ISERROR(VLOOKUP($U$236,'TAR FIN'!$A$1:$O$85,15,0)),0,VLOOKUP($U$236,'TAR FIN'!$A$1:$O$85,15,0))</f>
        <v>231.33</v>
      </c>
      <c r="Y236" s="4"/>
      <c r="Z236" s="4">
        <f ca="1">('TUSD BE'!$AM$20+'TUSD BF'!$AM$20+'TUSD CVA'!$AM$20)*1</f>
        <v>969.52247148289666</v>
      </c>
      <c r="AA236" s="4">
        <f>('TE BE'!$AA$11+'TE BF'!$AA$11+'TE CVA'!$AA$11)*1</f>
        <v>260.80314197522284</v>
      </c>
      <c r="AB236" s="4">
        <f>$K$236*$V$236</f>
        <v>0</v>
      </c>
      <c r="AC236" s="4">
        <f>$M$236*$W$236</f>
        <v>-2200.5225700000001</v>
      </c>
      <c r="AD236" s="4">
        <f>$O$236*$X$236</f>
        <v>-642.40341000000012</v>
      </c>
      <c r="AE236" s="4">
        <f>$K$236*$Y$236</f>
        <v>0</v>
      </c>
      <c r="AF236" s="4">
        <f ca="1">$M$236*$Z$236</f>
        <v>-2692.363903308004</v>
      </c>
      <c r="AG236" s="4">
        <f>$O$236*$AA$236</f>
        <v>-724.25032526519385</v>
      </c>
    </row>
    <row r="237" spans="1:33" ht="11.25" customHeight="1" x14ac:dyDescent="0.25">
      <c r="A237" s="3" t="s">
        <v>28</v>
      </c>
      <c r="B237" s="3" t="s">
        <v>22</v>
      </c>
      <c r="C237" s="3" t="s">
        <v>23</v>
      </c>
      <c r="D237" s="3" t="s">
        <v>24</v>
      </c>
      <c r="E237" s="3" t="s">
        <v>24</v>
      </c>
      <c r="F237" s="3" t="s">
        <v>25</v>
      </c>
      <c r="G237" s="3" t="s">
        <v>25</v>
      </c>
      <c r="H237" s="3" t="s">
        <v>25</v>
      </c>
      <c r="I237" s="6">
        <v>44531</v>
      </c>
      <c r="J237" s="4">
        <v>0</v>
      </c>
      <c r="K237" s="4">
        <v>0</v>
      </c>
      <c r="L237" s="4">
        <v>24.524000000000001</v>
      </c>
      <c r="M237" s="4">
        <v>24.524000000000001</v>
      </c>
      <c r="N237" s="4">
        <v>24.524000000000001</v>
      </c>
      <c r="O237" s="4">
        <v>24.524000000000001</v>
      </c>
      <c r="P237" s="4">
        <v>210</v>
      </c>
      <c r="Q237" s="3" t="s">
        <v>26</v>
      </c>
      <c r="R237" s="3">
        <v>0</v>
      </c>
      <c r="S237" s="4">
        <v>0</v>
      </c>
      <c r="T237" s="4">
        <v>36</v>
      </c>
      <c r="U237" s="4">
        <v>45</v>
      </c>
      <c r="V237" s="4">
        <f>IF(ISERROR(VLOOKUP($S$237,'TAR FIN'!$A$1:$O$85,15,0)),0,VLOOKUP($S$237,'TAR FIN'!$A$1:$O$85,15,0))</f>
        <v>0</v>
      </c>
      <c r="W237" s="4">
        <f>IF(ISERROR(VLOOKUP($T$237,'TAR FIN'!$A$1:$O$85,15,0)),0,VLOOKUP($T$237,'TAR FIN'!$A$1:$O$85,15,0))</f>
        <v>792.41</v>
      </c>
      <c r="X237" s="4">
        <f>IF(ISERROR(VLOOKUP($U$237,'TAR FIN'!$A$1:$O$85,15,0)),0,VLOOKUP($U$237,'TAR FIN'!$A$1:$O$85,15,0))</f>
        <v>231.33</v>
      </c>
      <c r="Y237" s="4"/>
      <c r="Z237" s="4">
        <f ca="1">('TUSD BE'!$AM$20+'TUSD BF'!$AM$20+'TUSD CVA'!$AM$20)*1</f>
        <v>969.52247148289666</v>
      </c>
      <c r="AA237" s="4">
        <f>('TE BE'!$AA$11+'TE BF'!$AA$11+'TE CVA'!$AA$11)*1</f>
        <v>260.80314197522284</v>
      </c>
      <c r="AB237" s="4">
        <f>$K$237*$V$237</f>
        <v>0</v>
      </c>
      <c r="AC237" s="4">
        <f>$M$237*$W$237</f>
        <v>19433.062839999999</v>
      </c>
      <c r="AD237" s="4">
        <f>$O$237*$X$237</f>
        <v>5673.1369200000008</v>
      </c>
      <c r="AE237" s="4">
        <f>$K$237*$Y$237</f>
        <v>0</v>
      </c>
      <c r="AF237" s="4">
        <f ca="1">$M$237*$Z$237</f>
        <v>23776.569090646557</v>
      </c>
      <c r="AG237" s="4">
        <f>$O$237*$AA$237</f>
        <v>6395.9362538003652</v>
      </c>
    </row>
    <row r="238" spans="1:33" ht="11.25" customHeight="1" x14ac:dyDescent="0.25">
      <c r="A238" s="3" t="s">
        <v>21</v>
      </c>
      <c r="B238" s="3" t="s">
        <v>22</v>
      </c>
      <c r="C238" s="3" t="s">
        <v>23</v>
      </c>
      <c r="D238" s="3" t="s">
        <v>24</v>
      </c>
      <c r="E238" s="3" t="s">
        <v>24</v>
      </c>
      <c r="F238" s="3" t="s">
        <v>25</v>
      </c>
      <c r="G238" s="3" t="s">
        <v>25</v>
      </c>
      <c r="H238" s="3" t="s">
        <v>25</v>
      </c>
      <c r="I238" s="6">
        <v>44562</v>
      </c>
      <c r="J238" s="4">
        <v>0</v>
      </c>
      <c r="K238" s="4">
        <v>0</v>
      </c>
      <c r="L238" s="4">
        <v>2359.4070000000002</v>
      </c>
      <c r="M238" s="4">
        <v>2359.4070000000002</v>
      </c>
      <c r="N238" s="4">
        <v>2359.4070000000002</v>
      </c>
      <c r="O238" s="4">
        <v>2359.4070000000002</v>
      </c>
      <c r="P238" s="4">
        <v>14891</v>
      </c>
      <c r="Q238" s="3" t="s">
        <v>26</v>
      </c>
      <c r="R238" s="3">
        <v>0</v>
      </c>
      <c r="S238" s="4">
        <v>0</v>
      </c>
      <c r="T238" s="4">
        <v>36</v>
      </c>
      <c r="U238" s="4">
        <v>45</v>
      </c>
      <c r="V238" s="4">
        <f>IF(ISERROR(VLOOKUP($S$238,'TAR FIN'!$A$1:$O$85,15,0)),0,VLOOKUP($S$238,'TAR FIN'!$A$1:$O$85,15,0))</f>
        <v>0</v>
      </c>
      <c r="W238" s="4">
        <f>IF(ISERROR(VLOOKUP($T$238,'TAR FIN'!$A$1:$O$85,15,0)),0,VLOOKUP($T$238,'TAR FIN'!$A$1:$O$85,15,0))</f>
        <v>792.41</v>
      </c>
      <c r="X238" s="4">
        <f>IF(ISERROR(VLOOKUP($U$238,'TAR FIN'!$A$1:$O$85,15,0)),0,VLOOKUP($U$238,'TAR FIN'!$A$1:$O$85,15,0))</f>
        <v>231.33</v>
      </c>
      <c r="Y238" s="4"/>
      <c r="Z238" s="4">
        <f ca="1">('TUSD BE'!$AM$20+'TUSD BF'!$AM$20+'TUSD CVA'!$AM$20)*1</f>
        <v>969.52247148289666</v>
      </c>
      <c r="AA238" s="4">
        <f>('TE BE'!$AA$11+'TE BF'!$AA$11+'TE CVA'!$AA$11)*1</f>
        <v>260.80314197522284</v>
      </c>
      <c r="AB238" s="4">
        <f>$K$238*$V$238</f>
        <v>0</v>
      </c>
      <c r="AC238" s="4">
        <f>$M$238*$W$238</f>
        <v>1869617.7008700001</v>
      </c>
      <c r="AD238" s="4">
        <f>$O$238*$X$238</f>
        <v>545801.62131000008</v>
      </c>
      <c r="AE238" s="4">
        <f>$K$238*$Y$238</f>
        <v>0</v>
      </c>
      <c r="AF238" s="4">
        <f ca="1">$M$238*$Z$238</f>
        <v>2287498.1058740467</v>
      </c>
      <c r="AG238" s="4">
        <f>$O$238*$AA$238</f>
        <v>615340.75879833463</v>
      </c>
    </row>
    <row r="239" spans="1:33" ht="11.25" customHeight="1" x14ac:dyDescent="0.25">
      <c r="A239" s="3" t="s">
        <v>27</v>
      </c>
      <c r="B239" s="3" t="s">
        <v>22</v>
      </c>
      <c r="C239" s="3" t="s">
        <v>23</v>
      </c>
      <c r="D239" s="3" t="s">
        <v>24</v>
      </c>
      <c r="E239" s="3" t="s">
        <v>24</v>
      </c>
      <c r="F239" s="3" t="s">
        <v>25</v>
      </c>
      <c r="G239" s="3" t="s">
        <v>25</v>
      </c>
      <c r="H239" s="3" t="s">
        <v>25</v>
      </c>
      <c r="I239" s="6">
        <v>44562</v>
      </c>
      <c r="J239" s="4">
        <v>0</v>
      </c>
      <c r="K239" s="4">
        <v>0</v>
      </c>
      <c r="L239" s="4">
        <v>-5.7320000000000002</v>
      </c>
      <c r="M239" s="4">
        <v>-5.7320000000000002</v>
      </c>
      <c r="N239" s="4">
        <v>-5.7320000000000002</v>
      </c>
      <c r="O239" s="4">
        <v>-5.7320000000000002</v>
      </c>
      <c r="P239" s="4">
        <v>0</v>
      </c>
      <c r="Q239" s="3" t="s">
        <v>26</v>
      </c>
      <c r="R239" s="3">
        <v>0</v>
      </c>
      <c r="S239" s="4">
        <v>0</v>
      </c>
      <c r="T239" s="4">
        <v>36</v>
      </c>
      <c r="U239" s="4">
        <v>45</v>
      </c>
      <c r="V239" s="4">
        <f>IF(ISERROR(VLOOKUP($S$239,'TAR FIN'!$A$1:$O$85,15,0)),0,VLOOKUP($S$239,'TAR FIN'!$A$1:$O$85,15,0))</f>
        <v>0</v>
      </c>
      <c r="W239" s="4">
        <f>IF(ISERROR(VLOOKUP($T$239,'TAR FIN'!$A$1:$O$85,15,0)),0,VLOOKUP($T$239,'TAR FIN'!$A$1:$O$85,15,0))</f>
        <v>792.41</v>
      </c>
      <c r="X239" s="4">
        <f>IF(ISERROR(VLOOKUP($U$239,'TAR FIN'!$A$1:$O$85,15,0)),0,VLOOKUP($U$239,'TAR FIN'!$A$1:$O$85,15,0))</f>
        <v>231.33</v>
      </c>
      <c r="Y239" s="4"/>
      <c r="Z239" s="4">
        <f ca="1">('TUSD BE'!$AM$20+'TUSD BF'!$AM$20+'TUSD CVA'!$AM$20)*1</f>
        <v>969.52247148289666</v>
      </c>
      <c r="AA239" s="4">
        <f>('TE BE'!$AA$11+'TE BF'!$AA$11+'TE CVA'!$AA$11)*1</f>
        <v>260.80314197522284</v>
      </c>
      <c r="AB239" s="4">
        <f>$K$239*$V$239</f>
        <v>0</v>
      </c>
      <c r="AC239" s="4">
        <f>$M$239*$W$239</f>
        <v>-4542.0941199999997</v>
      </c>
      <c r="AD239" s="4">
        <f>$O$239*$X$239</f>
        <v>-1325.9835600000001</v>
      </c>
      <c r="AE239" s="4">
        <f>$K$239*$Y$239</f>
        <v>0</v>
      </c>
      <c r="AF239" s="4">
        <f ca="1">$M$239*$Z$239</f>
        <v>-5557.302806539964</v>
      </c>
      <c r="AG239" s="4">
        <f>$O$239*$AA$239</f>
        <v>-1494.9236098019774</v>
      </c>
    </row>
    <row r="240" spans="1:33" ht="11.25" customHeight="1" x14ac:dyDescent="0.25">
      <c r="A240" s="3" t="s">
        <v>28</v>
      </c>
      <c r="B240" s="3" t="s">
        <v>22</v>
      </c>
      <c r="C240" s="3" t="s">
        <v>23</v>
      </c>
      <c r="D240" s="3" t="s">
        <v>24</v>
      </c>
      <c r="E240" s="3" t="s">
        <v>24</v>
      </c>
      <c r="F240" s="3" t="s">
        <v>25</v>
      </c>
      <c r="G240" s="3" t="s">
        <v>25</v>
      </c>
      <c r="H240" s="3" t="s">
        <v>25</v>
      </c>
      <c r="I240" s="6">
        <v>44562</v>
      </c>
      <c r="J240" s="4">
        <v>0</v>
      </c>
      <c r="K240" s="4">
        <v>0</v>
      </c>
      <c r="L240" s="4">
        <v>31.800999999999998</v>
      </c>
      <c r="M240" s="4">
        <v>31.800999999999998</v>
      </c>
      <c r="N240" s="4">
        <v>31.800999999999998</v>
      </c>
      <c r="O240" s="4">
        <v>31.800999999999998</v>
      </c>
      <c r="P240" s="4">
        <v>217</v>
      </c>
      <c r="Q240" s="3" t="s">
        <v>26</v>
      </c>
      <c r="R240" s="3">
        <v>0</v>
      </c>
      <c r="S240" s="4">
        <v>0</v>
      </c>
      <c r="T240" s="4">
        <v>36</v>
      </c>
      <c r="U240" s="4">
        <v>45</v>
      </c>
      <c r="V240" s="4">
        <f>IF(ISERROR(VLOOKUP($S$240,'TAR FIN'!$A$1:$O$85,15,0)),0,VLOOKUP($S$240,'TAR FIN'!$A$1:$O$85,15,0))</f>
        <v>0</v>
      </c>
      <c r="W240" s="4">
        <f>IF(ISERROR(VLOOKUP($T$240,'TAR FIN'!$A$1:$O$85,15,0)),0,VLOOKUP($T$240,'TAR FIN'!$A$1:$O$85,15,0))</f>
        <v>792.41</v>
      </c>
      <c r="X240" s="4">
        <f>IF(ISERROR(VLOOKUP($U$240,'TAR FIN'!$A$1:$O$85,15,0)),0,VLOOKUP($U$240,'TAR FIN'!$A$1:$O$85,15,0))</f>
        <v>231.33</v>
      </c>
      <c r="Y240" s="4"/>
      <c r="Z240" s="4">
        <f ca="1">('TUSD BE'!$AM$20+'TUSD BF'!$AM$20+'TUSD CVA'!$AM$20)*1</f>
        <v>969.52247148289666</v>
      </c>
      <c r="AA240" s="4">
        <f>('TE BE'!$AA$11+'TE BF'!$AA$11+'TE CVA'!$AA$11)*1</f>
        <v>260.80314197522284</v>
      </c>
      <c r="AB240" s="4">
        <f>$K$240*$V$240</f>
        <v>0</v>
      </c>
      <c r="AC240" s="4">
        <f>$M$240*$W$240</f>
        <v>25199.430409999997</v>
      </c>
      <c r="AD240" s="4">
        <f>$O$240*$X$240</f>
        <v>7356.5253300000004</v>
      </c>
      <c r="AE240" s="4">
        <f>$K$240*$Y$240</f>
        <v>0</v>
      </c>
      <c r="AF240" s="4">
        <f ca="1">$M$240*$Z$240</f>
        <v>30831.784115627594</v>
      </c>
      <c r="AG240" s="4">
        <f>$O$240*$AA$240</f>
        <v>8293.8007179540618</v>
      </c>
    </row>
    <row r="241" spans="1:33" ht="11.25" customHeight="1" x14ac:dyDescent="0.25">
      <c r="A241" s="3" t="s">
        <v>21</v>
      </c>
      <c r="B241" s="3" t="s">
        <v>22</v>
      </c>
      <c r="C241" s="3" t="s">
        <v>23</v>
      </c>
      <c r="D241" s="3" t="s">
        <v>24</v>
      </c>
      <c r="E241" s="3" t="s">
        <v>24</v>
      </c>
      <c r="F241" s="3" t="s">
        <v>25</v>
      </c>
      <c r="G241" s="3" t="s">
        <v>25</v>
      </c>
      <c r="H241" s="3" t="s">
        <v>25</v>
      </c>
      <c r="I241" s="6">
        <v>44593</v>
      </c>
      <c r="J241" s="4">
        <v>0</v>
      </c>
      <c r="K241" s="4">
        <v>0</v>
      </c>
      <c r="L241" s="4">
        <v>2520.4279999999999</v>
      </c>
      <c r="M241" s="4">
        <v>2520.4279999999999</v>
      </c>
      <c r="N241" s="4">
        <v>2520.4279999999999</v>
      </c>
      <c r="O241" s="4">
        <v>2520.4279999999999</v>
      </c>
      <c r="P241" s="4">
        <v>14872</v>
      </c>
      <c r="Q241" s="3" t="s">
        <v>26</v>
      </c>
      <c r="R241" s="3">
        <v>0</v>
      </c>
      <c r="S241" s="4">
        <v>0</v>
      </c>
      <c r="T241" s="4">
        <v>36</v>
      </c>
      <c r="U241" s="4">
        <v>45</v>
      </c>
      <c r="V241" s="4">
        <f>IF(ISERROR(VLOOKUP($S$241,'TAR FIN'!$A$1:$O$85,15,0)),0,VLOOKUP($S$241,'TAR FIN'!$A$1:$O$85,15,0))</f>
        <v>0</v>
      </c>
      <c r="W241" s="4">
        <f>IF(ISERROR(VLOOKUP($T$241,'TAR FIN'!$A$1:$O$85,15,0)),0,VLOOKUP($T$241,'TAR FIN'!$A$1:$O$85,15,0))</f>
        <v>792.41</v>
      </c>
      <c r="X241" s="4">
        <f>IF(ISERROR(VLOOKUP($U$241,'TAR FIN'!$A$1:$O$85,15,0)),0,VLOOKUP($U$241,'TAR FIN'!$A$1:$O$85,15,0))</f>
        <v>231.33</v>
      </c>
      <c r="Y241" s="4"/>
      <c r="Z241" s="4">
        <f ca="1">('TUSD BE'!$AM$20+'TUSD BF'!$AM$20+'TUSD CVA'!$AM$20)*1</f>
        <v>969.52247148289666</v>
      </c>
      <c r="AA241" s="4">
        <f>('TE BE'!$AA$11+'TE BF'!$AA$11+'TE CVA'!$AA$11)*1</f>
        <v>260.80314197522284</v>
      </c>
      <c r="AB241" s="4">
        <f>$K$241*$V$241</f>
        <v>0</v>
      </c>
      <c r="AC241" s="4">
        <f>$M$241*$W$241</f>
        <v>1997212.3514799997</v>
      </c>
      <c r="AD241" s="4">
        <f>$O$241*$X$241</f>
        <v>583050.60924000002</v>
      </c>
      <c r="AE241" s="4">
        <f>$K$241*$Y$241</f>
        <v>0</v>
      </c>
      <c r="AF241" s="4">
        <f ca="1">$M$241*$Z$241</f>
        <v>2443611.5837546941</v>
      </c>
      <c r="AG241" s="4">
        <f>$O$241*$AA$241</f>
        <v>657335.54152232688</v>
      </c>
    </row>
    <row r="242" spans="1:33" ht="11.25" customHeight="1" x14ac:dyDescent="0.25">
      <c r="A242" s="3" t="s">
        <v>27</v>
      </c>
      <c r="B242" s="3" t="s">
        <v>22</v>
      </c>
      <c r="C242" s="3" t="s">
        <v>23</v>
      </c>
      <c r="D242" s="3" t="s">
        <v>24</v>
      </c>
      <c r="E242" s="3" t="s">
        <v>24</v>
      </c>
      <c r="F242" s="3" t="s">
        <v>25</v>
      </c>
      <c r="G242" s="3" t="s">
        <v>25</v>
      </c>
      <c r="H242" s="3" t="s">
        <v>25</v>
      </c>
      <c r="I242" s="6">
        <v>44593</v>
      </c>
      <c r="J242" s="4">
        <v>0</v>
      </c>
      <c r="K242" s="4">
        <v>0</v>
      </c>
      <c r="L242" s="4">
        <v>0.23400000000000001</v>
      </c>
      <c r="M242" s="4">
        <v>0.23400000000000001</v>
      </c>
      <c r="N242" s="4">
        <v>0.23400000000000001</v>
      </c>
      <c r="O242" s="4">
        <v>0.23400000000000001</v>
      </c>
      <c r="P242" s="4">
        <v>0</v>
      </c>
      <c r="Q242" s="3" t="s">
        <v>26</v>
      </c>
      <c r="R242" s="3">
        <v>0</v>
      </c>
      <c r="S242" s="4">
        <v>0</v>
      </c>
      <c r="T242" s="4">
        <v>36</v>
      </c>
      <c r="U242" s="4">
        <v>45</v>
      </c>
      <c r="V242" s="4">
        <f>IF(ISERROR(VLOOKUP($S$242,'TAR FIN'!$A$1:$O$85,15,0)),0,VLOOKUP($S$242,'TAR FIN'!$A$1:$O$85,15,0))</f>
        <v>0</v>
      </c>
      <c r="W242" s="4">
        <f>IF(ISERROR(VLOOKUP($T$242,'TAR FIN'!$A$1:$O$85,15,0)),0,VLOOKUP($T$242,'TAR FIN'!$A$1:$O$85,15,0))</f>
        <v>792.41</v>
      </c>
      <c r="X242" s="4">
        <f>IF(ISERROR(VLOOKUP($U$242,'TAR FIN'!$A$1:$O$85,15,0)),0,VLOOKUP($U$242,'TAR FIN'!$A$1:$O$85,15,0))</f>
        <v>231.33</v>
      </c>
      <c r="Y242" s="4"/>
      <c r="Z242" s="4">
        <f ca="1">('TUSD BE'!$AM$20+'TUSD BF'!$AM$20+'TUSD CVA'!$AM$20)*1</f>
        <v>969.52247148289666</v>
      </c>
      <c r="AA242" s="4">
        <f>('TE BE'!$AA$11+'TE BF'!$AA$11+'TE CVA'!$AA$11)*1</f>
        <v>260.80314197522284</v>
      </c>
      <c r="AB242" s="4">
        <f>$K$242*$V$242</f>
        <v>0</v>
      </c>
      <c r="AC242" s="4">
        <f>$M$242*$W$242</f>
        <v>185.42394000000002</v>
      </c>
      <c r="AD242" s="4">
        <f>$O$242*$X$242</f>
        <v>54.131220000000006</v>
      </c>
      <c r="AE242" s="4">
        <f>$K$242*$Y$242</f>
        <v>0</v>
      </c>
      <c r="AF242" s="4">
        <f ca="1">$M$242*$Z$242</f>
        <v>226.86825832699782</v>
      </c>
      <c r="AG242" s="4">
        <f>$O$242*$AA$242</f>
        <v>61.027935222202146</v>
      </c>
    </row>
    <row r="243" spans="1:33" ht="11.25" customHeight="1" x14ac:dyDescent="0.25">
      <c r="A243" s="3" t="s">
        <v>28</v>
      </c>
      <c r="B243" s="3" t="s">
        <v>22</v>
      </c>
      <c r="C243" s="3" t="s">
        <v>23</v>
      </c>
      <c r="D243" s="3" t="s">
        <v>24</v>
      </c>
      <c r="E243" s="3" t="s">
        <v>24</v>
      </c>
      <c r="F243" s="3" t="s">
        <v>25</v>
      </c>
      <c r="G243" s="3" t="s">
        <v>25</v>
      </c>
      <c r="H243" s="3" t="s">
        <v>25</v>
      </c>
      <c r="I243" s="6">
        <v>44593</v>
      </c>
      <c r="J243" s="4">
        <v>0</v>
      </c>
      <c r="K243" s="4">
        <v>0</v>
      </c>
      <c r="L243" s="4">
        <v>38.475999999999999</v>
      </c>
      <c r="M243" s="4">
        <v>38.475999999999999</v>
      </c>
      <c r="N243" s="4">
        <v>38.475999999999999</v>
      </c>
      <c r="O243" s="4">
        <v>38.475999999999999</v>
      </c>
      <c r="P243" s="4">
        <v>230</v>
      </c>
      <c r="Q243" s="3" t="s">
        <v>26</v>
      </c>
      <c r="R243" s="3">
        <v>0</v>
      </c>
      <c r="S243" s="4">
        <v>0</v>
      </c>
      <c r="T243" s="4">
        <v>36</v>
      </c>
      <c r="U243" s="4">
        <v>45</v>
      </c>
      <c r="V243" s="4">
        <f>IF(ISERROR(VLOOKUP($S$243,'TAR FIN'!$A$1:$O$85,15,0)),0,VLOOKUP($S$243,'TAR FIN'!$A$1:$O$85,15,0))</f>
        <v>0</v>
      </c>
      <c r="W243" s="4">
        <f>IF(ISERROR(VLOOKUP($T$243,'TAR FIN'!$A$1:$O$85,15,0)),0,VLOOKUP($T$243,'TAR FIN'!$A$1:$O$85,15,0))</f>
        <v>792.41</v>
      </c>
      <c r="X243" s="4">
        <f>IF(ISERROR(VLOOKUP($U$243,'TAR FIN'!$A$1:$O$85,15,0)),0,VLOOKUP($U$243,'TAR FIN'!$A$1:$O$85,15,0))</f>
        <v>231.33</v>
      </c>
      <c r="Y243" s="4"/>
      <c r="Z243" s="4">
        <f ca="1">('TUSD BE'!$AM$20+'TUSD BF'!$AM$20+'TUSD CVA'!$AM$20)*1</f>
        <v>969.52247148289666</v>
      </c>
      <c r="AA243" s="4">
        <f>('TE BE'!$AA$11+'TE BF'!$AA$11+'TE CVA'!$AA$11)*1</f>
        <v>260.80314197522284</v>
      </c>
      <c r="AB243" s="4">
        <f>$K$243*$V$243</f>
        <v>0</v>
      </c>
      <c r="AC243" s="4">
        <f>$M$243*$W$243</f>
        <v>30488.767159999999</v>
      </c>
      <c r="AD243" s="4">
        <f>$O$243*$X$243</f>
        <v>8900.65308</v>
      </c>
      <c r="AE243" s="4">
        <f>$K$243*$Y$243</f>
        <v>0</v>
      </c>
      <c r="AF243" s="4">
        <f ca="1">$M$243*$Z$243</f>
        <v>37303.346612775931</v>
      </c>
      <c r="AG243" s="4">
        <f>$O$243*$AA$243</f>
        <v>10034.661690638673</v>
      </c>
    </row>
    <row r="244" spans="1:33" ht="11.25" customHeight="1" x14ac:dyDescent="0.25">
      <c r="A244" s="3" t="s">
        <v>21</v>
      </c>
      <c r="B244" s="3" t="s">
        <v>22</v>
      </c>
      <c r="C244" s="3" t="s">
        <v>23</v>
      </c>
      <c r="D244" s="3" t="s">
        <v>24</v>
      </c>
      <c r="E244" s="3" t="s">
        <v>24</v>
      </c>
      <c r="F244" s="3" t="s">
        <v>25</v>
      </c>
      <c r="G244" s="3" t="s">
        <v>25</v>
      </c>
      <c r="H244" s="3" t="s">
        <v>25</v>
      </c>
      <c r="I244" s="6">
        <v>44621</v>
      </c>
      <c r="J244" s="4">
        <v>0</v>
      </c>
      <c r="K244" s="4">
        <v>0</v>
      </c>
      <c r="L244" s="4">
        <v>2401.373</v>
      </c>
      <c r="M244" s="4">
        <v>2401.373</v>
      </c>
      <c r="N244" s="4">
        <v>2401.373</v>
      </c>
      <c r="O244" s="4">
        <v>2401.373</v>
      </c>
      <c r="P244" s="4">
        <v>14119</v>
      </c>
      <c r="Q244" s="3" t="s">
        <v>26</v>
      </c>
      <c r="R244" s="3">
        <v>0</v>
      </c>
      <c r="S244" s="4">
        <v>0</v>
      </c>
      <c r="T244" s="4">
        <v>36</v>
      </c>
      <c r="U244" s="4">
        <v>45</v>
      </c>
      <c r="V244" s="4">
        <f>IF(ISERROR(VLOOKUP($S$244,'TAR FIN'!$A$1:$O$85,15,0)),0,VLOOKUP($S$244,'TAR FIN'!$A$1:$O$85,15,0))</f>
        <v>0</v>
      </c>
      <c r="W244" s="4">
        <f>IF(ISERROR(VLOOKUP($T$244,'TAR FIN'!$A$1:$O$85,15,0)),0,VLOOKUP($T$244,'TAR FIN'!$A$1:$O$85,15,0))</f>
        <v>792.41</v>
      </c>
      <c r="X244" s="4">
        <f>IF(ISERROR(VLOOKUP($U$244,'TAR FIN'!$A$1:$O$85,15,0)),0,VLOOKUP($U$244,'TAR FIN'!$A$1:$O$85,15,0))</f>
        <v>231.33</v>
      </c>
      <c r="Y244" s="4"/>
      <c r="Z244" s="4">
        <f ca="1">('TUSD BE'!$AM$20+'TUSD BF'!$AM$20+'TUSD CVA'!$AM$20)*1</f>
        <v>969.52247148289666</v>
      </c>
      <c r="AA244" s="4">
        <f>('TE BE'!$AA$11+'TE BF'!$AA$11+'TE CVA'!$AA$11)*1</f>
        <v>260.80314197522284</v>
      </c>
      <c r="AB244" s="4">
        <f>$K$244*$V$244</f>
        <v>0</v>
      </c>
      <c r="AC244" s="4">
        <f>$M$244*$W$244</f>
        <v>1902871.97893</v>
      </c>
      <c r="AD244" s="4">
        <f>$O$244*$X$244</f>
        <v>555509.61609000002</v>
      </c>
      <c r="AE244" s="4">
        <f>$K$244*$Y$244</f>
        <v>0</v>
      </c>
      <c r="AF244" s="4">
        <f ca="1">$M$244*$Z$244</f>
        <v>2328185.0859122979</v>
      </c>
      <c r="AG244" s="4">
        <f>$O$244*$AA$244</f>
        <v>626285.62345446681</v>
      </c>
    </row>
    <row r="245" spans="1:33" ht="11.25" customHeight="1" x14ac:dyDescent="0.25">
      <c r="A245" s="3" t="s">
        <v>27</v>
      </c>
      <c r="B245" s="3" t="s">
        <v>22</v>
      </c>
      <c r="C245" s="3" t="s">
        <v>23</v>
      </c>
      <c r="D245" s="3" t="s">
        <v>24</v>
      </c>
      <c r="E245" s="3" t="s">
        <v>24</v>
      </c>
      <c r="F245" s="3" t="s">
        <v>25</v>
      </c>
      <c r="G245" s="3" t="s">
        <v>25</v>
      </c>
      <c r="H245" s="3" t="s">
        <v>25</v>
      </c>
      <c r="I245" s="6">
        <v>44621</v>
      </c>
      <c r="J245" s="4">
        <v>0</v>
      </c>
      <c r="K245" s="4">
        <v>0</v>
      </c>
      <c r="L245" s="4">
        <v>-0.41899999999999998</v>
      </c>
      <c r="M245" s="4">
        <v>-0.41899999999999998</v>
      </c>
      <c r="N245" s="4">
        <v>-0.41899999999999998</v>
      </c>
      <c r="O245" s="4">
        <v>-0.41899999999999998</v>
      </c>
      <c r="P245" s="4">
        <v>0</v>
      </c>
      <c r="Q245" s="3" t="s">
        <v>26</v>
      </c>
      <c r="R245" s="3">
        <v>0</v>
      </c>
      <c r="S245" s="4">
        <v>0</v>
      </c>
      <c r="T245" s="4">
        <v>36</v>
      </c>
      <c r="U245" s="4">
        <v>45</v>
      </c>
      <c r="V245" s="4">
        <f>IF(ISERROR(VLOOKUP($S$245,'TAR FIN'!$A$1:$O$85,15,0)),0,VLOOKUP($S$245,'TAR FIN'!$A$1:$O$85,15,0))</f>
        <v>0</v>
      </c>
      <c r="W245" s="4">
        <f>IF(ISERROR(VLOOKUP($T$245,'TAR FIN'!$A$1:$O$85,15,0)),0,VLOOKUP($T$245,'TAR FIN'!$A$1:$O$85,15,0))</f>
        <v>792.41</v>
      </c>
      <c r="X245" s="4">
        <f>IF(ISERROR(VLOOKUP($U$245,'TAR FIN'!$A$1:$O$85,15,0)),0,VLOOKUP($U$245,'TAR FIN'!$A$1:$O$85,15,0))</f>
        <v>231.33</v>
      </c>
      <c r="Y245" s="4"/>
      <c r="Z245" s="4">
        <f ca="1">('TUSD BE'!$AM$20+'TUSD BF'!$AM$20+'TUSD CVA'!$AM$20)*1</f>
        <v>969.52247148289666</v>
      </c>
      <c r="AA245" s="4">
        <f>('TE BE'!$AA$11+'TE BF'!$AA$11+'TE CVA'!$AA$11)*1</f>
        <v>260.80314197522284</v>
      </c>
      <c r="AB245" s="4">
        <f>$K$245*$V$245</f>
        <v>0</v>
      </c>
      <c r="AC245" s="4">
        <f>$M$245*$W$245</f>
        <v>-332.01979</v>
      </c>
      <c r="AD245" s="4">
        <f>$O$245*$X$245</f>
        <v>-96.927270000000007</v>
      </c>
      <c r="AE245" s="4">
        <f>$K$245*$Y$245</f>
        <v>0</v>
      </c>
      <c r="AF245" s="4">
        <f ca="1">$M$245*$Z$245</f>
        <v>-406.2299155513337</v>
      </c>
      <c r="AG245" s="4">
        <f>$O$245*$AA$245</f>
        <v>-109.27651648761837</v>
      </c>
    </row>
    <row r="246" spans="1:33" ht="11.25" customHeight="1" x14ac:dyDescent="0.25">
      <c r="A246" s="3" t="s">
        <v>28</v>
      </c>
      <c r="B246" s="3" t="s">
        <v>22</v>
      </c>
      <c r="C246" s="3" t="s">
        <v>23</v>
      </c>
      <c r="D246" s="3" t="s">
        <v>24</v>
      </c>
      <c r="E246" s="3" t="s">
        <v>24</v>
      </c>
      <c r="F246" s="3" t="s">
        <v>25</v>
      </c>
      <c r="G246" s="3" t="s">
        <v>25</v>
      </c>
      <c r="H246" s="3" t="s">
        <v>25</v>
      </c>
      <c r="I246" s="6">
        <v>44621</v>
      </c>
      <c r="J246" s="4">
        <v>0</v>
      </c>
      <c r="K246" s="4">
        <v>0</v>
      </c>
      <c r="L246" s="4">
        <v>37.073999999999998</v>
      </c>
      <c r="M246" s="4">
        <v>37.073999999999998</v>
      </c>
      <c r="N246" s="4">
        <v>37.073999999999998</v>
      </c>
      <c r="O246" s="4">
        <v>37.073999999999998</v>
      </c>
      <c r="P246" s="4">
        <v>234</v>
      </c>
      <c r="Q246" s="3" t="s">
        <v>26</v>
      </c>
      <c r="R246" s="3">
        <v>0</v>
      </c>
      <c r="S246" s="4">
        <v>0</v>
      </c>
      <c r="T246" s="4">
        <v>36</v>
      </c>
      <c r="U246" s="4">
        <v>45</v>
      </c>
      <c r="V246" s="4">
        <f>IF(ISERROR(VLOOKUP($S$246,'TAR FIN'!$A$1:$O$85,15,0)),0,VLOOKUP($S$246,'TAR FIN'!$A$1:$O$85,15,0))</f>
        <v>0</v>
      </c>
      <c r="W246" s="4">
        <f>IF(ISERROR(VLOOKUP($T$246,'TAR FIN'!$A$1:$O$85,15,0)),0,VLOOKUP($T$246,'TAR FIN'!$A$1:$O$85,15,0))</f>
        <v>792.41</v>
      </c>
      <c r="X246" s="4">
        <f>IF(ISERROR(VLOOKUP($U$246,'TAR FIN'!$A$1:$O$85,15,0)),0,VLOOKUP($U$246,'TAR FIN'!$A$1:$O$85,15,0))</f>
        <v>231.33</v>
      </c>
      <c r="Y246" s="4"/>
      <c r="Z246" s="4">
        <f ca="1">('TUSD BE'!$AM$20+'TUSD BF'!$AM$20+'TUSD CVA'!$AM$20)*1</f>
        <v>969.52247148289666</v>
      </c>
      <c r="AA246" s="4">
        <f>('TE BE'!$AA$11+'TE BF'!$AA$11+'TE CVA'!$AA$11)*1</f>
        <v>260.80314197522284</v>
      </c>
      <c r="AB246" s="4">
        <f>$K$246*$V$246</f>
        <v>0</v>
      </c>
      <c r="AC246" s="4">
        <f>$M$246*$W$246</f>
        <v>29377.808339999996</v>
      </c>
      <c r="AD246" s="4">
        <f>$O$246*$X$246</f>
        <v>8576.3284199999998</v>
      </c>
      <c r="AE246" s="4">
        <f>$K$246*$Y$246</f>
        <v>0</v>
      </c>
      <c r="AF246" s="4">
        <f ca="1">$M$246*$Z$246</f>
        <v>35944.076107756911</v>
      </c>
      <c r="AG246" s="4">
        <f>$O$246*$AA$246</f>
        <v>9669.0156855894111</v>
      </c>
    </row>
    <row r="247" spans="1:33" ht="11.25" customHeight="1" x14ac:dyDescent="0.25">
      <c r="A247" s="3" t="s">
        <v>21</v>
      </c>
      <c r="B247" s="3" t="s">
        <v>22</v>
      </c>
      <c r="C247" s="3" t="s">
        <v>23</v>
      </c>
      <c r="D247" s="3" t="s">
        <v>24</v>
      </c>
      <c r="E247" s="3" t="s">
        <v>29</v>
      </c>
      <c r="F247" s="3" t="s">
        <v>25</v>
      </c>
      <c r="G247" s="3" t="s">
        <v>25</v>
      </c>
      <c r="H247" s="3" t="s">
        <v>25</v>
      </c>
      <c r="I247" s="6">
        <v>44287</v>
      </c>
      <c r="J247" s="4">
        <v>0</v>
      </c>
      <c r="K247" s="4">
        <v>0</v>
      </c>
      <c r="L247" s="4">
        <v>12.57</v>
      </c>
      <c r="M247" s="4">
        <v>12.57</v>
      </c>
      <c r="N247" s="4">
        <v>12.57</v>
      </c>
      <c r="O247" s="4">
        <v>12.57</v>
      </c>
      <c r="P247" s="4">
        <v>15</v>
      </c>
      <c r="Q247" s="3" t="s">
        <v>26</v>
      </c>
      <c r="R247" s="3">
        <v>0</v>
      </c>
      <c r="S247" s="4">
        <v>0</v>
      </c>
      <c r="T247" s="4">
        <v>29</v>
      </c>
      <c r="U247" s="4">
        <v>50</v>
      </c>
      <c r="V247" s="4">
        <f>IF(ISERROR(VLOOKUP($S$247,'TAR FIN'!$A$1:$O$85,15,0)),0,VLOOKUP($S$247,'TAR FIN'!$A$1:$O$85,15,0))</f>
        <v>0</v>
      </c>
      <c r="W247" s="4">
        <f>IF(ISERROR(VLOOKUP($T$247,'TAR FIN'!$A$1:$O$85,15,0)),0,VLOOKUP($T$247,'TAR FIN'!$A$1:$O$85,15,0))</f>
        <v>244.97</v>
      </c>
      <c r="X247" s="4">
        <f>IF(ISERROR(VLOOKUP($U$247,'TAR FIN'!$A$1:$O$85,15,0)),0,VLOOKUP($U$247,'TAR FIN'!$A$1:$O$85,15,0))</f>
        <v>80.97</v>
      </c>
      <c r="Y247" s="4"/>
      <c r="Z247" s="4">
        <f ca="1">('TUSD BE'!$AM$21+'TUSD BF'!$AM$21+'TUSD CVA'!$AM$21-('TUSD BE'!$P$21+'TUSD BF'!$P$21+'TUSD CVA'!$P$21)-('TUSD BE'!$Q$21+'TUSD BF'!$Q$21+'TUSD CVA'!$Q$21)-('TUSD BE'!$R$21+'TUSD BF'!$R$21+'TUSD CVA'!$R$21))*(1-CUSTOS!$M$34)</f>
        <v>293.22899061728316</v>
      </c>
      <c r="AA247" s="4">
        <f>('TE BE'!$AA$12+'TE BF'!$AA$12+'TE CVA'!$AA$12)*(1-CUSTOS!$M$34)</f>
        <v>91.281099691327995</v>
      </c>
      <c r="AB247" s="4">
        <f>$K$247*$V$247</f>
        <v>0</v>
      </c>
      <c r="AC247" s="4">
        <f>$M$247*$W$247</f>
        <v>3079.2728999999999</v>
      </c>
      <c r="AD247" s="4">
        <f>$O$247*$X$247</f>
        <v>1017.7929</v>
      </c>
      <c r="AE247" s="4">
        <f>$K$247*$Y$247</f>
        <v>0</v>
      </c>
      <c r="AF247" s="4">
        <f ca="1">$M$247*$Z$247</f>
        <v>3685.8884120592493</v>
      </c>
      <c r="AG247" s="4">
        <f>$O$247*$AA$247</f>
        <v>1147.403423119993</v>
      </c>
    </row>
    <row r="248" spans="1:33" ht="11.25" customHeight="1" x14ac:dyDescent="0.25">
      <c r="A248" s="3" t="s">
        <v>21</v>
      </c>
      <c r="B248" s="3" t="s">
        <v>22</v>
      </c>
      <c r="C248" s="3" t="s">
        <v>23</v>
      </c>
      <c r="D248" s="3" t="s">
        <v>24</v>
      </c>
      <c r="E248" s="3" t="s">
        <v>29</v>
      </c>
      <c r="F248" s="3" t="s">
        <v>25</v>
      </c>
      <c r="G248" s="3" t="s">
        <v>25</v>
      </c>
      <c r="H248" s="3" t="s">
        <v>25</v>
      </c>
      <c r="I248" s="6">
        <v>44317</v>
      </c>
      <c r="J248" s="4">
        <v>0</v>
      </c>
      <c r="K248" s="4">
        <v>0</v>
      </c>
      <c r="L248" s="4">
        <v>20.033999999999999</v>
      </c>
      <c r="M248" s="4">
        <v>20.033999999999999</v>
      </c>
      <c r="N248" s="4">
        <v>20.033999999999999</v>
      </c>
      <c r="O248" s="4">
        <v>20.033999999999999</v>
      </c>
      <c r="P248" s="4">
        <v>68</v>
      </c>
      <c r="Q248" s="3" t="s">
        <v>26</v>
      </c>
      <c r="R248" s="3">
        <v>0</v>
      </c>
      <c r="S248" s="4">
        <v>0</v>
      </c>
      <c r="T248" s="4">
        <v>29</v>
      </c>
      <c r="U248" s="4">
        <v>50</v>
      </c>
      <c r="V248" s="4">
        <f>IF(ISERROR(VLOOKUP($S$248,'TAR FIN'!$A$1:$O$85,15,0)),0,VLOOKUP($S$248,'TAR FIN'!$A$1:$O$85,15,0))</f>
        <v>0</v>
      </c>
      <c r="W248" s="4">
        <f>IF(ISERROR(VLOOKUP($T$248,'TAR FIN'!$A$1:$O$85,15,0)),0,VLOOKUP($T$248,'TAR FIN'!$A$1:$O$85,15,0))</f>
        <v>244.97</v>
      </c>
      <c r="X248" s="4">
        <f>IF(ISERROR(VLOOKUP($U$248,'TAR FIN'!$A$1:$O$85,15,0)),0,VLOOKUP($U$248,'TAR FIN'!$A$1:$O$85,15,0))</f>
        <v>80.97</v>
      </c>
      <c r="Y248" s="4"/>
      <c r="Z248" s="4">
        <f ca="1">('TUSD BE'!$AM$21+'TUSD BF'!$AM$21+'TUSD CVA'!$AM$21-('TUSD BE'!$P$21+'TUSD BF'!$P$21+'TUSD CVA'!$P$21)-('TUSD BE'!$Q$21+'TUSD BF'!$Q$21+'TUSD CVA'!$Q$21)-('TUSD BE'!$R$21+'TUSD BF'!$R$21+'TUSD CVA'!$R$21))*(1-CUSTOS!$M$34)</f>
        <v>293.22899061728316</v>
      </c>
      <c r="AA248" s="4">
        <f>('TE BE'!$AA$12+'TE BF'!$AA$12+'TE CVA'!$AA$12)*(1-CUSTOS!$M$34)</f>
        <v>91.281099691327995</v>
      </c>
      <c r="AB248" s="4">
        <f>$K$248*$V$248</f>
        <v>0</v>
      </c>
      <c r="AC248" s="4">
        <f>$M$248*$W$248</f>
        <v>4907.7289799999999</v>
      </c>
      <c r="AD248" s="4">
        <f>$O$248*$X$248</f>
        <v>1622.1529799999998</v>
      </c>
      <c r="AE248" s="4">
        <f>$K$248*$Y$248</f>
        <v>0</v>
      </c>
      <c r="AF248" s="4">
        <f ca="1">$M$248*$Z$248</f>
        <v>5874.5495980266505</v>
      </c>
      <c r="AG248" s="4">
        <f>$O$248*$AA$248</f>
        <v>1828.725551216065</v>
      </c>
    </row>
    <row r="249" spans="1:33" ht="11.25" customHeight="1" x14ac:dyDescent="0.25">
      <c r="A249" s="3" t="s">
        <v>27</v>
      </c>
      <c r="B249" s="3" t="s">
        <v>22</v>
      </c>
      <c r="C249" s="3" t="s">
        <v>23</v>
      </c>
      <c r="D249" s="3" t="s">
        <v>24</v>
      </c>
      <c r="E249" s="3" t="s">
        <v>29</v>
      </c>
      <c r="F249" s="3" t="s">
        <v>25</v>
      </c>
      <c r="G249" s="3" t="s">
        <v>25</v>
      </c>
      <c r="H249" s="3" t="s">
        <v>25</v>
      </c>
      <c r="I249" s="6">
        <v>44317</v>
      </c>
      <c r="J249" s="4">
        <v>0</v>
      </c>
      <c r="K249" s="4">
        <v>0</v>
      </c>
      <c r="L249" s="4">
        <v>-5.1070000000000002</v>
      </c>
      <c r="M249" s="4">
        <v>-5.1070000000000002</v>
      </c>
      <c r="N249" s="4">
        <v>-5.1070000000000002</v>
      </c>
      <c r="O249" s="4">
        <v>-5.1070000000000002</v>
      </c>
      <c r="P249" s="4">
        <v>0</v>
      </c>
      <c r="Q249" s="3" t="s">
        <v>26</v>
      </c>
      <c r="R249" s="3">
        <v>0</v>
      </c>
      <c r="S249" s="4">
        <v>0</v>
      </c>
      <c r="T249" s="4">
        <v>29</v>
      </c>
      <c r="U249" s="4">
        <v>50</v>
      </c>
      <c r="V249" s="4">
        <f>IF(ISERROR(VLOOKUP($S$249,'TAR FIN'!$A$1:$O$85,15,0)),0,VLOOKUP($S$249,'TAR FIN'!$A$1:$O$85,15,0))</f>
        <v>0</v>
      </c>
      <c r="W249" s="4">
        <f>IF(ISERROR(VLOOKUP($T$249,'TAR FIN'!$A$1:$O$85,15,0)),0,VLOOKUP($T$249,'TAR FIN'!$A$1:$O$85,15,0))</f>
        <v>244.97</v>
      </c>
      <c r="X249" s="4">
        <f>IF(ISERROR(VLOOKUP($U$249,'TAR FIN'!$A$1:$O$85,15,0)),0,VLOOKUP($U$249,'TAR FIN'!$A$1:$O$85,15,0))</f>
        <v>80.97</v>
      </c>
      <c r="Y249" s="4"/>
      <c r="Z249" s="4">
        <f ca="1">('TUSD BE'!$AM$21+'TUSD BF'!$AM$21+'TUSD CVA'!$AM$21-('TUSD BE'!$P$21+'TUSD BF'!$P$21+'TUSD CVA'!$P$21)-('TUSD BE'!$Q$21+'TUSD BF'!$Q$21+'TUSD CVA'!$Q$21)-('TUSD BE'!$R$21+'TUSD BF'!$R$21+'TUSD CVA'!$R$21))*(1-CUSTOS!$M$34)</f>
        <v>293.22899061728316</v>
      </c>
      <c r="AA249" s="4">
        <f>('TE BE'!$AA$12+'TE BF'!$AA$12+'TE CVA'!$AA$12)*(1-CUSTOS!$M$34)</f>
        <v>91.281099691327995</v>
      </c>
      <c r="AB249" s="4">
        <f>$K$249*$V$249</f>
        <v>0</v>
      </c>
      <c r="AC249" s="4">
        <f>$M$249*$W$249</f>
        <v>-1251.06179</v>
      </c>
      <c r="AD249" s="4">
        <f>$O$249*$X$249</f>
        <v>-413.51379000000003</v>
      </c>
      <c r="AE249" s="4">
        <f>$K$249*$Y$249</f>
        <v>0</v>
      </c>
      <c r="AF249" s="4">
        <f ca="1">$M$249*$Z$249</f>
        <v>-1497.5204550824651</v>
      </c>
      <c r="AG249" s="4">
        <f>$O$249*$AA$249</f>
        <v>-466.17257612361209</v>
      </c>
    </row>
    <row r="250" spans="1:33" ht="11.25" customHeight="1" x14ac:dyDescent="0.25">
      <c r="A250" s="3" t="s">
        <v>28</v>
      </c>
      <c r="B250" s="3" t="s">
        <v>22</v>
      </c>
      <c r="C250" s="3" t="s">
        <v>23</v>
      </c>
      <c r="D250" s="3" t="s">
        <v>24</v>
      </c>
      <c r="E250" s="3" t="s">
        <v>29</v>
      </c>
      <c r="F250" s="3" t="s">
        <v>25</v>
      </c>
      <c r="G250" s="3" t="s">
        <v>25</v>
      </c>
      <c r="H250" s="3" t="s">
        <v>25</v>
      </c>
      <c r="I250" s="6">
        <v>44317</v>
      </c>
      <c r="J250" s="4">
        <v>0</v>
      </c>
      <c r="K250" s="4">
        <v>0</v>
      </c>
      <c r="L250" s="4">
        <v>0.03</v>
      </c>
      <c r="M250" s="4">
        <v>1.0500000000000001E-2</v>
      </c>
      <c r="N250" s="4">
        <v>0.03</v>
      </c>
      <c r="O250" s="4">
        <v>1.0500000000000001E-2</v>
      </c>
      <c r="P250" s="4">
        <v>1</v>
      </c>
      <c r="Q250" s="3" t="s">
        <v>26</v>
      </c>
      <c r="R250" s="3">
        <v>0</v>
      </c>
      <c r="S250" s="4">
        <v>0</v>
      </c>
      <c r="T250" s="4">
        <v>29</v>
      </c>
      <c r="U250" s="4">
        <v>50</v>
      </c>
      <c r="V250" s="4">
        <f>IF(ISERROR(VLOOKUP($S$250,'TAR FIN'!$A$1:$O$85,15,0)),0,VLOOKUP($S$250,'TAR FIN'!$A$1:$O$85,15,0))</f>
        <v>0</v>
      </c>
      <c r="W250" s="4">
        <f>IF(ISERROR(VLOOKUP($T$250,'TAR FIN'!$A$1:$O$85,15,0)),0,VLOOKUP($T$250,'TAR FIN'!$A$1:$O$85,15,0))</f>
        <v>244.97</v>
      </c>
      <c r="X250" s="4">
        <f>IF(ISERROR(VLOOKUP($U$250,'TAR FIN'!$A$1:$O$85,15,0)),0,VLOOKUP($U$250,'TAR FIN'!$A$1:$O$85,15,0))</f>
        <v>80.97</v>
      </c>
      <c r="Y250" s="4"/>
      <c r="Z250" s="4">
        <f ca="1">('TUSD BE'!$AM$21+'TUSD BF'!$AM$21+'TUSD CVA'!$AM$21-('TUSD BE'!$P$21+'TUSD BF'!$P$21+'TUSD CVA'!$P$21)-('TUSD BE'!$Q$21+'TUSD BF'!$Q$21+'TUSD CVA'!$Q$21)-('TUSD BE'!$R$21+'TUSD BF'!$R$21+'TUSD CVA'!$R$21))*(1-CUSTOS!$M$34)</f>
        <v>293.22899061728316</v>
      </c>
      <c r="AA250" s="4">
        <f>('TE BE'!$AA$12+'TE BF'!$AA$12+'TE CVA'!$AA$12)*(1-CUSTOS!$M$34)</f>
        <v>91.281099691327995</v>
      </c>
      <c r="AB250" s="4">
        <f>$K$250*$V$250</f>
        <v>0</v>
      </c>
      <c r="AC250" s="4">
        <f>$M$250*$W$250</f>
        <v>2.5721850000000002</v>
      </c>
      <c r="AD250" s="4">
        <f>$O$250*$X$250</f>
        <v>0.85018500000000008</v>
      </c>
      <c r="AE250" s="4">
        <f>$K$250*$Y$250</f>
        <v>0</v>
      </c>
      <c r="AF250" s="4">
        <f ca="1">$M$250*$Z$250</f>
        <v>3.0789044014814735</v>
      </c>
      <c r="AG250" s="4">
        <f>$O$250*$AA$250</f>
        <v>0.95845154675894406</v>
      </c>
    </row>
    <row r="251" spans="1:33" ht="11.25" customHeight="1" x14ac:dyDescent="0.25">
      <c r="A251" s="3" t="s">
        <v>21</v>
      </c>
      <c r="B251" s="3" t="s">
        <v>22</v>
      </c>
      <c r="C251" s="3" t="s">
        <v>23</v>
      </c>
      <c r="D251" s="3" t="s">
        <v>24</v>
      </c>
      <c r="E251" s="3" t="s">
        <v>29</v>
      </c>
      <c r="F251" s="3" t="s">
        <v>25</v>
      </c>
      <c r="G251" s="3" t="s">
        <v>25</v>
      </c>
      <c r="H251" s="3" t="s">
        <v>25</v>
      </c>
      <c r="I251" s="6">
        <v>44348</v>
      </c>
      <c r="J251" s="4">
        <v>0</v>
      </c>
      <c r="K251" s="4">
        <v>0</v>
      </c>
      <c r="L251" s="4">
        <v>14.04</v>
      </c>
      <c r="M251" s="4">
        <v>14.04</v>
      </c>
      <c r="N251" s="4">
        <v>14.04</v>
      </c>
      <c r="O251" s="4">
        <v>14.04</v>
      </c>
      <c r="P251" s="4">
        <v>18</v>
      </c>
      <c r="Q251" s="3" t="s">
        <v>26</v>
      </c>
      <c r="R251" s="3">
        <v>0</v>
      </c>
      <c r="S251" s="4">
        <v>0</v>
      </c>
      <c r="T251" s="4">
        <v>29</v>
      </c>
      <c r="U251" s="4">
        <v>50</v>
      </c>
      <c r="V251" s="4">
        <f>IF(ISERROR(VLOOKUP($S$251,'TAR FIN'!$A$1:$O$85,15,0)),0,VLOOKUP($S$251,'TAR FIN'!$A$1:$O$85,15,0))</f>
        <v>0</v>
      </c>
      <c r="W251" s="4">
        <f>IF(ISERROR(VLOOKUP($T$251,'TAR FIN'!$A$1:$O$85,15,0)),0,VLOOKUP($T$251,'TAR FIN'!$A$1:$O$85,15,0))</f>
        <v>244.97</v>
      </c>
      <c r="X251" s="4">
        <f>IF(ISERROR(VLOOKUP($U$251,'TAR FIN'!$A$1:$O$85,15,0)),0,VLOOKUP($U$251,'TAR FIN'!$A$1:$O$85,15,0))</f>
        <v>80.97</v>
      </c>
      <c r="Y251" s="4"/>
      <c r="Z251" s="4">
        <f ca="1">('TUSD BE'!$AM$21+'TUSD BF'!$AM$21+'TUSD CVA'!$AM$21-('TUSD BE'!$P$21+'TUSD BF'!$P$21+'TUSD CVA'!$P$21)-('TUSD BE'!$Q$21+'TUSD BF'!$Q$21+'TUSD CVA'!$Q$21)-('TUSD BE'!$R$21+'TUSD BF'!$R$21+'TUSD CVA'!$R$21))*(1-CUSTOS!$M$34)</f>
        <v>293.22899061728316</v>
      </c>
      <c r="AA251" s="4">
        <f>('TE BE'!$AA$12+'TE BF'!$AA$12+'TE CVA'!$AA$12)*(1-CUSTOS!$M$34)</f>
        <v>91.281099691327995</v>
      </c>
      <c r="AB251" s="4">
        <f>$K$251*$V$251</f>
        <v>0</v>
      </c>
      <c r="AC251" s="4">
        <f>$M$251*$W$251</f>
        <v>3439.3788</v>
      </c>
      <c r="AD251" s="4">
        <f>$O$251*$X$251</f>
        <v>1136.8188</v>
      </c>
      <c r="AE251" s="4">
        <f>$K$251*$Y$251</f>
        <v>0</v>
      </c>
      <c r="AF251" s="4">
        <f ca="1">$M$251*$Z$251</f>
        <v>4116.9350282666555</v>
      </c>
      <c r="AG251" s="4">
        <f>$O$251*$AA$251</f>
        <v>1281.586639666245</v>
      </c>
    </row>
    <row r="252" spans="1:33" ht="11.25" customHeight="1" x14ac:dyDescent="0.25">
      <c r="A252" s="3" t="s">
        <v>27</v>
      </c>
      <c r="B252" s="3" t="s">
        <v>22</v>
      </c>
      <c r="C252" s="3" t="s">
        <v>23</v>
      </c>
      <c r="D252" s="3" t="s">
        <v>24</v>
      </c>
      <c r="E252" s="3" t="s">
        <v>29</v>
      </c>
      <c r="F252" s="3" t="s">
        <v>25</v>
      </c>
      <c r="G252" s="3" t="s">
        <v>25</v>
      </c>
      <c r="H252" s="3" t="s">
        <v>25</v>
      </c>
      <c r="I252" s="6">
        <v>44348</v>
      </c>
      <c r="J252" s="4">
        <v>0</v>
      </c>
      <c r="K252" s="4">
        <v>0</v>
      </c>
      <c r="L252" s="4">
        <v>-1.528</v>
      </c>
      <c r="M252" s="4">
        <v>-1.528</v>
      </c>
      <c r="N252" s="4">
        <v>-1.528</v>
      </c>
      <c r="O252" s="4">
        <v>-1.528</v>
      </c>
      <c r="P252" s="4">
        <v>0</v>
      </c>
      <c r="Q252" s="3" t="s">
        <v>26</v>
      </c>
      <c r="R252" s="3">
        <v>0</v>
      </c>
      <c r="S252" s="4">
        <v>0</v>
      </c>
      <c r="T252" s="4">
        <v>29</v>
      </c>
      <c r="U252" s="4">
        <v>50</v>
      </c>
      <c r="V252" s="4">
        <f>IF(ISERROR(VLOOKUP($S$252,'TAR FIN'!$A$1:$O$85,15,0)),0,VLOOKUP($S$252,'TAR FIN'!$A$1:$O$85,15,0))</f>
        <v>0</v>
      </c>
      <c r="W252" s="4">
        <f>IF(ISERROR(VLOOKUP($T$252,'TAR FIN'!$A$1:$O$85,15,0)),0,VLOOKUP($T$252,'TAR FIN'!$A$1:$O$85,15,0))</f>
        <v>244.97</v>
      </c>
      <c r="X252" s="4">
        <f>IF(ISERROR(VLOOKUP($U$252,'TAR FIN'!$A$1:$O$85,15,0)),0,VLOOKUP($U$252,'TAR FIN'!$A$1:$O$85,15,0))</f>
        <v>80.97</v>
      </c>
      <c r="Y252" s="4"/>
      <c r="Z252" s="4">
        <f ca="1">('TUSD BE'!$AM$21+'TUSD BF'!$AM$21+'TUSD CVA'!$AM$21-('TUSD BE'!$P$21+'TUSD BF'!$P$21+'TUSD CVA'!$P$21)-('TUSD BE'!$Q$21+'TUSD BF'!$Q$21+'TUSD CVA'!$Q$21)-('TUSD BE'!$R$21+'TUSD BF'!$R$21+'TUSD CVA'!$R$21))*(1-CUSTOS!$M$34)</f>
        <v>293.22899061728316</v>
      </c>
      <c r="AA252" s="4">
        <f>('TE BE'!$AA$12+'TE BF'!$AA$12+'TE CVA'!$AA$12)*(1-CUSTOS!$M$34)</f>
        <v>91.281099691327995</v>
      </c>
      <c r="AB252" s="4">
        <f>$K$252*$V$252</f>
        <v>0</v>
      </c>
      <c r="AC252" s="4">
        <f>$M$252*$W$252</f>
        <v>-374.31416000000002</v>
      </c>
      <c r="AD252" s="4">
        <f>$O$252*$X$252</f>
        <v>-123.72216</v>
      </c>
      <c r="AE252" s="4">
        <f>$K$252*$Y$252</f>
        <v>0</v>
      </c>
      <c r="AF252" s="4">
        <f ca="1">$M$252*$Z$252</f>
        <v>-448.05389766320866</v>
      </c>
      <c r="AG252" s="4">
        <f>$O$252*$AA$252</f>
        <v>-139.47752032834919</v>
      </c>
    </row>
    <row r="253" spans="1:33" ht="11.25" customHeight="1" x14ac:dyDescent="0.25">
      <c r="A253" s="3" t="s">
        <v>28</v>
      </c>
      <c r="B253" s="3" t="s">
        <v>22</v>
      </c>
      <c r="C253" s="3" t="s">
        <v>23</v>
      </c>
      <c r="D253" s="3" t="s">
        <v>24</v>
      </c>
      <c r="E253" s="3" t="s">
        <v>29</v>
      </c>
      <c r="F253" s="3" t="s">
        <v>25</v>
      </c>
      <c r="G253" s="3" t="s">
        <v>25</v>
      </c>
      <c r="H253" s="3" t="s">
        <v>25</v>
      </c>
      <c r="I253" s="6">
        <v>44348</v>
      </c>
      <c r="J253" s="4">
        <v>0</v>
      </c>
      <c r="K253" s="4">
        <v>0</v>
      </c>
      <c r="L253" s="4">
        <v>0.03</v>
      </c>
      <c r="M253" s="4">
        <v>1.0500000000000001E-2</v>
      </c>
      <c r="N253" s="4">
        <v>0.03</v>
      </c>
      <c r="O253" s="4">
        <v>1.0500000000000001E-2</v>
      </c>
      <c r="P253" s="4">
        <v>1</v>
      </c>
      <c r="Q253" s="3" t="s">
        <v>26</v>
      </c>
      <c r="R253" s="3">
        <v>0</v>
      </c>
      <c r="S253" s="4">
        <v>0</v>
      </c>
      <c r="T253" s="4">
        <v>29</v>
      </c>
      <c r="U253" s="4">
        <v>50</v>
      </c>
      <c r="V253" s="4">
        <f>IF(ISERROR(VLOOKUP($S$253,'TAR FIN'!$A$1:$O$85,15,0)),0,VLOOKUP($S$253,'TAR FIN'!$A$1:$O$85,15,0))</f>
        <v>0</v>
      </c>
      <c r="W253" s="4">
        <f>IF(ISERROR(VLOOKUP($T$253,'TAR FIN'!$A$1:$O$85,15,0)),0,VLOOKUP($T$253,'TAR FIN'!$A$1:$O$85,15,0))</f>
        <v>244.97</v>
      </c>
      <c r="X253" s="4">
        <f>IF(ISERROR(VLOOKUP($U$253,'TAR FIN'!$A$1:$O$85,15,0)),0,VLOOKUP($U$253,'TAR FIN'!$A$1:$O$85,15,0))</f>
        <v>80.97</v>
      </c>
      <c r="Y253" s="4"/>
      <c r="Z253" s="4">
        <f ca="1">('TUSD BE'!$AM$21+'TUSD BF'!$AM$21+'TUSD CVA'!$AM$21-('TUSD BE'!$P$21+'TUSD BF'!$P$21+'TUSD CVA'!$P$21)-('TUSD BE'!$Q$21+'TUSD BF'!$Q$21+'TUSD CVA'!$Q$21)-('TUSD BE'!$R$21+'TUSD BF'!$R$21+'TUSD CVA'!$R$21))*(1-CUSTOS!$M$34)</f>
        <v>293.22899061728316</v>
      </c>
      <c r="AA253" s="4">
        <f>('TE BE'!$AA$12+'TE BF'!$AA$12+'TE CVA'!$AA$12)*(1-CUSTOS!$M$34)</f>
        <v>91.281099691327995</v>
      </c>
      <c r="AB253" s="4">
        <f>$K$253*$V$253</f>
        <v>0</v>
      </c>
      <c r="AC253" s="4">
        <f>$M$253*$W$253</f>
        <v>2.5721850000000002</v>
      </c>
      <c r="AD253" s="4">
        <f>$O$253*$X$253</f>
        <v>0.85018500000000008</v>
      </c>
      <c r="AE253" s="4">
        <f>$K$253*$Y$253</f>
        <v>0</v>
      </c>
      <c r="AF253" s="4">
        <f ca="1">$M$253*$Z$253</f>
        <v>3.0789044014814735</v>
      </c>
      <c r="AG253" s="4">
        <f>$O$253*$AA$253</f>
        <v>0.95845154675894406</v>
      </c>
    </row>
    <row r="254" spans="1:33" ht="11.25" customHeight="1" x14ac:dyDescent="0.25">
      <c r="A254" s="3" t="s">
        <v>21</v>
      </c>
      <c r="B254" s="3" t="s">
        <v>22</v>
      </c>
      <c r="C254" s="3" t="s">
        <v>23</v>
      </c>
      <c r="D254" s="3" t="s">
        <v>24</v>
      </c>
      <c r="E254" s="3" t="s">
        <v>29</v>
      </c>
      <c r="F254" s="3" t="s">
        <v>25</v>
      </c>
      <c r="G254" s="3" t="s">
        <v>25</v>
      </c>
      <c r="H254" s="3" t="s">
        <v>25</v>
      </c>
      <c r="I254" s="6">
        <v>44378</v>
      </c>
      <c r="J254" s="4">
        <v>0</v>
      </c>
      <c r="K254" s="4">
        <v>0</v>
      </c>
      <c r="L254" s="4">
        <v>14.82</v>
      </c>
      <c r="M254" s="4">
        <v>14.82</v>
      </c>
      <c r="N254" s="4">
        <v>14.82</v>
      </c>
      <c r="O254" s="4">
        <v>14.82</v>
      </c>
      <c r="P254" s="4">
        <v>23</v>
      </c>
      <c r="Q254" s="3" t="s">
        <v>26</v>
      </c>
      <c r="R254" s="3">
        <v>0</v>
      </c>
      <c r="S254" s="4">
        <v>0</v>
      </c>
      <c r="T254" s="4">
        <v>29</v>
      </c>
      <c r="U254" s="4">
        <v>50</v>
      </c>
      <c r="V254" s="4">
        <f>IF(ISERROR(VLOOKUP($S$254,'TAR FIN'!$A$1:$O$85,15,0)),0,VLOOKUP($S$254,'TAR FIN'!$A$1:$O$85,15,0))</f>
        <v>0</v>
      </c>
      <c r="W254" s="4">
        <f>IF(ISERROR(VLOOKUP($T$254,'TAR FIN'!$A$1:$O$85,15,0)),0,VLOOKUP($T$254,'TAR FIN'!$A$1:$O$85,15,0))</f>
        <v>244.97</v>
      </c>
      <c r="X254" s="4">
        <f>IF(ISERROR(VLOOKUP($U$254,'TAR FIN'!$A$1:$O$85,15,0)),0,VLOOKUP($U$254,'TAR FIN'!$A$1:$O$85,15,0))</f>
        <v>80.97</v>
      </c>
      <c r="Y254" s="4"/>
      <c r="Z254" s="4">
        <f ca="1">('TUSD BE'!$AM$21+'TUSD BF'!$AM$21+'TUSD CVA'!$AM$21-('TUSD BE'!$P$21+'TUSD BF'!$P$21+'TUSD CVA'!$P$21)-('TUSD BE'!$Q$21+'TUSD BF'!$Q$21+'TUSD CVA'!$Q$21)-('TUSD BE'!$R$21+'TUSD BF'!$R$21+'TUSD CVA'!$R$21))*(1-CUSTOS!$M$34)</f>
        <v>293.22899061728316</v>
      </c>
      <c r="AA254" s="4">
        <f>('TE BE'!$AA$12+'TE BF'!$AA$12+'TE CVA'!$AA$12)*(1-CUSTOS!$M$34)</f>
        <v>91.281099691327995</v>
      </c>
      <c r="AB254" s="4">
        <f>$K$254*$V$254</f>
        <v>0</v>
      </c>
      <c r="AC254" s="4">
        <f>$M$254*$W$254</f>
        <v>3630.4553999999998</v>
      </c>
      <c r="AD254" s="4">
        <f>$O$254*$X$254</f>
        <v>1199.9754</v>
      </c>
      <c r="AE254" s="4">
        <f>$K$254*$Y$254</f>
        <v>0</v>
      </c>
      <c r="AF254" s="4">
        <f ca="1">$M$254*$Z$254</f>
        <v>4345.6536409481369</v>
      </c>
      <c r="AG254" s="4">
        <f>$O$254*$AA$254</f>
        <v>1352.7858974254809</v>
      </c>
    </row>
    <row r="255" spans="1:33" ht="11.25" customHeight="1" x14ac:dyDescent="0.25">
      <c r="A255" s="3" t="s">
        <v>28</v>
      </c>
      <c r="B255" s="3" t="s">
        <v>22</v>
      </c>
      <c r="C255" s="3" t="s">
        <v>23</v>
      </c>
      <c r="D255" s="3" t="s">
        <v>24</v>
      </c>
      <c r="E255" s="3" t="s">
        <v>29</v>
      </c>
      <c r="F255" s="3" t="s">
        <v>25</v>
      </c>
      <c r="G255" s="3" t="s">
        <v>25</v>
      </c>
      <c r="H255" s="3" t="s">
        <v>25</v>
      </c>
      <c r="I255" s="6">
        <v>44378</v>
      </c>
      <c r="J255" s="4">
        <v>0</v>
      </c>
      <c r="K255" s="4">
        <v>0</v>
      </c>
      <c r="L255" s="4">
        <v>0.03</v>
      </c>
      <c r="M255" s="4">
        <v>1.0500000000000001E-2</v>
      </c>
      <c r="N255" s="4">
        <v>0.03</v>
      </c>
      <c r="O255" s="4">
        <v>1.0500000000000001E-2</v>
      </c>
      <c r="P255" s="4">
        <v>1</v>
      </c>
      <c r="Q255" s="3" t="s">
        <v>26</v>
      </c>
      <c r="R255" s="3">
        <v>0</v>
      </c>
      <c r="S255" s="4">
        <v>0</v>
      </c>
      <c r="T255" s="4">
        <v>29</v>
      </c>
      <c r="U255" s="4">
        <v>50</v>
      </c>
      <c r="V255" s="4">
        <f>IF(ISERROR(VLOOKUP($S$255,'TAR FIN'!$A$1:$O$85,15,0)),0,VLOOKUP($S$255,'TAR FIN'!$A$1:$O$85,15,0))</f>
        <v>0</v>
      </c>
      <c r="W255" s="4">
        <f>IF(ISERROR(VLOOKUP($T$255,'TAR FIN'!$A$1:$O$85,15,0)),0,VLOOKUP($T$255,'TAR FIN'!$A$1:$O$85,15,0))</f>
        <v>244.97</v>
      </c>
      <c r="X255" s="4">
        <f>IF(ISERROR(VLOOKUP($U$255,'TAR FIN'!$A$1:$O$85,15,0)),0,VLOOKUP($U$255,'TAR FIN'!$A$1:$O$85,15,0))</f>
        <v>80.97</v>
      </c>
      <c r="Y255" s="4"/>
      <c r="Z255" s="4">
        <f ca="1">('TUSD BE'!$AM$21+'TUSD BF'!$AM$21+'TUSD CVA'!$AM$21-('TUSD BE'!$P$21+'TUSD BF'!$P$21+'TUSD CVA'!$P$21)-('TUSD BE'!$Q$21+'TUSD BF'!$Q$21+'TUSD CVA'!$Q$21)-('TUSD BE'!$R$21+'TUSD BF'!$R$21+'TUSD CVA'!$R$21))*(1-CUSTOS!$M$34)</f>
        <v>293.22899061728316</v>
      </c>
      <c r="AA255" s="4">
        <f>('TE BE'!$AA$12+'TE BF'!$AA$12+'TE CVA'!$AA$12)*(1-CUSTOS!$M$34)</f>
        <v>91.281099691327995</v>
      </c>
      <c r="AB255" s="4">
        <f>$K$255*$V$255</f>
        <v>0</v>
      </c>
      <c r="AC255" s="4">
        <f>$M$255*$W$255</f>
        <v>2.5721850000000002</v>
      </c>
      <c r="AD255" s="4">
        <f>$O$255*$X$255</f>
        <v>0.85018500000000008</v>
      </c>
      <c r="AE255" s="4">
        <f>$K$255*$Y$255</f>
        <v>0</v>
      </c>
      <c r="AF255" s="4">
        <f ca="1">$M$255*$Z$255</f>
        <v>3.0789044014814735</v>
      </c>
      <c r="AG255" s="4">
        <f>$O$255*$AA$255</f>
        <v>0.95845154675894406</v>
      </c>
    </row>
    <row r="256" spans="1:33" ht="11.25" customHeight="1" x14ac:dyDescent="0.25">
      <c r="A256" s="3" t="s">
        <v>21</v>
      </c>
      <c r="B256" s="3" t="s">
        <v>22</v>
      </c>
      <c r="C256" s="3" t="s">
        <v>23</v>
      </c>
      <c r="D256" s="3" t="s">
        <v>24</v>
      </c>
      <c r="E256" s="3" t="s">
        <v>29</v>
      </c>
      <c r="F256" s="3" t="s">
        <v>25</v>
      </c>
      <c r="G256" s="3" t="s">
        <v>25</v>
      </c>
      <c r="H256" s="3" t="s">
        <v>25</v>
      </c>
      <c r="I256" s="6">
        <v>44409</v>
      </c>
      <c r="J256" s="4">
        <v>0</v>
      </c>
      <c r="K256" s="4">
        <v>0</v>
      </c>
      <c r="L256" s="4">
        <v>15.33</v>
      </c>
      <c r="M256" s="4">
        <v>15.33</v>
      </c>
      <c r="N256" s="4">
        <v>15.33</v>
      </c>
      <c r="O256" s="4">
        <v>15.33</v>
      </c>
      <c r="P256" s="4">
        <v>26</v>
      </c>
      <c r="Q256" s="3" t="s">
        <v>26</v>
      </c>
      <c r="R256" s="3">
        <v>0</v>
      </c>
      <c r="S256" s="4">
        <v>0</v>
      </c>
      <c r="T256" s="4">
        <v>29</v>
      </c>
      <c r="U256" s="4">
        <v>50</v>
      </c>
      <c r="V256" s="4">
        <f>IF(ISERROR(VLOOKUP($S$256,'TAR FIN'!$A$1:$O$85,15,0)),0,VLOOKUP($S$256,'TAR FIN'!$A$1:$O$85,15,0))</f>
        <v>0</v>
      </c>
      <c r="W256" s="4">
        <f>IF(ISERROR(VLOOKUP($T$256,'TAR FIN'!$A$1:$O$85,15,0)),0,VLOOKUP($T$256,'TAR FIN'!$A$1:$O$85,15,0))</f>
        <v>244.97</v>
      </c>
      <c r="X256" s="4">
        <f>IF(ISERROR(VLOOKUP($U$256,'TAR FIN'!$A$1:$O$85,15,0)),0,VLOOKUP($U$256,'TAR FIN'!$A$1:$O$85,15,0))</f>
        <v>80.97</v>
      </c>
      <c r="Y256" s="4"/>
      <c r="Z256" s="4">
        <f ca="1">('TUSD BE'!$AM$21+'TUSD BF'!$AM$21+'TUSD CVA'!$AM$21-('TUSD BE'!$P$21+'TUSD BF'!$P$21+'TUSD CVA'!$P$21)-('TUSD BE'!$Q$21+'TUSD BF'!$Q$21+'TUSD CVA'!$Q$21)-('TUSD BE'!$R$21+'TUSD BF'!$R$21+'TUSD CVA'!$R$21))*(1-CUSTOS!$M$34)</f>
        <v>293.22899061728316</v>
      </c>
      <c r="AA256" s="4">
        <f>('TE BE'!$AA$12+'TE BF'!$AA$12+'TE CVA'!$AA$12)*(1-CUSTOS!$M$34)</f>
        <v>91.281099691327995</v>
      </c>
      <c r="AB256" s="4">
        <f>$K$256*$V$256</f>
        <v>0</v>
      </c>
      <c r="AC256" s="4">
        <f>$M$256*$W$256</f>
        <v>3755.3901000000001</v>
      </c>
      <c r="AD256" s="4">
        <f>$O$256*$X$256</f>
        <v>1241.2701</v>
      </c>
      <c r="AE256" s="4">
        <f>$K$256*$Y$256</f>
        <v>0</v>
      </c>
      <c r="AF256" s="4">
        <f ca="1">$M$256*$Z$256</f>
        <v>4495.2004261629509</v>
      </c>
      <c r="AG256" s="4">
        <f>$O$256*$AA$256</f>
        <v>1399.3392582680581</v>
      </c>
    </row>
    <row r="257" spans="1:33" ht="11.25" customHeight="1" x14ac:dyDescent="0.25">
      <c r="A257" s="3" t="s">
        <v>28</v>
      </c>
      <c r="B257" s="3" t="s">
        <v>22</v>
      </c>
      <c r="C257" s="3" t="s">
        <v>23</v>
      </c>
      <c r="D257" s="3" t="s">
        <v>24</v>
      </c>
      <c r="E257" s="3" t="s">
        <v>29</v>
      </c>
      <c r="F257" s="3" t="s">
        <v>25</v>
      </c>
      <c r="G257" s="3" t="s">
        <v>25</v>
      </c>
      <c r="H257" s="3" t="s">
        <v>25</v>
      </c>
      <c r="I257" s="6">
        <v>44409</v>
      </c>
      <c r="J257" s="4">
        <v>0</v>
      </c>
      <c r="K257" s="4">
        <v>0</v>
      </c>
      <c r="L257" s="4">
        <v>0.03</v>
      </c>
      <c r="M257" s="4">
        <v>1.0500000000000001E-2</v>
      </c>
      <c r="N257" s="4">
        <v>0.03</v>
      </c>
      <c r="O257" s="4">
        <v>1.0500000000000001E-2</v>
      </c>
      <c r="P257" s="4">
        <v>1</v>
      </c>
      <c r="Q257" s="3" t="s">
        <v>26</v>
      </c>
      <c r="R257" s="3">
        <v>0</v>
      </c>
      <c r="S257" s="4">
        <v>0</v>
      </c>
      <c r="T257" s="4">
        <v>29</v>
      </c>
      <c r="U257" s="4">
        <v>50</v>
      </c>
      <c r="V257" s="4">
        <f>IF(ISERROR(VLOOKUP($S$257,'TAR FIN'!$A$1:$O$85,15,0)),0,VLOOKUP($S$257,'TAR FIN'!$A$1:$O$85,15,0))</f>
        <v>0</v>
      </c>
      <c r="W257" s="4">
        <f>IF(ISERROR(VLOOKUP($T$257,'TAR FIN'!$A$1:$O$85,15,0)),0,VLOOKUP($T$257,'TAR FIN'!$A$1:$O$85,15,0))</f>
        <v>244.97</v>
      </c>
      <c r="X257" s="4">
        <f>IF(ISERROR(VLOOKUP($U$257,'TAR FIN'!$A$1:$O$85,15,0)),0,VLOOKUP($U$257,'TAR FIN'!$A$1:$O$85,15,0))</f>
        <v>80.97</v>
      </c>
      <c r="Y257" s="4"/>
      <c r="Z257" s="4">
        <f ca="1">('TUSD BE'!$AM$21+'TUSD BF'!$AM$21+'TUSD CVA'!$AM$21-('TUSD BE'!$P$21+'TUSD BF'!$P$21+'TUSD CVA'!$P$21)-('TUSD BE'!$Q$21+'TUSD BF'!$Q$21+'TUSD CVA'!$Q$21)-('TUSD BE'!$R$21+'TUSD BF'!$R$21+'TUSD CVA'!$R$21))*(1-CUSTOS!$M$34)</f>
        <v>293.22899061728316</v>
      </c>
      <c r="AA257" s="4">
        <f>('TE BE'!$AA$12+'TE BF'!$AA$12+'TE CVA'!$AA$12)*(1-CUSTOS!$M$34)</f>
        <v>91.281099691327995</v>
      </c>
      <c r="AB257" s="4">
        <f>$K$257*$V$257</f>
        <v>0</v>
      </c>
      <c r="AC257" s="4">
        <f>$M$257*$W$257</f>
        <v>2.5721850000000002</v>
      </c>
      <c r="AD257" s="4">
        <f>$O$257*$X$257</f>
        <v>0.85018500000000008</v>
      </c>
      <c r="AE257" s="4">
        <f>$K$257*$Y$257</f>
        <v>0</v>
      </c>
      <c r="AF257" s="4">
        <f ca="1">$M$257*$Z$257</f>
        <v>3.0789044014814735</v>
      </c>
      <c r="AG257" s="4">
        <f>$O$257*$AA$257</f>
        <v>0.95845154675894406</v>
      </c>
    </row>
    <row r="258" spans="1:33" ht="11.25" customHeight="1" x14ac:dyDescent="0.25">
      <c r="A258" s="3" t="s">
        <v>21</v>
      </c>
      <c r="B258" s="3" t="s">
        <v>22</v>
      </c>
      <c r="C258" s="3" t="s">
        <v>23</v>
      </c>
      <c r="D258" s="3" t="s">
        <v>24</v>
      </c>
      <c r="E258" s="3" t="s">
        <v>29</v>
      </c>
      <c r="F258" s="3" t="s">
        <v>25</v>
      </c>
      <c r="G258" s="3" t="s">
        <v>25</v>
      </c>
      <c r="H258" s="3" t="s">
        <v>25</v>
      </c>
      <c r="I258" s="6">
        <v>44440</v>
      </c>
      <c r="J258" s="4">
        <v>0</v>
      </c>
      <c r="K258" s="4">
        <v>0</v>
      </c>
      <c r="L258" s="4">
        <v>15.45</v>
      </c>
      <c r="M258" s="4">
        <v>15.45</v>
      </c>
      <c r="N258" s="4">
        <v>15.45</v>
      </c>
      <c r="O258" s="4">
        <v>15.45</v>
      </c>
      <c r="P258" s="4">
        <v>18</v>
      </c>
      <c r="Q258" s="3" t="s">
        <v>26</v>
      </c>
      <c r="R258" s="3">
        <v>0</v>
      </c>
      <c r="S258" s="4">
        <v>0</v>
      </c>
      <c r="T258" s="4">
        <v>29</v>
      </c>
      <c r="U258" s="4">
        <v>50</v>
      </c>
      <c r="V258" s="4">
        <f>IF(ISERROR(VLOOKUP($S$258,'TAR FIN'!$A$1:$O$85,15,0)),0,VLOOKUP($S$258,'TAR FIN'!$A$1:$O$85,15,0))</f>
        <v>0</v>
      </c>
      <c r="W258" s="4">
        <f>IF(ISERROR(VLOOKUP($T$258,'TAR FIN'!$A$1:$O$85,15,0)),0,VLOOKUP($T$258,'TAR FIN'!$A$1:$O$85,15,0))</f>
        <v>244.97</v>
      </c>
      <c r="X258" s="4">
        <f>IF(ISERROR(VLOOKUP($U$258,'TAR FIN'!$A$1:$O$85,15,0)),0,VLOOKUP($U$258,'TAR FIN'!$A$1:$O$85,15,0))</f>
        <v>80.97</v>
      </c>
      <c r="Y258" s="4"/>
      <c r="Z258" s="4">
        <f ca="1">('TUSD BE'!$AM$21+'TUSD BF'!$AM$21+'TUSD CVA'!$AM$21-('TUSD BE'!$P$21+'TUSD BF'!$P$21+'TUSD CVA'!$P$21)-('TUSD BE'!$Q$21+'TUSD BF'!$Q$21+'TUSD CVA'!$Q$21)-('TUSD BE'!$R$21+'TUSD BF'!$R$21+'TUSD CVA'!$R$21))*(1-CUSTOS!$M$34)</f>
        <v>293.22899061728316</v>
      </c>
      <c r="AA258" s="4">
        <f>('TE BE'!$AA$12+'TE BF'!$AA$12+'TE CVA'!$AA$12)*(1-CUSTOS!$M$34)</f>
        <v>91.281099691327995</v>
      </c>
      <c r="AB258" s="4">
        <f>$K$258*$V$258</f>
        <v>0</v>
      </c>
      <c r="AC258" s="4">
        <f>$M$258*$W$258</f>
        <v>3784.7864999999997</v>
      </c>
      <c r="AD258" s="4">
        <f>$O$258*$X$258</f>
        <v>1250.9865</v>
      </c>
      <c r="AE258" s="4">
        <f>$K$258*$Y$258</f>
        <v>0</v>
      </c>
      <c r="AF258" s="4">
        <f ca="1">$M$258*$Z$258</f>
        <v>4530.3879050370242</v>
      </c>
      <c r="AG258" s="4">
        <f>$O$258*$AA$258</f>
        <v>1410.2929902310175</v>
      </c>
    </row>
    <row r="259" spans="1:33" ht="11.25" customHeight="1" x14ac:dyDescent="0.25">
      <c r="A259" s="3" t="s">
        <v>28</v>
      </c>
      <c r="B259" s="3" t="s">
        <v>22</v>
      </c>
      <c r="C259" s="3" t="s">
        <v>23</v>
      </c>
      <c r="D259" s="3" t="s">
        <v>24</v>
      </c>
      <c r="E259" s="3" t="s">
        <v>29</v>
      </c>
      <c r="F259" s="3" t="s">
        <v>25</v>
      </c>
      <c r="G259" s="3" t="s">
        <v>25</v>
      </c>
      <c r="H259" s="3" t="s">
        <v>25</v>
      </c>
      <c r="I259" s="6">
        <v>44440</v>
      </c>
      <c r="J259" s="4">
        <v>0</v>
      </c>
      <c r="K259" s="4">
        <v>0</v>
      </c>
      <c r="L259" s="4">
        <v>0.03</v>
      </c>
      <c r="M259" s="4">
        <v>1.0500000000000001E-2</v>
      </c>
      <c r="N259" s="4">
        <v>0.03</v>
      </c>
      <c r="O259" s="4">
        <v>1.0500000000000001E-2</v>
      </c>
      <c r="P259" s="4">
        <v>1</v>
      </c>
      <c r="Q259" s="3" t="s">
        <v>26</v>
      </c>
      <c r="R259" s="3">
        <v>0</v>
      </c>
      <c r="S259" s="4">
        <v>0</v>
      </c>
      <c r="T259" s="4">
        <v>29</v>
      </c>
      <c r="U259" s="4">
        <v>50</v>
      </c>
      <c r="V259" s="4">
        <f>IF(ISERROR(VLOOKUP($S$259,'TAR FIN'!$A$1:$O$85,15,0)),0,VLOOKUP($S$259,'TAR FIN'!$A$1:$O$85,15,0))</f>
        <v>0</v>
      </c>
      <c r="W259" s="4">
        <f>IF(ISERROR(VLOOKUP($T$259,'TAR FIN'!$A$1:$O$85,15,0)),0,VLOOKUP($T$259,'TAR FIN'!$A$1:$O$85,15,0))</f>
        <v>244.97</v>
      </c>
      <c r="X259" s="4">
        <f>IF(ISERROR(VLOOKUP($U$259,'TAR FIN'!$A$1:$O$85,15,0)),0,VLOOKUP($U$259,'TAR FIN'!$A$1:$O$85,15,0))</f>
        <v>80.97</v>
      </c>
      <c r="Y259" s="4"/>
      <c r="Z259" s="4">
        <f ca="1">('TUSD BE'!$AM$21+'TUSD BF'!$AM$21+'TUSD CVA'!$AM$21-('TUSD BE'!$P$21+'TUSD BF'!$P$21+'TUSD CVA'!$P$21)-('TUSD BE'!$Q$21+'TUSD BF'!$Q$21+'TUSD CVA'!$Q$21)-('TUSD BE'!$R$21+'TUSD BF'!$R$21+'TUSD CVA'!$R$21))*(1-CUSTOS!$M$34)</f>
        <v>293.22899061728316</v>
      </c>
      <c r="AA259" s="4">
        <f>('TE BE'!$AA$12+'TE BF'!$AA$12+'TE CVA'!$AA$12)*(1-CUSTOS!$M$34)</f>
        <v>91.281099691327995</v>
      </c>
      <c r="AB259" s="4">
        <f>$K$259*$V$259</f>
        <v>0</v>
      </c>
      <c r="AC259" s="4">
        <f>$M$259*$W$259</f>
        <v>2.5721850000000002</v>
      </c>
      <c r="AD259" s="4">
        <f>$O$259*$X$259</f>
        <v>0.85018500000000008</v>
      </c>
      <c r="AE259" s="4">
        <f>$K$259*$Y$259</f>
        <v>0</v>
      </c>
      <c r="AF259" s="4">
        <f ca="1">$M$259*$Z$259</f>
        <v>3.0789044014814735</v>
      </c>
      <c r="AG259" s="4">
        <f>$O$259*$AA$259</f>
        <v>0.95845154675894406</v>
      </c>
    </row>
    <row r="260" spans="1:33" ht="11.25" customHeight="1" x14ac:dyDescent="0.25">
      <c r="A260" s="3" t="s">
        <v>21</v>
      </c>
      <c r="B260" s="3" t="s">
        <v>22</v>
      </c>
      <c r="C260" s="3" t="s">
        <v>23</v>
      </c>
      <c r="D260" s="3" t="s">
        <v>24</v>
      </c>
      <c r="E260" s="3" t="s">
        <v>29</v>
      </c>
      <c r="F260" s="3" t="s">
        <v>25</v>
      </c>
      <c r="G260" s="3" t="s">
        <v>25</v>
      </c>
      <c r="H260" s="3" t="s">
        <v>25</v>
      </c>
      <c r="I260" s="6">
        <v>44470</v>
      </c>
      <c r="J260" s="4">
        <v>0</v>
      </c>
      <c r="K260" s="4">
        <v>0</v>
      </c>
      <c r="L260" s="4">
        <v>17.07</v>
      </c>
      <c r="M260" s="4">
        <v>17.07</v>
      </c>
      <c r="N260" s="4">
        <v>17.07</v>
      </c>
      <c r="O260" s="4">
        <v>17.07</v>
      </c>
      <c r="P260" s="4">
        <v>20</v>
      </c>
      <c r="Q260" s="3" t="s">
        <v>26</v>
      </c>
      <c r="R260" s="3">
        <v>0</v>
      </c>
      <c r="S260" s="4">
        <v>0</v>
      </c>
      <c r="T260" s="4">
        <v>29</v>
      </c>
      <c r="U260" s="4">
        <v>50</v>
      </c>
      <c r="V260" s="4">
        <f>IF(ISERROR(VLOOKUP($S$260,'TAR FIN'!$A$1:$O$85,15,0)),0,VLOOKUP($S$260,'TAR FIN'!$A$1:$O$85,15,0))</f>
        <v>0</v>
      </c>
      <c r="W260" s="4">
        <f>IF(ISERROR(VLOOKUP($T$260,'TAR FIN'!$A$1:$O$85,15,0)),0,VLOOKUP($T$260,'TAR FIN'!$A$1:$O$85,15,0))</f>
        <v>244.97</v>
      </c>
      <c r="X260" s="4">
        <f>IF(ISERROR(VLOOKUP($U$260,'TAR FIN'!$A$1:$O$85,15,0)),0,VLOOKUP($U$260,'TAR FIN'!$A$1:$O$85,15,0))</f>
        <v>80.97</v>
      </c>
      <c r="Y260" s="4"/>
      <c r="Z260" s="4">
        <f ca="1">('TUSD BE'!$AM$21+'TUSD BF'!$AM$21+'TUSD CVA'!$AM$21-('TUSD BE'!$P$21+'TUSD BF'!$P$21+'TUSD CVA'!$P$21)-('TUSD BE'!$Q$21+'TUSD BF'!$Q$21+'TUSD CVA'!$Q$21)-('TUSD BE'!$R$21+'TUSD BF'!$R$21+'TUSD CVA'!$R$21))*(1-CUSTOS!$M$34)</f>
        <v>293.22899061728316</v>
      </c>
      <c r="AA260" s="4">
        <f>('TE BE'!$AA$12+'TE BF'!$AA$12+'TE CVA'!$AA$12)*(1-CUSTOS!$M$34)</f>
        <v>91.281099691327995</v>
      </c>
      <c r="AB260" s="4">
        <f>$K$260*$V$260</f>
        <v>0</v>
      </c>
      <c r="AC260" s="4">
        <f>$M$260*$W$260</f>
        <v>4181.6378999999997</v>
      </c>
      <c r="AD260" s="4">
        <f>$O$260*$X$260</f>
        <v>1382.1578999999999</v>
      </c>
      <c r="AE260" s="4">
        <f>$K$260*$Y$260</f>
        <v>0</v>
      </c>
      <c r="AF260" s="4">
        <f ca="1">$M$260*$Z$260</f>
        <v>5005.4188698370235</v>
      </c>
      <c r="AG260" s="4">
        <f>$O$260*$AA$260</f>
        <v>1558.1683717309688</v>
      </c>
    </row>
    <row r="261" spans="1:33" ht="11.25" customHeight="1" x14ac:dyDescent="0.25">
      <c r="A261" s="3" t="s">
        <v>28</v>
      </c>
      <c r="B261" s="3" t="s">
        <v>22</v>
      </c>
      <c r="C261" s="3" t="s">
        <v>23</v>
      </c>
      <c r="D261" s="3" t="s">
        <v>24</v>
      </c>
      <c r="E261" s="3" t="s">
        <v>29</v>
      </c>
      <c r="F261" s="3" t="s">
        <v>25</v>
      </c>
      <c r="G261" s="3" t="s">
        <v>25</v>
      </c>
      <c r="H261" s="3" t="s">
        <v>25</v>
      </c>
      <c r="I261" s="6">
        <v>44470</v>
      </c>
      <c r="J261" s="4">
        <v>0</v>
      </c>
      <c r="K261" s="4">
        <v>0</v>
      </c>
      <c r="L261" s="4">
        <v>0.03</v>
      </c>
      <c r="M261" s="4">
        <v>1.0500000000000001E-2</v>
      </c>
      <c r="N261" s="4">
        <v>0.03</v>
      </c>
      <c r="O261" s="4">
        <v>1.0500000000000001E-2</v>
      </c>
      <c r="P261" s="4">
        <v>1</v>
      </c>
      <c r="Q261" s="3" t="s">
        <v>26</v>
      </c>
      <c r="R261" s="3">
        <v>0</v>
      </c>
      <c r="S261" s="4">
        <v>0</v>
      </c>
      <c r="T261" s="4">
        <v>29</v>
      </c>
      <c r="U261" s="4">
        <v>50</v>
      </c>
      <c r="V261" s="4">
        <f>IF(ISERROR(VLOOKUP($S$261,'TAR FIN'!$A$1:$O$85,15,0)),0,VLOOKUP($S$261,'TAR FIN'!$A$1:$O$85,15,0))</f>
        <v>0</v>
      </c>
      <c r="W261" s="4">
        <f>IF(ISERROR(VLOOKUP($T$261,'TAR FIN'!$A$1:$O$85,15,0)),0,VLOOKUP($T$261,'TAR FIN'!$A$1:$O$85,15,0))</f>
        <v>244.97</v>
      </c>
      <c r="X261" s="4">
        <f>IF(ISERROR(VLOOKUP($U$261,'TAR FIN'!$A$1:$O$85,15,0)),0,VLOOKUP($U$261,'TAR FIN'!$A$1:$O$85,15,0))</f>
        <v>80.97</v>
      </c>
      <c r="Y261" s="4"/>
      <c r="Z261" s="4">
        <f ca="1">('TUSD BE'!$AM$21+'TUSD BF'!$AM$21+'TUSD CVA'!$AM$21-('TUSD BE'!$P$21+'TUSD BF'!$P$21+'TUSD CVA'!$P$21)-('TUSD BE'!$Q$21+'TUSD BF'!$Q$21+'TUSD CVA'!$Q$21)-('TUSD BE'!$R$21+'TUSD BF'!$R$21+'TUSD CVA'!$R$21))*(1-CUSTOS!$M$34)</f>
        <v>293.22899061728316</v>
      </c>
      <c r="AA261" s="4">
        <f>('TE BE'!$AA$12+'TE BF'!$AA$12+'TE CVA'!$AA$12)*(1-CUSTOS!$M$34)</f>
        <v>91.281099691327995</v>
      </c>
      <c r="AB261" s="4">
        <f>$K$261*$V$261</f>
        <v>0</v>
      </c>
      <c r="AC261" s="4">
        <f>$M$261*$W$261</f>
        <v>2.5721850000000002</v>
      </c>
      <c r="AD261" s="4">
        <f>$O$261*$X$261</f>
        <v>0.85018500000000008</v>
      </c>
      <c r="AE261" s="4">
        <f>$K$261*$Y$261</f>
        <v>0</v>
      </c>
      <c r="AF261" s="4">
        <f ca="1">$M$261*$Z$261</f>
        <v>3.0789044014814735</v>
      </c>
      <c r="AG261" s="4">
        <f>$O$261*$AA$261</f>
        <v>0.95845154675894406</v>
      </c>
    </row>
    <row r="262" spans="1:33" ht="11.25" customHeight="1" x14ac:dyDescent="0.25">
      <c r="A262" s="3" t="s">
        <v>21</v>
      </c>
      <c r="B262" s="3" t="s">
        <v>22</v>
      </c>
      <c r="C262" s="3" t="s">
        <v>23</v>
      </c>
      <c r="D262" s="3" t="s">
        <v>24</v>
      </c>
      <c r="E262" s="3" t="s">
        <v>29</v>
      </c>
      <c r="F262" s="3" t="s">
        <v>25</v>
      </c>
      <c r="G262" s="3" t="s">
        <v>25</v>
      </c>
      <c r="H262" s="3" t="s">
        <v>25</v>
      </c>
      <c r="I262" s="6">
        <v>44501</v>
      </c>
      <c r="J262" s="4">
        <v>0</v>
      </c>
      <c r="K262" s="4">
        <v>0</v>
      </c>
      <c r="L262" s="4">
        <v>18.035</v>
      </c>
      <c r="M262" s="4">
        <v>18.035</v>
      </c>
      <c r="N262" s="4">
        <v>18.035</v>
      </c>
      <c r="O262" s="4">
        <v>18.035</v>
      </c>
      <c r="P262" s="4">
        <v>18</v>
      </c>
      <c r="Q262" s="3" t="s">
        <v>26</v>
      </c>
      <c r="R262" s="3">
        <v>0</v>
      </c>
      <c r="S262" s="4">
        <v>0</v>
      </c>
      <c r="T262" s="4">
        <v>29</v>
      </c>
      <c r="U262" s="4">
        <v>50</v>
      </c>
      <c r="V262" s="4">
        <f>IF(ISERROR(VLOOKUP($S$262,'TAR FIN'!$A$1:$O$85,15,0)),0,VLOOKUP($S$262,'TAR FIN'!$A$1:$O$85,15,0))</f>
        <v>0</v>
      </c>
      <c r="W262" s="4">
        <f>IF(ISERROR(VLOOKUP($T$262,'TAR FIN'!$A$1:$O$85,15,0)),0,VLOOKUP($T$262,'TAR FIN'!$A$1:$O$85,15,0))</f>
        <v>244.97</v>
      </c>
      <c r="X262" s="4">
        <f>IF(ISERROR(VLOOKUP($U$262,'TAR FIN'!$A$1:$O$85,15,0)),0,VLOOKUP($U$262,'TAR FIN'!$A$1:$O$85,15,0))</f>
        <v>80.97</v>
      </c>
      <c r="Y262" s="4"/>
      <c r="Z262" s="4">
        <f ca="1">('TUSD BE'!$AM$21+'TUSD BF'!$AM$21+'TUSD CVA'!$AM$21-('TUSD BE'!$P$21+'TUSD BF'!$P$21+'TUSD CVA'!$P$21)-('TUSD BE'!$Q$21+'TUSD BF'!$Q$21+'TUSD CVA'!$Q$21)-('TUSD BE'!$R$21+'TUSD BF'!$R$21+'TUSD CVA'!$R$21))*(1-CUSTOS!$M$34)</f>
        <v>293.22899061728316</v>
      </c>
      <c r="AA262" s="4">
        <f>('TE BE'!$AA$12+'TE BF'!$AA$12+'TE CVA'!$AA$12)*(1-CUSTOS!$M$34)</f>
        <v>91.281099691327995</v>
      </c>
      <c r="AB262" s="4">
        <f>$K$262*$V$262</f>
        <v>0</v>
      </c>
      <c r="AC262" s="4">
        <f>$M$262*$W$262</f>
        <v>4418.03395</v>
      </c>
      <c r="AD262" s="4">
        <f>$O$262*$X$262</f>
        <v>1460.29395</v>
      </c>
      <c r="AE262" s="4">
        <f>$K$262*$Y$262</f>
        <v>0</v>
      </c>
      <c r="AF262" s="4">
        <f ca="1">$M$262*$Z$262</f>
        <v>5288.3848457827016</v>
      </c>
      <c r="AG262" s="4">
        <f>$O$262*$AA$262</f>
        <v>1646.2546329331003</v>
      </c>
    </row>
    <row r="263" spans="1:33" ht="11.25" customHeight="1" x14ac:dyDescent="0.25">
      <c r="A263" s="3" t="s">
        <v>28</v>
      </c>
      <c r="B263" s="3" t="s">
        <v>22</v>
      </c>
      <c r="C263" s="3" t="s">
        <v>23</v>
      </c>
      <c r="D263" s="3" t="s">
        <v>24</v>
      </c>
      <c r="E263" s="3" t="s">
        <v>29</v>
      </c>
      <c r="F263" s="3" t="s">
        <v>25</v>
      </c>
      <c r="G263" s="3" t="s">
        <v>25</v>
      </c>
      <c r="H263" s="3" t="s">
        <v>25</v>
      </c>
      <c r="I263" s="6">
        <v>44501</v>
      </c>
      <c r="J263" s="4">
        <v>0</v>
      </c>
      <c r="K263" s="4">
        <v>0</v>
      </c>
      <c r="L263" s="4">
        <v>0.06</v>
      </c>
      <c r="M263" s="4">
        <v>2.1000000000000001E-2</v>
      </c>
      <c r="N263" s="4">
        <v>0.06</v>
      </c>
      <c r="O263" s="4">
        <v>2.1000000000000001E-2</v>
      </c>
      <c r="P263" s="4">
        <v>1</v>
      </c>
      <c r="Q263" s="3" t="s">
        <v>26</v>
      </c>
      <c r="R263" s="3">
        <v>0</v>
      </c>
      <c r="S263" s="4">
        <v>0</v>
      </c>
      <c r="T263" s="4">
        <v>29</v>
      </c>
      <c r="U263" s="4">
        <v>50</v>
      </c>
      <c r="V263" s="4">
        <f>IF(ISERROR(VLOOKUP($S$263,'TAR FIN'!$A$1:$O$85,15,0)),0,VLOOKUP($S$263,'TAR FIN'!$A$1:$O$85,15,0))</f>
        <v>0</v>
      </c>
      <c r="W263" s="4">
        <f>IF(ISERROR(VLOOKUP($T$263,'TAR FIN'!$A$1:$O$85,15,0)),0,VLOOKUP($T$263,'TAR FIN'!$A$1:$O$85,15,0))</f>
        <v>244.97</v>
      </c>
      <c r="X263" s="4">
        <f>IF(ISERROR(VLOOKUP($U$263,'TAR FIN'!$A$1:$O$85,15,0)),0,VLOOKUP($U$263,'TAR FIN'!$A$1:$O$85,15,0))</f>
        <v>80.97</v>
      </c>
      <c r="Y263" s="4"/>
      <c r="Z263" s="4">
        <f ca="1">('TUSD BE'!$AM$21+'TUSD BF'!$AM$21+'TUSD CVA'!$AM$21-('TUSD BE'!$P$21+'TUSD BF'!$P$21+'TUSD CVA'!$P$21)-('TUSD BE'!$Q$21+'TUSD BF'!$Q$21+'TUSD CVA'!$Q$21)-('TUSD BE'!$R$21+'TUSD BF'!$R$21+'TUSD CVA'!$R$21))*(1-CUSTOS!$M$34)</f>
        <v>293.22899061728316</v>
      </c>
      <c r="AA263" s="4">
        <f>('TE BE'!$AA$12+'TE BF'!$AA$12+'TE CVA'!$AA$12)*(1-CUSTOS!$M$34)</f>
        <v>91.281099691327995</v>
      </c>
      <c r="AB263" s="4">
        <f>$K$263*$V$263</f>
        <v>0</v>
      </c>
      <c r="AC263" s="4">
        <f>$M$263*$W$263</f>
        <v>5.1443700000000003</v>
      </c>
      <c r="AD263" s="4">
        <f>$O$263*$X$263</f>
        <v>1.7003700000000002</v>
      </c>
      <c r="AE263" s="4">
        <f>$K$263*$Y$263</f>
        <v>0</v>
      </c>
      <c r="AF263" s="4">
        <f ca="1">$M$263*$Z$263</f>
        <v>6.157808802962947</v>
      </c>
      <c r="AG263" s="4">
        <f>$O$263*$AA$263</f>
        <v>1.9169030935178881</v>
      </c>
    </row>
    <row r="264" spans="1:33" ht="11.25" customHeight="1" x14ac:dyDescent="0.25">
      <c r="A264" s="3" t="s">
        <v>21</v>
      </c>
      <c r="B264" s="3" t="s">
        <v>22</v>
      </c>
      <c r="C264" s="3" t="s">
        <v>23</v>
      </c>
      <c r="D264" s="3" t="s">
        <v>24</v>
      </c>
      <c r="E264" s="3" t="s">
        <v>29</v>
      </c>
      <c r="F264" s="3" t="s">
        <v>25</v>
      </c>
      <c r="G264" s="3" t="s">
        <v>25</v>
      </c>
      <c r="H264" s="3" t="s">
        <v>25</v>
      </c>
      <c r="I264" s="6">
        <v>44531</v>
      </c>
      <c r="J264" s="4">
        <v>0</v>
      </c>
      <c r="K264" s="4">
        <v>0</v>
      </c>
      <c r="L264" s="4">
        <v>18.78</v>
      </c>
      <c r="M264" s="4">
        <v>18.78</v>
      </c>
      <c r="N264" s="4">
        <v>18.78</v>
      </c>
      <c r="O264" s="4">
        <v>18.78</v>
      </c>
      <c r="P264" s="4">
        <v>18</v>
      </c>
      <c r="Q264" s="3" t="s">
        <v>26</v>
      </c>
      <c r="R264" s="3">
        <v>0</v>
      </c>
      <c r="S264" s="4">
        <v>0</v>
      </c>
      <c r="T264" s="4">
        <v>29</v>
      </c>
      <c r="U264" s="4">
        <v>50</v>
      </c>
      <c r="V264" s="4">
        <f>IF(ISERROR(VLOOKUP($S$264,'TAR FIN'!$A$1:$O$85,15,0)),0,VLOOKUP($S$264,'TAR FIN'!$A$1:$O$85,15,0))</f>
        <v>0</v>
      </c>
      <c r="W264" s="4">
        <f>IF(ISERROR(VLOOKUP($T$264,'TAR FIN'!$A$1:$O$85,15,0)),0,VLOOKUP($T$264,'TAR FIN'!$A$1:$O$85,15,0))</f>
        <v>244.97</v>
      </c>
      <c r="X264" s="4">
        <f>IF(ISERROR(VLOOKUP($U$264,'TAR FIN'!$A$1:$O$85,15,0)),0,VLOOKUP($U$264,'TAR FIN'!$A$1:$O$85,15,0))</f>
        <v>80.97</v>
      </c>
      <c r="Y264" s="4"/>
      <c r="Z264" s="4">
        <f ca="1">('TUSD BE'!$AM$21+'TUSD BF'!$AM$21+'TUSD CVA'!$AM$21-('TUSD BE'!$P$21+'TUSD BF'!$P$21+'TUSD CVA'!$P$21)-('TUSD BE'!$Q$21+'TUSD BF'!$Q$21+'TUSD CVA'!$Q$21)-('TUSD BE'!$R$21+'TUSD BF'!$R$21+'TUSD CVA'!$R$21))*(1-CUSTOS!$M$34)</f>
        <v>293.22899061728316</v>
      </c>
      <c r="AA264" s="4">
        <f>('TE BE'!$AA$12+'TE BF'!$AA$12+'TE CVA'!$AA$12)*(1-CUSTOS!$M$34)</f>
        <v>91.281099691327995</v>
      </c>
      <c r="AB264" s="4">
        <f>$K$264*$V$264</f>
        <v>0</v>
      </c>
      <c r="AC264" s="4">
        <f>$M$264*$W$264</f>
        <v>4600.5366000000004</v>
      </c>
      <c r="AD264" s="4">
        <f>$O$264*$X$264</f>
        <v>1520.6166000000001</v>
      </c>
      <c r="AE264" s="4">
        <f>$K$264*$Y$264</f>
        <v>0</v>
      </c>
      <c r="AF264" s="4">
        <f ca="1">$M$264*$Z$264</f>
        <v>5506.8404437925783</v>
      </c>
      <c r="AG264" s="4">
        <f>$O$264*$AA$264</f>
        <v>1714.2590522031398</v>
      </c>
    </row>
    <row r="265" spans="1:33" ht="11.25" customHeight="1" x14ac:dyDescent="0.25">
      <c r="A265" s="3" t="s">
        <v>28</v>
      </c>
      <c r="B265" s="3" t="s">
        <v>22</v>
      </c>
      <c r="C265" s="3" t="s">
        <v>23</v>
      </c>
      <c r="D265" s="3" t="s">
        <v>24</v>
      </c>
      <c r="E265" s="3" t="s">
        <v>29</v>
      </c>
      <c r="F265" s="3" t="s">
        <v>25</v>
      </c>
      <c r="G265" s="3" t="s">
        <v>25</v>
      </c>
      <c r="H265" s="3" t="s">
        <v>25</v>
      </c>
      <c r="I265" s="6">
        <v>44531</v>
      </c>
      <c r="J265" s="4">
        <v>0</v>
      </c>
      <c r="K265" s="4">
        <v>0</v>
      </c>
      <c r="L265" s="4">
        <v>0.06</v>
      </c>
      <c r="M265" s="4">
        <v>2.1000000000000001E-2</v>
      </c>
      <c r="N265" s="4">
        <v>0.06</v>
      </c>
      <c r="O265" s="4">
        <v>2.1000000000000001E-2</v>
      </c>
      <c r="P265" s="4">
        <v>1</v>
      </c>
      <c r="Q265" s="3" t="s">
        <v>26</v>
      </c>
      <c r="R265" s="3">
        <v>0</v>
      </c>
      <c r="S265" s="4">
        <v>0</v>
      </c>
      <c r="T265" s="4">
        <v>29</v>
      </c>
      <c r="U265" s="4">
        <v>50</v>
      </c>
      <c r="V265" s="4">
        <f>IF(ISERROR(VLOOKUP($S$265,'TAR FIN'!$A$1:$O$85,15,0)),0,VLOOKUP($S$265,'TAR FIN'!$A$1:$O$85,15,0))</f>
        <v>0</v>
      </c>
      <c r="W265" s="4">
        <f>IF(ISERROR(VLOOKUP($T$265,'TAR FIN'!$A$1:$O$85,15,0)),0,VLOOKUP($T$265,'TAR FIN'!$A$1:$O$85,15,0))</f>
        <v>244.97</v>
      </c>
      <c r="X265" s="4">
        <f>IF(ISERROR(VLOOKUP($U$265,'TAR FIN'!$A$1:$O$85,15,0)),0,VLOOKUP($U$265,'TAR FIN'!$A$1:$O$85,15,0))</f>
        <v>80.97</v>
      </c>
      <c r="Y265" s="4"/>
      <c r="Z265" s="4">
        <f ca="1">('TUSD BE'!$AM$21+'TUSD BF'!$AM$21+'TUSD CVA'!$AM$21-('TUSD BE'!$P$21+'TUSD BF'!$P$21+'TUSD CVA'!$P$21)-('TUSD BE'!$Q$21+'TUSD BF'!$Q$21+'TUSD CVA'!$Q$21)-('TUSD BE'!$R$21+'TUSD BF'!$R$21+'TUSD CVA'!$R$21))*(1-CUSTOS!$M$34)</f>
        <v>293.22899061728316</v>
      </c>
      <c r="AA265" s="4">
        <f>('TE BE'!$AA$12+'TE BF'!$AA$12+'TE CVA'!$AA$12)*(1-CUSTOS!$M$34)</f>
        <v>91.281099691327995</v>
      </c>
      <c r="AB265" s="4">
        <f>$K$265*$V$265</f>
        <v>0</v>
      </c>
      <c r="AC265" s="4">
        <f>$M$265*$W$265</f>
        <v>5.1443700000000003</v>
      </c>
      <c r="AD265" s="4">
        <f>$O$265*$X$265</f>
        <v>1.7003700000000002</v>
      </c>
      <c r="AE265" s="4">
        <f>$K$265*$Y$265</f>
        <v>0</v>
      </c>
      <c r="AF265" s="4">
        <f ca="1">$M$265*$Z$265</f>
        <v>6.157808802962947</v>
      </c>
      <c r="AG265" s="4">
        <f>$O$265*$AA$265</f>
        <v>1.9169030935178881</v>
      </c>
    </row>
    <row r="266" spans="1:33" ht="11.25" customHeight="1" x14ac:dyDescent="0.25">
      <c r="A266" s="3" t="s">
        <v>21</v>
      </c>
      <c r="B266" s="3" t="s">
        <v>22</v>
      </c>
      <c r="C266" s="3" t="s">
        <v>23</v>
      </c>
      <c r="D266" s="3" t="s">
        <v>24</v>
      </c>
      <c r="E266" s="3" t="s">
        <v>29</v>
      </c>
      <c r="F266" s="3" t="s">
        <v>25</v>
      </c>
      <c r="G266" s="3" t="s">
        <v>25</v>
      </c>
      <c r="H266" s="3" t="s">
        <v>25</v>
      </c>
      <c r="I266" s="6">
        <v>44562</v>
      </c>
      <c r="J266" s="4">
        <v>0</v>
      </c>
      <c r="K266" s="4">
        <v>0</v>
      </c>
      <c r="L266" s="4">
        <v>19.559999999999999</v>
      </c>
      <c r="M266" s="4">
        <v>19.559999999999999</v>
      </c>
      <c r="N266" s="4">
        <v>19.559999999999999</v>
      </c>
      <c r="O266" s="4">
        <v>19.559999999999999</v>
      </c>
      <c r="P266" s="4">
        <v>16</v>
      </c>
      <c r="Q266" s="3" t="s">
        <v>26</v>
      </c>
      <c r="R266" s="3">
        <v>0</v>
      </c>
      <c r="S266" s="4">
        <v>0</v>
      </c>
      <c r="T266" s="4">
        <v>29</v>
      </c>
      <c r="U266" s="4">
        <v>50</v>
      </c>
      <c r="V266" s="4">
        <f>IF(ISERROR(VLOOKUP($S$266,'TAR FIN'!$A$1:$O$85,15,0)),0,VLOOKUP($S$266,'TAR FIN'!$A$1:$O$85,15,0))</f>
        <v>0</v>
      </c>
      <c r="W266" s="4">
        <f>IF(ISERROR(VLOOKUP($T$266,'TAR FIN'!$A$1:$O$85,15,0)),0,VLOOKUP($T$266,'TAR FIN'!$A$1:$O$85,15,0))</f>
        <v>244.97</v>
      </c>
      <c r="X266" s="4">
        <f>IF(ISERROR(VLOOKUP($U$266,'TAR FIN'!$A$1:$O$85,15,0)),0,VLOOKUP($U$266,'TAR FIN'!$A$1:$O$85,15,0))</f>
        <v>80.97</v>
      </c>
      <c r="Y266" s="4"/>
      <c r="Z266" s="4">
        <f ca="1">('TUSD BE'!$AM$21+'TUSD BF'!$AM$21+'TUSD CVA'!$AM$21-('TUSD BE'!$P$21+'TUSD BF'!$P$21+'TUSD CVA'!$P$21)-('TUSD BE'!$Q$21+'TUSD BF'!$Q$21+'TUSD CVA'!$Q$21)-('TUSD BE'!$R$21+'TUSD BF'!$R$21+'TUSD CVA'!$R$21))*(1-CUSTOS!$M$34)</f>
        <v>293.22899061728316</v>
      </c>
      <c r="AA266" s="4">
        <f>('TE BE'!$AA$12+'TE BF'!$AA$12+'TE CVA'!$AA$12)*(1-CUSTOS!$M$34)</f>
        <v>91.281099691327995</v>
      </c>
      <c r="AB266" s="4">
        <f>$K$266*$V$266</f>
        <v>0</v>
      </c>
      <c r="AC266" s="4">
        <f>$M$266*$W$266</f>
        <v>4791.6131999999998</v>
      </c>
      <c r="AD266" s="4">
        <f>$O$266*$X$266</f>
        <v>1583.7731999999999</v>
      </c>
      <c r="AE266" s="4">
        <f>$K$266*$Y$266</f>
        <v>0</v>
      </c>
      <c r="AF266" s="4">
        <f ca="1">$M$266*$Z$266</f>
        <v>5735.5590564740578</v>
      </c>
      <c r="AG266" s="4">
        <f>$O$266*$AA$266</f>
        <v>1785.4583099623756</v>
      </c>
    </row>
    <row r="267" spans="1:33" ht="11.25" customHeight="1" x14ac:dyDescent="0.25">
      <c r="A267" s="3" t="s">
        <v>28</v>
      </c>
      <c r="B267" s="3" t="s">
        <v>22</v>
      </c>
      <c r="C267" s="3" t="s">
        <v>23</v>
      </c>
      <c r="D267" s="3" t="s">
        <v>24</v>
      </c>
      <c r="E267" s="3" t="s">
        <v>29</v>
      </c>
      <c r="F267" s="3" t="s">
        <v>25</v>
      </c>
      <c r="G267" s="3" t="s">
        <v>25</v>
      </c>
      <c r="H267" s="3" t="s">
        <v>25</v>
      </c>
      <c r="I267" s="6">
        <v>44562</v>
      </c>
      <c r="J267" s="4">
        <v>0</v>
      </c>
      <c r="K267" s="4">
        <v>0</v>
      </c>
      <c r="L267" s="4">
        <v>0.06</v>
      </c>
      <c r="M267" s="4">
        <v>2.1000000000000001E-2</v>
      </c>
      <c r="N267" s="4">
        <v>0.06</v>
      </c>
      <c r="O267" s="4">
        <v>2.1000000000000001E-2</v>
      </c>
      <c r="P267" s="4">
        <v>1</v>
      </c>
      <c r="Q267" s="3" t="s">
        <v>26</v>
      </c>
      <c r="R267" s="3">
        <v>0</v>
      </c>
      <c r="S267" s="4">
        <v>0</v>
      </c>
      <c r="T267" s="4">
        <v>29</v>
      </c>
      <c r="U267" s="4">
        <v>50</v>
      </c>
      <c r="V267" s="4">
        <f>IF(ISERROR(VLOOKUP($S$267,'TAR FIN'!$A$1:$O$85,15,0)),0,VLOOKUP($S$267,'TAR FIN'!$A$1:$O$85,15,0))</f>
        <v>0</v>
      </c>
      <c r="W267" s="4">
        <f>IF(ISERROR(VLOOKUP($T$267,'TAR FIN'!$A$1:$O$85,15,0)),0,VLOOKUP($T$267,'TAR FIN'!$A$1:$O$85,15,0))</f>
        <v>244.97</v>
      </c>
      <c r="X267" s="4">
        <f>IF(ISERROR(VLOOKUP($U$267,'TAR FIN'!$A$1:$O$85,15,0)),0,VLOOKUP($U$267,'TAR FIN'!$A$1:$O$85,15,0))</f>
        <v>80.97</v>
      </c>
      <c r="Y267" s="4"/>
      <c r="Z267" s="4">
        <f ca="1">('TUSD BE'!$AM$21+'TUSD BF'!$AM$21+'TUSD CVA'!$AM$21-('TUSD BE'!$P$21+'TUSD BF'!$P$21+'TUSD CVA'!$P$21)-('TUSD BE'!$Q$21+'TUSD BF'!$Q$21+'TUSD CVA'!$Q$21)-('TUSD BE'!$R$21+'TUSD BF'!$R$21+'TUSD CVA'!$R$21))*(1-CUSTOS!$M$34)</f>
        <v>293.22899061728316</v>
      </c>
      <c r="AA267" s="4">
        <f>('TE BE'!$AA$12+'TE BF'!$AA$12+'TE CVA'!$AA$12)*(1-CUSTOS!$M$34)</f>
        <v>91.281099691327995</v>
      </c>
      <c r="AB267" s="4">
        <f>$K$267*$V$267</f>
        <v>0</v>
      </c>
      <c r="AC267" s="4">
        <f>$M$267*$W$267</f>
        <v>5.1443700000000003</v>
      </c>
      <c r="AD267" s="4">
        <f>$O$267*$X$267</f>
        <v>1.7003700000000002</v>
      </c>
      <c r="AE267" s="4">
        <f>$K$267*$Y$267</f>
        <v>0</v>
      </c>
      <c r="AF267" s="4">
        <f ca="1">$M$267*$Z$267</f>
        <v>6.157808802962947</v>
      </c>
      <c r="AG267" s="4">
        <f>$O$267*$AA$267</f>
        <v>1.9169030935178881</v>
      </c>
    </row>
    <row r="268" spans="1:33" ht="11.25" customHeight="1" x14ac:dyDescent="0.25">
      <c r="A268" s="3" t="s">
        <v>21</v>
      </c>
      <c r="B268" s="3" t="s">
        <v>22</v>
      </c>
      <c r="C268" s="3" t="s">
        <v>23</v>
      </c>
      <c r="D268" s="3" t="s">
        <v>24</v>
      </c>
      <c r="E268" s="3" t="s">
        <v>29</v>
      </c>
      <c r="F268" s="3" t="s">
        <v>25</v>
      </c>
      <c r="G268" s="3" t="s">
        <v>25</v>
      </c>
      <c r="H268" s="3" t="s">
        <v>25</v>
      </c>
      <c r="I268" s="6">
        <v>44593</v>
      </c>
      <c r="J268" s="4">
        <v>0</v>
      </c>
      <c r="K268" s="4">
        <v>0</v>
      </c>
      <c r="L268" s="4">
        <v>20.58</v>
      </c>
      <c r="M268" s="4">
        <v>20.58</v>
      </c>
      <c r="N268" s="4">
        <v>20.58</v>
      </c>
      <c r="O268" s="4">
        <v>20.58</v>
      </c>
      <c r="P268" s="4">
        <v>18</v>
      </c>
      <c r="Q268" s="3" t="s">
        <v>26</v>
      </c>
      <c r="R268" s="3">
        <v>0</v>
      </c>
      <c r="S268" s="4">
        <v>0</v>
      </c>
      <c r="T268" s="4">
        <v>29</v>
      </c>
      <c r="U268" s="4">
        <v>50</v>
      </c>
      <c r="V268" s="4">
        <f>IF(ISERROR(VLOOKUP($S$268,'TAR FIN'!$A$1:$O$85,15,0)),0,VLOOKUP($S$268,'TAR FIN'!$A$1:$O$85,15,0))</f>
        <v>0</v>
      </c>
      <c r="W268" s="4">
        <f>IF(ISERROR(VLOOKUP($T$268,'TAR FIN'!$A$1:$O$85,15,0)),0,VLOOKUP($T$268,'TAR FIN'!$A$1:$O$85,15,0))</f>
        <v>244.97</v>
      </c>
      <c r="X268" s="4">
        <f>IF(ISERROR(VLOOKUP($U$268,'TAR FIN'!$A$1:$O$85,15,0)),0,VLOOKUP($U$268,'TAR FIN'!$A$1:$O$85,15,0))</f>
        <v>80.97</v>
      </c>
      <c r="Y268" s="4"/>
      <c r="Z268" s="4">
        <f ca="1">('TUSD BE'!$AM$21+'TUSD BF'!$AM$21+'TUSD CVA'!$AM$21-('TUSD BE'!$P$21+'TUSD BF'!$P$21+'TUSD CVA'!$P$21)-('TUSD BE'!$Q$21+'TUSD BF'!$Q$21+'TUSD CVA'!$Q$21)-('TUSD BE'!$R$21+'TUSD BF'!$R$21+'TUSD CVA'!$R$21))*(1-CUSTOS!$M$34)</f>
        <v>293.22899061728316</v>
      </c>
      <c r="AA268" s="4">
        <f>('TE BE'!$AA$12+'TE BF'!$AA$12+'TE CVA'!$AA$12)*(1-CUSTOS!$M$34)</f>
        <v>91.281099691327995</v>
      </c>
      <c r="AB268" s="4">
        <f>$K$268*$V$268</f>
        <v>0</v>
      </c>
      <c r="AC268" s="4">
        <f>$M$268*$W$268</f>
        <v>5041.4825999999994</v>
      </c>
      <c r="AD268" s="4">
        <f>$O$268*$X$268</f>
        <v>1666.3625999999999</v>
      </c>
      <c r="AE268" s="4">
        <f>$K$268*$Y$268</f>
        <v>0</v>
      </c>
      <c r="AF268" s="4">
        <f ca="1">$M$268*$Z$268</f>
        <v>6034.6526269036867</v>
      </c>
      <c r="AG268" s="4">
        <f>$O$268*$AA$268</f>
        <v>1878.5650316475301</v>
      </c>
    </row>
    <row r="269" spans="1:33" ht="11.25" customHeight="1" x14ac:dyDescent="0.25">
      <c r="A269" s="3" t="s">
        <v>28</v>
      </c>
      <c r="B269" s="3" t="s">
        <v>22</v>
      </c>
      <c r="C269" s="3" t="s">
        <v>23</v>
      </c>
      <c r="D269" s="3" t="s">
        <v>24</v>
      </c>
      <c r="E269" s="3" t="s">
        <v>29</v>
      </c>
      <c r="F269" s="3" t="s">
        <v>25</v>
      </c>
      <c r="G269" s="3" t="s">
        <v>25</v>
      </c>
      <c r="H269" s="3" t="s">
        <v>25</v>
      </c>
      <c r="I269" s="6">
        <v>44593</v>
      </c>
      <c r="J269" s="4">
        <v>0</v>
      </c>
      <c r="K269" s="4">
        <v>0</v>
      </c>
      <c r="L269" s="4">
        <v>0.03</v>
      </c>
      <c r="M269" s="4">
        <v>-8.9999999999999993E-3</v>
      </c>
      <c r="N269" s="4">
        <v>0.03</v>
      </c>
      <c r="O269" s="4">
        <v>-8.9999999999999993E-3</v>
      </c>
      <c r="P269" s="4">
        <v>0</v>
      </c>
      <c r="Q269" s="3" t="s">
        <v>26</v>
      </c>
      <c r="R269" s="3">
        <v>0</v>
      </c>
      <c r="S269" s="4">
        <v>0</v>
      </c>
      <c r="T269" s="4">
        <v>29</v>
      </c>
      <c r="U269" s="4">
        <v>50</v>
      </c>
      <c r="V269" s="4">
        <f>IF(ISERROR(VLOOKUP($S$269,'TAR FIN'!$A$1:$O$85,15,0)),0,VLOOKUP($S$269,'TAR FIN'!$A$1:$O$85,15,0))</f>
        <v>0</v>
      </c>
      <c r="W269" s="4">
        <f>IF(ISERROR(VLOOKUP($T$269,'TAR FIN'!$A$1:$O$85,15,0)),0,VLOOKUP($T$269,'TAR FIN'!$A$1:$O$85,15,0))</f>
        <v>244.97</v>
      </c>
      <c r="X269" s="4">
        <f>IF(ISERROR(VLOOKUP($U$269,'TAR FIN'!$A$1:$O$85,15,0)),0,VLOOKUP($U$269,'TAR FIN'!$A$1:$O$85,15,0))</f>
        <v>80.97</v>
      </c>
      <c r="Y269" s="4"/>
      <c r="Z269" s="4">
        <f ca="1">('TUSD BE'!$AM$21+'TUSD BF'!$AM$21+'TUSD CVA'!$AM$21-('TUSD BE'!$P$21+'TUSD BF'!$P$21+'TUSD CVA'!$P$21)-('TUSD BE'!$Q$21+'TUSD BF'!$Q$21+'TUSD CVA'!$Q$21)-('TUSD BE'!$R$21+'TUSD BF'!$R$21+'TUSD CVA'!$R$21))*(1-CUSTOS!$M$34)</f>
        <v>293.22899061728316</v>
      </c>
      <c r="AA269" s="4">
        <f>('TE BE'!$AA$12+'TE BF'!$AA$12+'TE CVA'!$AA$12)*(1-CUSTOS!$M$34)</f>
        <v>91.281099691327995</v>
      </c>
      <c r="AB269" s="4">
        <f>$K$269*$V$269</f>
        <v>0</v>
      </c>
      <c r="AC269" s="4">
        <f>$M$269*$W$269</f>
        <v>-2.2047299999999996</v>
      </c>
      <c r="AD269" s="4">
        <f>$O$269*$X$269</f>
        <v>-0.72872999999999999</v>
      </c>
      <c r="AE269" s="4">
        <f>$K$269*$Y$269</f>
        <v>0</v>
      </c>
      <c r="AF269" s="4">
        <f ca="1">$M$269*$Z$269</f>
        <v>-2.6390609155555484</v>
      </c>
      <c r="AG269" s="4">
        <f>$O$269*$AA$269</f>
        <v>-0.82152989722195191</v>
      </c>
    </row>
    <row r="270" spans="1:33" ht="11.25" customHeight="1" x14ac:dyDescent="0.25">
      <c r="A270" s="3" t="s">
        <v>21</v>
      </c>
      <c r="B270" s="3" t="s">
        <v>22</v>
      </c>
      <c r="C270" s="3" t="s">
        <v>23</v>
      </c>
      <c r="D270" s="3" t="s">
        <v>24</v>
      </c>
      <c r="E270" s="3" t="s">
        <v>29</v>
      </c>
      <c r="F270" s="3" t="s">
        <v>25</v>
      </c>
      <c r="G270" s="3" t="s">
        <v>25</v>
      </c>
      <c r="H270" s="3" t="s">
        <v>25</v>
      </c>
      <c r="I270" s="6">
        <v>44621</v>
      </c>
      <c r="J270" s="4">
        <v>0</v>
      </c>
      <c r="K270" s="4">
        <v>0</v>
      </c>
      <c r="L270" s="4">
        <v>44.7</v>
      </c>
      <c r="M270" s="4">
        <v>44.7</v>
      </c>
      <c r="N270" s="4">
        <v>44.7</v>
      </c>
      <c r="O270" s="4">
        <v>44.7</v>
      </c>
      <c r="P270" s="4">
        <v>79</v>
      </c>
      <c r="Q270" s="3" t="s">
        <v>26</v>
      </c>
      <c r="R270" s="3">
        <v>0</v>
      </c>
      <c r="S270" s="4">
        <v>0</v>
      </c>
      <c r="T270" s="4">
        <v>29</v>
      </c>
      <c r="U270" s="4">
        <v>50</v>
      </c>
      <c r="V270" s="4">
        <f>IF(ISERROR(VLOOKUP($S$270,'TAR FIN'!$A$1:$O$85,15,0)),0,VLOOKUP($S$270,'TAR FIN'!$A$1:$O$85,15,0))</f>
        <v>0</v>
      </c>
      <c r="W270" s="4">
        <f>IF(ISERROR(VLOOKUP($T$270,'TAR FIN'!$A$1:$O$85,15,0)),0,VLOOKUP($T$270,'TAR FIN'!$A$1:$O$85,15,0))</f>
        <v>244.97</v>
      </c>
      <c r="X270" s="4">
        <f>IF(ISERROR(VLOOKUP($U$270,'TAR FIN'!$A$1:$O$85,15,0)),0,VLOOKUP($U$270,'TAR FIN'!$A$1:$O$85,15,0))</f>
        <v>80.97</v>
      </c>
      <c r="Y270" s="4"/>
      <c r="Z270" s="4">
        <f ca="1">('TUSD BE'!$AM$21+'TUSD BF'!$AM$21+'TUSD CVA'!$AM$21-('TUSD BE'!$P$21+'TUSD BF'!$P$21+'TUSD CVA'!$P$21)-('TUSD BE'!$Q$21+'TUSD BF'!$Q$21+'TUSD CVA'!$Q$21)-('TUSD BE'!$R$21+'TUSD BF'!$R$21+'TUSD CVA'!$R$21))*(1-CUSTOS!$M$34)</f>
        <v>293.22899061728316</v>
      </c>
      <c r="AA270" s="4">
        <f>('TE BE'!$AA$12+'TE BF'!$AA$12+'TE CVA'!$AA$12)*(1-CUSTOS!$M$34)</f>
        <v>91.281099691327995</v>
      </c>
      <c r="AB270" s="4">
        <f>$K$270*$V$270</f>
        <v>0</v>
      </c>
      <c r="AC270" s="4">
        <f>$M$270*$W$270</f>
        <v>10950.159000000001</v>
      </c>
      <c r="AD270" s="4">
        <f>$O$270*$X$270</f>
        <v>3619.3590000000004</v>
      </c>
      <c r="AE270" s="4">
        <f>$K$270*$Y$270</f>
        <v>0</v>
      </c>
      <c r="AF270" s="4">
        <f ca="1">$M$270*$Z$270</f>
        <v>13107.335880592558</v>
      </c>
      <c r="AG270" s="4">
        <f>$O$270*$AA$270</f>
        <v>4080.2651562023616</v>
      </c>
    </row>
    <row r="271" spans="1:33" ht="11.25" customHeight="1" x14ac:dyDescent="0.25">
      <c r="A271" s="3" t="s">
        <v>28</v>
      </c>
      <c r="B271" s="3" t="s">
        <v>22</v>
      </c>
      <c r="C271" s="3" t="s">
        <v>23</v>
      </c>
      <c r="D271" s="3" t="s">
        <v>24</v>
      </c>
      <c r="E271" s="3" t="s">
        <v>29</v>
      </c>
      <c r="F271" s="3" t="s">
        <v>25</v>
      </c>
      <c r="G271" s="3" t="s">
        <v>25</v>
      </c>
      <c r="H271" s="3" t="s">
        <v>25</v>
      </c>
      <c r="I271" s="6">
        <v>44621</v>
      </c>
      <c r="J271" s="4">
        <v>0</v>
      </c>
      <c r="K271" s="4">
        <v>0</v>
      </c>
      <c r="L271" s="4">
        <v>3.0000000000000001E-3</v>
      </c>
      <c r="M271" s="4">
        <v>-8.6999999999999994E-3</v>
      </c>
      <c r="N271" s="4">
        <v>3.0000000000000001E-3</v>
      </c>
      <c r="O271" s="4">
        <v>-8.6999999999999994E-3</v>
      </c>
      <c r="P271" s="4">
        <v>0</v>
      </c>
      <c r="Q271" s="3" t="s">
        <v>26</v>
      </c>
      <c r="R271" s="3">
        <v>0</v>
      </c>
      <c r="S271" s="4">
        <v>0</v>
      </c>
      <c r="T271" s="4">
        <v>29</v>
      </c>
      <c r="U271" s="4">
        <v>50</v>
      </c>
      <c r="V271" s="4">
        <f>IF(ISERROR(VLOOKUP($S$271,'TAR FIN'!$A$1:$O$85,15,0)),0,VLOOKUP($S$271,'TAR FIN'!$A$1:$O$85,15,0))</f>
        <v>0</v>
      </c>
      <c r="W271" s="4">
        <f>IF(ISERROR(VLOOKUP($T$271,'TAR FIN'!$A$1:$O$85,15,0)),0,VLOOKUP($T$271,'TAR FIN'!$A$1:$O$85,15,0))</f>
        <v>244.97</v>
      </c>
      <c r="X271" s="4">
        <f>IF(ISERROR(VLOOKUP($U$271,'TAR FIN'!$A$1:$O$85,15,0)),0,VLOOKUP($U$271,'TAR FIN'!$A$1:$O$85,15,0))</f>
        <v>80.97</v>
      </c>
      <c r="Y271" s="4"/>
      <c r="Z271" s="4">
        <f ca="1">('TUSD BE'!$AM$21+'TUSD BF'!$AM$21+'TUSD CVA'!$AM$21-('TUSD BE'!$P$21+'TUSD BF'!$P$21+'TUSD CVA'!$P$21)-('TUSD BE'!$Q$21+'TUSD BF'!$Q$21+'TUSD CVA'!$Q$21)-('TUSD BE'!$R$21+'TUSD BF'!$R$21+'TUSD CVA'!$R$21))*(1-CUSTOS!$M$34)</f>
        <v>293.22899061728316</v>
      </c>
      <c r="AA271" s="4">
        <f>('TE BE'!$AA$12+'TE BF'!$AA$12+'TE CVA'!$AA$12)*(1-CUSTOS!$M$34)</f>
        <v>91.281099691327995</v>
      </c>
      <c r="AB271" s="4">
        <f>$K$271*$V$271</f>
        <v>0</v>
      </c>
      <c r="AC271" s="4">
        <f>$M$271*$W$271</f>
        <v>-2.1312389999999999</v>
      </c>
      <c r="AD271" s="4">
        <f>$O$271*$X$271</f>
        <v>-0.70443899999999993</v>
      </c>
      <c r="AE271" s="4">
        <f>$K$271*$Y$271</f>
        <v>0</v>
      </c>
      <c r="AF271" s="4">
        <f ca="1">$M$271*$Z$271</f>
        <v>-2.5510922183703633</v>
      </c>
      <c r="AG271" s="4">
        <f>$O$271*$AA$271</f>
        <v>-0.79414556731455355</v>
      </c>
    </row>
    <row r="272" spans="1:33" ht="11.25" customHeight="1" x14ac:dyDescent="0.25">
      <c r="A272" s="3" t="s">
        <v>21</v>
      </c>
      <c r="B272" s="3" t="s">
        <v>22</v>
      </c>
      <c r="C272" s="3" t="s">
        <v>23</v>
      </c>
      <c r="D272" s="3" t="s">
        <v>24</v>
      </c>
      <c r="E272" s="3" t="s">
        <v>30</v>
      </c>
      <c r="F272" s="3" t="s">
        <v>25</v>
      </c>
      <c r="G272" s="3" t="s">
        <v>25</v>
      </c>
      <c r="H272" s="3" t="s">
        <v>25</v>
      </c>
      <c r="I272" s="6">
        <v>44287</v>
      </c>
      <c r="J272" s="4">
        <v>0</v>
      </c>
      <c r="K272" s="4">
        <v>0</v>
      </c>
      <c r="L272" s="4">
        <v>26.719000000000001</v>
      </c>
      <c r="M272" s="4">
        <v>26.719000000000001</v>
      </c>
      <c r="N272" s="4">
        <v>26.719000000000001</v>
      </c>
      <c r="O272" s="4">
        <v>26.719000000000001</v>
      </c>
      <c r="P272" s="4">
        <v>71</v>
      </c>
      <c r="Q272" s="3" t="s">
        <v>26</v>
      </c>
      <c r="R272" s="3">
        <v>0</v>
      </c>
      <c r="S272" s="4">
        <v>0</v>
      </c>
      <c r="T272" s="4">
        <v>30</v>
      </c>
      <c r="U272" s="4">
        <v>51</v>
      </c>
      <c r="V272" s="4">
        <f>IF(ISERROR(VLOOKUP($S$272,'TAR FIN'!$A$1:$O$85,15,0)),0,VLOOKUP($S$272,'TAR FIN'!$A$1:$O$85,15,0))</f>
        <v>0</v>
      </c>
      <c r="W272" s="4">
        <f>IF(ISERROR(VLOOKUP($T$272,'TAR FIN'!$A$1:$O$85,15,0)),0,VLOOKUP($T$272,'TAR FIN'!$A$1:$O$85,15,0))</f>
        <v>419.95</v>
      </c>
      <c r="X272" s="4">
        <f>IF(ISERROR(VLOOKUP($U$272,'TAR FIN'!$A$1:$O$85,15,0)),0,VLOOKUP($U$272,'TAR FIN'!$A$1:$O$85,15,0))</f>
        <v>138.80000000000001</v>
      </c>
      <c r="Y272" s="4"/>
      <c r="Z272" s="4">
        <f ca="1">('TUSD BE'!$AM$22+'TUSD BF'!$AM$22+'TUSD CVA'!$AM$22-('TUSD BE'!$P$22+'TUSD BF'!$P$22+'TUSD CVA'!$P$22)-('TUSD BE'!$Q$22+'TUSD BF'!$Q$22+'TUSD CVA'!$Q$22)-('TUSD BE'!$R$22+'TUSD BF'!$R$22+'TUSD CVA'!$R$22))*(1-CUSTOS!$M$35)</f>
        <v>502.67826962962829</v>
      </c>
      <c r="AA272" s="4">
        <f>('TE BE'!$AA$13+'TE BF'!$AA$13+'TE CVA'!$AA$13)*(1-CUSTOS!$M$35)</f>
        <v>156.48188518513371</v>
      </c>
      <c r="AB272" s="4">
        <f>$K$272*$V$272</f>
        <v>0</v>
      </c>
      <c r="AC272" s="4">
        <f>$M$272*$W$272</f>
        <v>11220.644050000001</v>
      </c>
      <c r="AD272" s="4">
        <f>$O$272*$X$272</f>
        <v>3708.5972000000006</v>
      </c>
      <c r="AE272" s="4">
        <f>$K$272*$Y$272</f>
        <v>0</v>
      </c>
      <c r="AF272" s="4">
        <f ca="1">$M$272*$Z$272</f>
        <v>13431.060686234039</v>
      </c>
      <c r="AG272" s="4">
        <f>$O$272*$AA$272</f>
        <v>4181.0394902615881</v>
      </c>
    </row>
    <row r="273" spans="1:33" ht="11.25" customHeight="1" x14ac:dyDescent="0.25">
      <c r="A273" s="3" t="s">
        <v>21</v>
      </c>
      <c r="B273" s="3" t="s">
        <v>22</v>
      </c>
      <c r="C273" s="3" t="s">
        <v>23</v>
      </c>
      <c r="D273" s="3" t="s">
        <v>24</v>
      </c>
      <c r="E273" s="3" t="s">
        <v>30</v>
      </c>
      <c r="F273" s="3" t="s">
        <v>25</v>
      </c>
      <c r="G273" s="3" t="s">
        <v>25</v>
      </c>
      <c r="H273" s="3" t="s">
        <v>25</v>
      </c>
      <c r="I273" s="6">
        <v>44317</v>
      </c>
      <c r="J273" s="4">
        <v>0</v>
      </c>
      <c r="K273" s="4">
        <v>0</v>
      </c>
      <c r="L273" s="4">
        <v>23.943999999999999</v>
      </c>
      <c r="M273" s="4">
        <v>23.943999999999999</v>
      </c>
      <c r="N273" s="4">
        <v>23.943999999999999</v>
      </c>
      <c r="O273" s="4">
        <v>23.943999999999999</v>
      </c>
      <c r="P273" s="4">
        <v>91</v>
      </c>
      <c r="Q273" s="3" t="s">
        <v>26</v>
      </c>
      <c r="R273" s="3">
        <v>0</v>
      </c>
      <c r="S273" s="4">
        <v>0</v>
      </c>
      <c r="T273" s="4">
        <v>30</v>
      </c>
      <c r="U273" s="4">
        <v>51</v>
      </c>
      <c r="V273" s="4">
        <f>IF(ISERROR(VLOOKUP($S$273,'TAR FIN'!$A$1:$O$85,15,0)),0,VLOOKUP($S$273,'TAR FIN'!$A$1:$O$85,15,0))</f>
        <v>0</v>
      </c>
      <c r="W273" s="4">
        <f>IF(ISERROR(VLOOKUP($T$273,'TAR FIN'!$A$1:$O$85,15,0)),0,VLOOKUP($T$273,'TAR FIN'!$A$1:$O$85,15,0))</f>
        <v>419.95</v>
      </c>
      <c r="X273" s="4">
        <f>IF(ISERROR(VLOOKUP($U$273,'TAR FIN'!$A$1:$O$85,15,0)),0,VLOOKUP($U$273,'TAR FIN'!$A$1:$O$85,15,0))</f>
        <v>138.80000000000001</v>
      </c>
      <c r="Y273" s="4"/>
      <c r="Z273" s="4">
        <f ca="1">('TUSD BE'!$AM$22+'TUSD BF'!$AM$22+'TUSD CVA'!$AM$22-('TUSD BE'!$P$22+'TUSD BF'!$P$22+'TUSD CVA'!$P$22)-('TUSD BE'!$Q$22+'TUSD BF'!$Q$22+'TUSD CVA'!$Q$22)-('TUSD BE'!$R$22+'TUSD BF'!$R$22+'TUSD CVA'!$R$22))*(1-CUSTOS!$M$35)</f>
        <v>502.67826962962829</v>
      </c>
      <c r="AA273" s="4">
        <f>('TE BE'!$AA$13+'TE BF'!$AA$13+'TE CVA'!$AA$13)*(1-CUSTOS!$M$35)</f>
        <v>156.48188518513371</v>
      </c>
      <c r="AB273" s="4">
        <f>$K$273*$V$273</f>
        <v>0</v>
      </c>
      <c r="AC273" s="4">
        <f>$M$273*$W$273</f>
        <v>10055.282799999999</v>
      </c>
      <c r="AD273" s="4">
        <f>$O$273*$X$273</f>
        <v>3323.4272000000001</v>
      </c>
      <c r="AE273" s="4">
        <f>$K$273*$Y$273</f>
        <v>0</v>
      </c>
      <c r="AF273" s="4">
        <f ca="1">$M$273*$Z$273</f>
        <v>12036.12848801182</v>
      </c>
      <c r="AG273" s="4">
        <f>$O$273*$AA$273</f>
        <v>3746.8022588728413</v>
      </c>
    </row>
    <row r="274" spans="1:33" ht="11.25" customHeight="1" x14ac:dyDescent="0.25">
      <c r="A274" s="3" t="s">
        <v>27</v>
      </c>
      <c r="B274" s="3" t="s">
        <v>22</v>
      </c>
      <c r="C274" s="3" t="s">
        <v>23</v>
      </c>
      <c r="D274" s="3" t="s">
        <v>24</v>
      </c>
      <c r="E274" s="3" t="s">
        <v>30</v>
      </c>
      <c r="F274" s="3" t="s">
        <v>25</v>
      </c>
      <c r="G274" s="3" t="s">
        <v>25</v>
      </c>
      <c r="H274" s="3" t="s">
        <v>25</v>
      </c>
      <c r="I274" s="6">
        <v>44317</v>
      </c>
      <c r="J274" s="4">
        <v>0</v>
      </c>
      <c r="K274" s="4">
        <v>0</v>
      </c>
      <c r="L274" s="4">
        <v>2.4630000000000001</v>
      </c>
      <c r="M274" s="4">
        <v>2.4630000000000001</v>
      </c>
      <c r="N274" s="4">
        <v>2.4630000000000001</v>
      </c>
      <c r="O274" s="4">
        <v>2.4630000000000001</v>
      </c>
      <c r="P274" s="4">
        <v>0</v>
      </c>
      <c r="Q274" s="3" t="s">
        <v>26</v>
      </c>
      <c r="R274" s="3">
        <v>0</v>
      </c>
      <c r="S274" s="4">
        <v>0</v>
      </c>
      <c r="T274" s="4">
        <v>30</v>
      </c>
      <c r="U274" s="4">
        <v>51</v>
      </c>
      <c r="V274" s="4">
        <f>IF(ISERROR(VLOOKUP($S$274,'TAR FIN'!$A$1:$O$85,15,0)),0,VLOOKUP($S$274,'TAR FIN'!$A$1:$O$85,15,0))</f>
        <v>0</v>
      </c>
      <c r="W274" s="4">
        <f>IF(ISERROR(VLOOKUP($T$274,'TAR FIN'!$A$1:$O$85,15,0)),0,VLOOKUP($T$274,'TAR FIN'!$A$1:$O$85,15,0))</f>
        <v>419.95</v>
      </c>
      <c r="X274" s="4">
        <f>IF(ISERROR(VLOOKUP($U$274,'TAR FIN'!$A$1:$O$85,15,0)),0,VLOOKUP($U$274,'TAR FIN'!$A$1:$O$85,15,0))</f>
        <v>138.80000000000001</v>
      </c>
      <c r="Y274" s="4"/>
      <c r="Z274" s="4">
        <f ca="1">('TUSD BE'!$AM$22+'TUSD BF'!$AM$22+'TUSD CVA'!$AM$22-('TUSD BE'!$P$22+'TUSD BF'!$P$22+'TUSD CVA'!$P$22)-('TUSD BE'!$Q$22+'TUSD BF'!$Q$22+'TUSD CVA'!$Q$22)-('TUSD BE'!$R$22+'TUSD BF'!$R$22+'TUSD CVA'!$R$22))*(1-CUSTOS!$M$35)</f>
        <v>502.67826962962829</v>
      </c>
      <c r="AA274" s="4">
        <f>('TE BE'!$AA$13+'TE BF'!$AA$13+'TE CVA'!$AA$13)*(1-CUSTOS!$M$35)</f>
        <v>156.48188518513371</v>
      </c>
      <c r="AB274" s="4">
        <f>$K$274*$V$274</f>
        <v>0</v>
      </c>
      <c r="AC274" s="4">
        <f>$M$274*$W$274</f>
        <v>1034.3368499999999</v>
      </c>
      <c r="AD274" s="4">
        <f>$O$274*$X$274</f>
        <v>341.86440000000005</v>
      </c>
      <c r="AE274" s="4">
        <f>$K$274*$Y$274</f>
        <v>0</v>
      </c>
      <c r="AF274" s="4">
        <f ca="1">$M$274*$Z$274</f>
        <v>1238.0965780977745</v>
      </c>
      <c r="AG274" s="4">
        <f>$O$274*$AA$274</f>
        <v>385.41488321098433</v>
      </c>
    </row>
    <row r="275" spans="1:33" ht="11.25" customHeight="1" x14ac:dyDescent="0.25">
      <c r="A275" s="3" t="s">
        <v>21</v>
      </c>
      <c r="B275" s="3" t="s">
        <v>22</v>
      </c>
      <c r="C275" s="3" t="s">
        <v>23</v>
      </c>
      <c r="D275" s="3" t="s">
        <v>24</v>
      </c>
      <c r="E275" s="3" t="s">
        <v>30</v>
      </c>
      <c r="F275" s="3" t="s">
        <v>25</v>
      </c>
      <c r="G275" s="3" t="s">
        <v>25</v>
      </c>
      <c r="H275" s="3" t="s">
        <v>25</v>
      </c>
      <c r="I275" s="6">
        <v>44348</v>
      </c>
      <c r="J275" s="4">
        <v>0</v>
      </c>
      <c r="K275" s="4">
        <v>0</v>
      </c>
      <c r="L275" s="4">
        <v>28.617999999999999</v>
      </c>
      <c r="M275" s="4">
        <v>28.617999999999999</v>
      </c>
      <c r="N275" s="4">
        <v>28.617999999999999</v>
      </c>
      <c r="O275" s="4">
        <v>28.617999999999999</v>
      </c>
      <c r="P275" s="4">
        <v>113</v>
      </c>
      <c r="Q275" s="3" t="s">
        <v>26</v>
      </c>
      <c r="R275" s="3">
        <v>0</v>
      </c>
      <c r="S275" s="4">
        <v>0</v>
      </c>
      <c r="T275" s="4">
        <v>30</v>
      </c>
      <c r="U275" s="4">
        <v>51</v>
      </c>
      <c r="V275" s="4">
        <f>IF(ISERROR(VLOOKUP($S$275,'TAR FIN'!$A$1:$O$85,15,0)),0,VLOOKUP($S$275,'TAR FIN'!$A$1:$O$85,15,0))</f>
        <v>0</v>
      </c>
      <c r="W275" s="4">
        <f>IF(ISERROR(VLOOKUP($T$275,'TAR FIN'!$A$1:$O$85,15,0)),0,VLOOKUP($T$275,'TAR FIN'!$A$1:$O$85,15,0))</f>
        <v>419.95</v>
      </c>
      <c r="X275" s="4">
        <f>IF(ISERROR(VLOOKUP($U$275,'TAR FIN'!$A$1:$O$85,15,0)),0,VLOOKUP($U$275,'TAR FIN'!$A$1:$O$85,15,0))</f>
        <v>138.80000000000001</v>
      </c>
      <c r="Y275" s="4"/>
      <c r="Z275" s="4">
        <f ca="1">('TUSD BE'!$AM$22+'TUSD BF'!$AM$22+'TUSD CVA'!$AM$22-('TUSD BE'!$P$22+'TUSD BF'!$P$22+'TUSD CVA'!$P$22)-('TUSD BE'!$Q$22+'TUSD BF'!$Q$22+'TUSD CVA'!$Q$22)-('TUSD BE'!$R$22+'TUSD BF'!$R$22+'TUSD CVA'!$R$22))*(1-CUSTOS!$M$35)</f>
        <v>502.67826962962829</v>
      </c>
      <c r="AA275" s="4">
        <f>('TE BE'!$AA$13+'TE BF'!$AA$13+'TE CVA'!$AA$13)*(1-CUSTOS!$M$35)</f>
        <v>156.48188518513371</v>
      </c>
      <c r="AB275" s="4">
        <f>$K$275*$V$275</f>
        <v>0</v>
      </c>
      <c r="AC275" s="4">
        <f>$M$275*$W$275</f>
        <v>12018.129099999998</v>
      </c>
      <c r="AD275" s="4">
        <f>$O$275*$X$275</f>
        <v>3972.1784000000002</v>
      </c>
      <c r="AE275" s="4">
        <f>$K$275*$Y$275</f>
        <v>0</v>
      </c>
      <c r="AF275" s="4">
        <f ca="1">$M$275*$Z$275</f>
        <v>14385.646720260702</v>
      </c>
      <c r="AG275" s="4">
        <f>$O$275*$AA$275</f>
        <v>4478.1985902281558</v>
      </c>
    </row>
    <row r="276" spans="1:33" ht="11.25" customHeight="1" x14ac:dyDescent="0.25">
      <c r="A276" s="3" t="s">
        <v>27</v>
      </c>
      <c r="B276" s="3" t="s">
        <v>22</v>
      </c>
      <c r="C276" s="3" t="s">
        <v>23</v>
      </c>
      <c r="D276" s="3" t="s">
        <v>24</v>
      </c>
      <c r="E276" s="3" t="s">
        <v>30</v>
      </c>
      <c r="F276" s="3" t="s">
        <v>25</v>
      </c>
      <c r="G276" s="3" t="s">
        <v>25</v>
      </c>
      <c r="H276" s="3" t="s">
        <v>25</v>
      </c>
      <c r="I276" s="6">
        <v>44348</v>
      </c>
      <c r="J276" s="4">
        <v>0</v>
      </c>
      <c r="K276" s="4">
        <v>0</v>
      </c>
      <c r="L276" s="4">
        <v>0.66700000000000004</v>
      </c>
      <c r="M276" s="4">
        <v>0.66700000000000004</v>
      </c>
      <c r="N276" s="4">
        <v>0.66700000000000004</v>
      </c>
      <c r="O276" s="4">
        <v>0.66700000000000004</v>
      </c>
      <c r="P276" s="4">
        <v>0</v>
      </c>
      <c r="Q276" s="3" t="s">
        <v>26</v>
      </c>
      <c r="R276" s="3">
        <v>0</v>
      </c>
      <c r="S276" s="4">
        <v>0</v>
      </c>
      <c r="T276" s="4">
        <v>30</v>
      </c>
      <c r="U276" s="4">
        <v>51</v>
      </c>
      <c r="V276" s="4">
        <f>IF(ISERROR(VLOOKUP($S$276,'TAR FIN'!$A$1:$O$85,15,0)),0,VLOOKUP($S$276,'TAR FIN'!$A$1:$O$85,15,0))</f>
        <v>0</v>
      </c>
      <c r="W276" s="4">
        <f>IF(ISERROR(VLOOKUP($T$276,'TAR FIN'!$A$1:$O$85,15,0)),0,VLOOKUP($T$276,'TAR FIN'!$A$1:$O$85,15,0))</f>
        <v>419.95</v>
      </c>
      <c r="X276" s="4">
        <f>IF(ISERROR(VLOOKUP($U$276,'TAR FIN'!$A$1:$O$85,15,0)),0,VLOOKUP($U$276,'TAR FIN'!$A$1:$O$85,15,0))</f>
        <v>138.80000000000001</v>
      </c>
      <c r="Y276" s="4"/>
      <c r="Z276" s="4">
        <f ca="1">('TUSD BE'!$AM$22+'TUSD BF'!$AM$22+'TUSD CVA'!$AM$22-('TUSD BE'!$P$22+'TUSD BF'!$P$22+'TUSD CVA'!$P$22)-('TUSD BE'!$Q$22+'TUSD BF'!$Q$22+'TUSD CVA'!$Q$22)-('TUSD BE'!$R$22+'TUSD BF'!$R$22+'TUSD CVA'!$R$22))*(1-CUSTOS!$M$35)</f>
        <v>502.67826962962829</v>
      </c>
      <c r="AA276" s="4">
        <f>('TE BE'!$AA$13+'TE BF'!$AA$13+'TE CVA'!$AA$13)*(1-CUSTOS!$M$35)</f>
        <v>156.48188518513371</v>
      </c>
      <c r="AB276" s="4">
        <f>$K$276*$V$276</f>
        <v>0</v>
      </c>
      <c r="AC276" s="4">
        <f>$M$276*$W$276</f>
        <v>280.10665</v>
      </c>
      <c r="AD276" s="4">
        <f>$O$276*$X$276</f>
        <v>92.579600000000013</v>
      </c>
      <c r="AE276" s="4">
        <f>$K$276*$Y$276</f>
        <v>0</v>
      </c>
      <c r="AF276" s="4">
        <f ca="1">$M$276*$Z$276</f>
        <v>335.2864058429621</v>
      </c>
      <c r="AG276" s="4">
        <f>$O$276*$AA$276</f>
        <v>104.37341741848418</v>
      </c>
    </row>
    <row r="277" spans="1:33" ht="11.25" customHeight="1" x14ac:dyDescent="0.25">
      <c r="A277" s="3" t="s">
        <v>21</v>
      </c>
      <c r="B277" s="3" t="s">
        <v>22</v>
      </c>
      <c r="C277" s="3" t="s">
        <v>23</v>
      </c>
      <c r="D277" s="3" t="s">
        <v>24</v>
      </c>
      <c r="E277" s="3" t="s">
        <v>30</v>
      </c>
      <c r="F277" s="3" t="s">
        <v>25</v>
      </c>
      <c r="G277" s="3" t="s">
        <v>25</v>
      </c>
      <c r="H277" s="3" t="s">
        <v>25</v>
      </c>
      <c r="I277" s="6">
        <v>44378</v>
      </c>
      <c r="J277" s="4">
        <v>0</v>
      </c>
      <c r="K277" s="4">
        <v>0</v>
      </c>
      <c r="L277" s="4">
        <v>28.423999999999999</v>
      </c>
      <c r="M277" s="4">
        <v>28.423999999999999</v>
      </c>
      <c r="N277" s="4">
        <v>28.423999999999999</v>
      </c>
      <c r="O277" s="4">
        <v>28.423999999999999</v>
      </c>
      <c r="P277" s="4">
        <v>169</v>
      </c>
      <c r="Q277" s="3" t="s">
        <v>26</v>
      </c>
      <c r="R277" s="3">
        <v>0</v>
      </c>
      <c r="S277" s="4">
        <v>0</v>
      </c>
      <c r="T277" s="4">
        <v>30</v>
      </c>
      <c r="U277" s="4">
        <v>51</v>
      </c>
      <c r="V277" s="4">
        <f>IF(ISERROR(VLOOKUP($S$277,'TAR FIN'!$A$1:$O$85,15,0)),0,VLOOKUP($S$277,'TAR FIN'!$A$1:$O$85,15,0))</f>
        <v>0</v>
      </c>
      <c r="W277" s="4">
        <f>IF(ISERROR(VLOOKUP($T$277,'TAR FIN'!$A$1:$O$85,15,0)),0,VLOOKUP($T$277,'TAR FIN'!$A$1:$O$85,15,0))</f>
        <v>419.95</v>
      </c>
      <c r="X277" s="4">
        <f>IF(ISERROR(VLOOKUP($U$277,'TAR FIN'!$A$1:$O$85,15,0)),0,VLOOKUP($U$277,'TAR FIN'!$A$1:$O$85,15,0))</f>
        <v>138.80000000000001</v>
      </c>
      <c r="Y277" s="4"/>
      <c r="Z277" s="4">
        <f ca="1">('TUSD BE'!$AM$22+'TUSD BF'!$AM$22+'TUSD CVA'!$AM$22-('TUSD BE'!$P$22+'TUSD BF'!$P$22+'TUSD CVA'!$P$22)-('TUSD BE'!$Q$22+'TUSD BF'!$Q$22+'TUSD CVA'!$Q$22)-('TUSD BE'!$R$22+'TUSD BF'!$R$22+'TUSD CVA'!$R$22))*(1-CUSTOS!$M$35)</f>
        <v>502.67826962962829</v>
      </c>
      <c r="AA277" s="4">
        <f>('TE BE'!$AA$13+'TE BF'!$AA$13+'TE CVA'!$AA$13)*(1-CUSTOS!$M$35)</f>
        <v>156.48188518513371</v>
      </c>
      <c r="AB277" s="4">
        <f>$K$277*$V$277</f>
        <v>0</v>
      </c>
      <c r="AC277" s="4">
        <f>$M$277*$W$277</f>
        <v>11936.658799999999</v>
      </c>
      <c r="AD277" s="4">
        <f>$O$277*$X$277</f>
        <v>3945.2512000000002</v>
      </c>
      <c r="AE277" s="4">
        <f>$K$277*$Y$277</f>
        <v>0</v>
      </c>
      <c r="AF277" s="4">
        <f ca="1">$M$277*$Z$277</f>
        <v>14288.127135952554</v>
      </c>
      <c r="AG277" s="4">
        <f>$O$277*$AA$277</f>
        <v>4447.8411045022403</v>
      </c>
    </row>
    <row r="278" spans="1:33" ht="11.25" customHeight="1" x14ac:dyDescent="0.25">
      <c r="A278" s="3" t="s">
        <v>21</v>
      </c>
      <c r="B278" s="3" t="s">
        <v>22</v>
      </c>
      <c r="C278" s="3" t="s">
        <v>23</v>
      </c>
      <c r="D278" s="3" t="s">
        <v>24</v>
      </c>
      <c r="E278" s="3" t="s">
        <v>30</v>
      </c>
      <c r="F278" s="3" t="s">
        <v>25</v>
      </c>
      <c r="G278" s="3" t="s">
        <v>25</v>
      </c>
      <c r="H278" s="3" t="s">
        <v>25</v>
      </c>
      <c r="I278" s="6">
        <v>44409</v>
      </c>
      <c r="J278" s="4">
        <v>0</v>
      </c>
      <c r="K278" s="4">
        <v>0</v>
      </c>
      <c r="L278" s="4">
        <v>29.297999999999998</v>
      </c>
      <c r="M278" s="4">
        <v>29.297999999999998</v>
      </c>
      <c r="N278" s="4">
        <v>29.297999999999998</v>
      </c>
      <c r="O278" s="4">
        <v>29.297999999999998</v>
      </c>
      <c r="P278" s="4">
        <v>179</v>
      </c>
      <c r="Q278" s="3" t="s">
        <v>26</v>
      </c>
      <c r="R278" s="3">
        <v>0</v>
      </c>
      <c r="S278" s="4">
        <v>0</v>
      </c>
      <c r="T278" s="4">
        <v>30</v>
      </c>
      <c r="U278" s="4">
        <v>51</v>
      </c>
      <c r="V278" s="4">
        <f>IF(ISERROR(VLOOKUP($S$278,'TAR FIN'!$A$1:$O$85,15,0)),0,VLOOKUP($S$278,'TAR FIN'!$A$1:$O$85,15,0))</f>
        <v>0</v>
      </c>
      <c r="W278" s="4">
        <f>IF(ISERROR(VLOOKUP($T$278,'TAR FIN'!$A$1:$O$85,15,0)),0,VLOOKUP($T$278,'TAR FIN'!$A$1:$O$85,15,0))</f>
        <v>419.95</v>
      </c>
      <c r="X278" s="4">
        <f>IF(ISERROR(VLOOKUP($U$278,'TAR FIN'!$A$1:$O$85,15,0)),0,VLOOKUP($U$278,'TAR FIN'!$A$1:$O$85,15,0))</f>
        <v>138.80000000000001</v>
      </c>
      <c r="Y278" s="4"/>
      <c r="Z278" s="4">
        <f ca="1">('TUSD BE'!$AM$22+'TUSD BF'!$AM$22+'TUSD CVA'!$AM$22-('TUSD BE'!$P$22+'TUSD BF'!$P$22+'TUSD CVA'!$P$22)-('TUSD BE'!$Q$22+'TUSD BF'!$Q$22+'TUSD CVA'!$Q$22)-('TUSD BE'!$R$22+'TUSD BF'!$R$22+'TUSD CVA'!$R$22))*(1-CUSTOS!$M$35)</f>
        <v>502.67826962962829</v>
      </c>
      <c r="AA278" s="4">
        <f>('TE BE'!$AA$13+'TE BF'!$AA$13+'TE CVA'!$AA$13)*(1-CUSTOS!$M$35)</f>
        <v>156.48188518513371</v>
      </c>
      <c r="AB278" s="4">
        <f>$K$278*$V$278</f>
        <v>0</v>
      </c>
      <c r="AC278" s="4">
        <f>$M$278*$W$278</f>
        <v>12303.695099999999</v>
      </c>
      <c r="AD278" s="4">
        <f>$O$278*$X$278</f>
        <v>4066.5624000000003</v>
      </c>
      <c r="AE278" s="4">
        <f>$K$278*$Y$278</f>
        <v>0</v>
      </c>
      <c r="AF278" s="4">
        <f ca="1">$M$278*$Z$278</f>
        <v>14727.467943608848</v>
      </c>
      <c r="AG278" s="4">
        <f>$O$278*$AA$278</f>
        <v>4584.6062721540475</v>
      </c>
    </row>
    <row r="279" spans="1:33" ht="11.25" customHeight="1" x14ac:dyDescent="0.25">
      <c r="A279" s="3" t="s">
        <v>21</v>
      </c>
      <c r="B279" s="3" t="s">
        <v>22</v>
      </c>
      <c r="C279" s="3" t="s">
        <v>23</v>
      </c>
      <c r="D279" s="3" t="s">
        <v>24</v>
      </c>
      <c r="E279" s="3" t="s">
        <v>30</v>
      </c>
      <c r="F279" s="3" t="s">
        <v>25</v>
      </c>
      <c r="G279" s="3" t="s">
        <v>25</v>
      </c>
      <c r="H279" s="3" t="s">
        <v>25</v>
      </c>
      <c r="I279" s="6">
        <v>44440</v>
      </c>
      <c r="J279" s="4">
        <v>0</v>
      </c>
      <c r="K279" s="4">
        <v>0</v>
      </c>
      <c r="L279" s="4">
        <v>31.83</v>
      </c>
      <c r="M279" s="4">
        <v>31.83</v>
      </c>
      <c r="N279" s="4">
        <v>31.83</v>
      </c>
      <c r="O279" s="4">
        <v>31.83</v>
      </c>
      <c r="P279" s="4">
        <v>110</v>
      </c>
      <c r="Q279" s="3" t="s">
        <v>26</v>
      </c>
      <c r="R279" s="3">
        <v>0</v>
      </c>
      <c r="S279" s="4">
        <v>0</v>
      </c>
      <c r="T279" s="4">
        <v>30</v>
      </c>
      <c r="U279" s="4">
        <v>51</v>
      </c>
      <c r="V279" s="4">
        <f>IF(ISERROR(VLOOKUP($S$279,'TAR FIN'!$A$1:$O$85,15,0)),0,VLOOKUP($S$279,'TAR FIN'!$A$1:$O$85,15,0))</f>
        <v>0</v>
      </c>
      <c r="W279" s="4">
        <f>IF(ISERROR(VLOOKUP($T$279,'TAR FIN'!$A$1:$O$85,15,0)),0,VLOOKUP($T$279,'TAR FIN'!$A$1:$O$85,15,0))</f>
        <v>419.95</v>
      </c>
      <c r="X279" s="4">
        <f>IF(ISERROR(VLOOKUP($U$279,'TAR FIN'!$A$1:$O$85,15,0)),0,VLOOKUP($U$279,'TAR FIN'!$A$1:$O$85,15,0))</f>
        <v>138.80000000000001</v>
      </c>
      <c r="Y279" s="4"/>
      <c r="Z279" s="4">
        <f ca="1">('TUSD BE'!$AM$22+'TUSD BF'!$AM$22+'TUSD CVA'!$AM$22-('TUSD BE'!$P$22+'TUSD BF'!$P$22+'TUSD CVA'!$P$22)-('TUSD BE'!$Q$22+'TUSD BF'!$Q$22+'TUSD CVA'!$Q$22)-('TUSD BE'!$R$22+'TUSD BF'!$R$22+'TUSD CVA'!$R$22))*(1-CUSTOS!$M$35)</f>
        <v>502.67826962962829</v>
      </c>
      <c r="AA279" s="4">
        <f>('TE BE'!$AA$13+'TE BF'!$AA$13+'TE CVA'!$AA$13)*(1-CUSTOS!$M$35)</f>
        <v>156.48188518513371</v>
      </c>
      <c r="AB279" s="4">
        <f>$K$279*$V$279</f>
        <v>0</v>
      </c>
      <c r="AC279" s="4">
        <f>$M$279*$W$279</f>
        <v>13367.008499999998</v>
      </c>
      <c r="AD279" s="4">
        <f>$O$279*$X$279</f>
        <v>4418.0039999999999</v>
      </c>
      <c r="AE279" s="4">
        <f>$K$279*$Y$279</f>
        <v>0</v>
      </c>
      <c r="AF279" s="4">
        <f ca="1">$M$279*$Z$279</f>
        <v>16000.249322311067</v>
      </c>
      <c r="AG279" s="4">
        <f>$O$279*$AA$279</f>
        <v>4980.8184054428057</v>
      </c>
    </row>
    <row r="280" spans="1:33" ht="11.25" customHeight="1" x14ac:dyDescent="0.25">
      <c r="A280" s="3" t="s">
        <v>21</v>
      </c>
      <c r="B280" s="3" t="s">
        <v>22</v>
      </c>
      <c r="C280" s="3" t="s">
        <v>23</v>
      </c>
      <c r="D280" s="3" t="s">
        <v>24</v>
      </c>
      <c r="E280" s="3" t="s">
        <v>30</v>
      </c>
      <c r="F280" s="3" t="s">
        <v>25</v>
      </c>
      <c r="G280" s="3" t="s">
        <v>25</v>
      </c>
      <c r="H280" s="3" t="s">
        <v>25</v>
      </c>
      <c r="I280" s="6">
        <v>44470</v>
      </c>
      <c r="J280" s="4">
        <v>0</v>
      </c>
      <c r="K280" s="4">
        <v>0</v>
      </c>
      <c r="L280" s="4">
        <v>34.856999999999999</v>
      </c>
      <c r="M280" s="4">
        <v>34.856999999999999</v>
      </c>
      <c r="N280" s="4">
        <v>34.856999999999999</v>
      </c>
      <c r="O280" s="4">
        <v>34.856999999999999</v>
      </c>
      <c r="P280" s="4">
        <v>135</v>
      </c>
      <c r="Q280" s="3" t="s">
        <v>26</v>
      </c>
      <c r="R280" s="3">
        <v>0</v>
      </c>
      <c r="S280" s="4">
        <v>0</v>
      </c>
      <c r="T280" s="4">
        <v>30</v>
      </c>
      <c r="U280" s="4">
        <v>51</v>
      </c>
      <c r="V280" s="4">
        <f>IF(ISERROR(VLOOKUP($S$280,'TAR FIN'!$A$1:$O$85,15,0)),0,VLOOKUP($S$280,'TAR FIN'!$A$1:$O$85,15,0))</f>
        <v>0</v>
      </c>
      <c r="W280" s="4">
        <f>IF(ISERROR(VLOOKUP($T$280,'TAR FIN'!$A$1:$O$85,15,0)),0,VLOOKUP($T$280,'TAR FIN'!$A$1:$O$85,15,0))</f>
        <v>419.95</v>
      </c>
      <c r="X280" s="4">
        <f>IF(ISERROR(VLOOKUP($U$280,'TAR FIN'!$A$1:$O$85,15,0)),0,VLOOKUP($U$280,'TAR FIN'!$A$1:$O$85,15,0))</f>
        <v>138.80000000000001</v>
      </c>
      <c r="Y280" s="4"/>
      <c r="Z280" s="4">
        <f ca="1">('TUSD BE'!$AM$22+'TUSD BF'!$AM$22+'TUSD CVA'!$AM$22-('TUSD BE'!$P$22+'TUSD BF'!$P$22+'TUSD CVA'!$P$22)-('TUSD BE'!$Q$22+'TUSD BF'!$Q$22+'TUSD CVA'!$Q$22)-('TUSD BE'!$R$22+'TUSD BF'!$R$22+'TUSD CVA'!$R$22))*(1-CUSTOS!$M$35)</f>
        <v>502.67826962962829</v>
      </c>
      <c r="AA280" s="4">
        <f>('TE BE'!$AA$13+'TE BF'!$AA$13+'TE CVA'!$AA$13)*(1-CUSTOS!$M$35)</f>
        <v>156.48188518513371</v>
      </c>
      <c r="AB280" s="4">
        <f>$K$280*$V$280</f>
        <v>0</v>
      </c>
      <c r="AC280" s="4">
        <f>$M$280*$W$280</f>
        <v>14638.19715</v>
      </c>
      <c r="AD280" s="4">
        <f>$O$280*$X$280</f>
        <v>4838.1516000000001</v>
      </c>
      <c r="AE280" s="4">
        <f>$K$280*$Y$280</f>
        <v>0</v>
      </c>
      <c r="AF280" s="4">
        <f ca="1">$M$280*$Z$280</f>
        <v>17521.856444479952</v>
      </c>
      <c r="AG280" s="4">
        <f>$O$280*$AA$280</f>
        <v>5454.4890718982051</v>
      </c>
    </row>
    <row r="281" spans="1:33" ht="11.25" customHeight="1" x14ac:dyDescent="0.25">
      <c r="A281" s="3" t="s">
        <v>21</v>
      </c>
      <c r="B281" s="3" t="s">
        <v>22</v>
      </c>
      <c r="C281" s="3" t="s">
        <v>23</v>
      </c>
      <c r="D281" s="3" t="s">
        <v>24</v>
      </c>
      <c r="E281" s="3" t="s">
        <v>30</v>
      </c>
      <c r="F281" s="3" t="s">
        <v>25</v>
      </c>
      <c r="G281" s="3" t="s">
        <v>25</v>
      </c>
      <c r="H281" s="3" t="s">
        <v>25</v>
      </c>
      <c r="I281" s="6">
        <v>44501</v>
      </c>
      <c r="J281" s="4">
        <v>0</v>
      </c>
      <c r="K281" s="4">
        <v>0</v>
      </c>
      <c r="L281" s="4">
        <v>36.473999999999997</v>
      </c>
      <c r="M281" s="4">
        <v>36.473999999999997</v>
      </c>
      <c r="N281" s="4">
        <v>36.473999999999997</v>
      </c>
      <c r="O281" s="4">
        <v>36.473999999999997</v>
      </c>
      <c r="P281" s="4">
        <v>141</v>
      </c>
      <c r="Q281" s="3" t="s">
        <v>26</v>
      </c>
      <c r="R281" s="3">
        <v>0</v>
      </c>
      <c r="S281" s="4">
        <v>0</v>
      </c>
      <c r="T281" s="4">
        <v>30</v>
      </c>
      <c r="U281" s="4">
        <v>51</v>
      </c>
      <c r="V281" s="4">
        <f>IF(ISERROR(VLOOKUP($S$281,'TAR FIN'!$A$1:$O$85,15,0)),0,VLOOKUP($S$281,'TAR FIN'!$A$1:$O$85,15,0))</f>
        <v>0</v>
      </c>
      <c r="W281" s="4">
        <f>IF(ISERROR(VLOOKUP($T$281,'TAR FIN'!$A$1:$O$85,15,0)),0,VLOOKUP($T$281,'TAR FIN'!$A$1:$O$85,15,0))</f>
        <v>419.95</v>
      </c>
      <c r="X281" s="4">
        <f>IF(ISERROR(VLOOKUP($U$281,'TAR FIN'!$A$1:$O$85,15,0)),0,VLOOKUP($U$281,'TAR FIN'!$A$1:$O$85,15,0))</f>
        <v>138.80000000000001</v>
      </c>
      <c r="Y281" s="4"/>
      <c r="Z281" s="4">
        <f ca="1">('TUSD BE'!$AM$22+'TUSD BF'!$AM$22+'TUSD CVA'!$AM$22-('TUSD BE'!$P$22+'TUSD BF'!$P$22+'TUSD CVA'!$P$22)-('TUSD BE'!$Q$22+'TUSD BF'!$Q$22+'TUSD CVA'!$Q$22)-('TUSD BE'!$R$22+'TUSD BF'!$R$22+'TUSD CVA'!$R$22))*(1-CUSTOS!$M$35)</f>
        <v>502.67826962962829</v>
      </c>
      <c r="AA281" s="4">
        <f>('TE BE'!$AA$13+'TE BF'!$AA$13+'TE CVA'!$AA$13)*(1-CUSTOS!$M$35)</f>
        <v>156.48188518513371</v>
      </c>
      <c r="AB281" s="4">
        <f>$K$281*$V$281</f>
        <v>0</v>
      </c>
      <c r="AC281" s="4">
        <f>$M$281*$W$281</f>
        <v>15317.256299999997</v>
      </c>
      <c r="AD281" s="4">
        <f>$O$281*$X$281</f>
        <v>5062.5911999999998</v>
      </c>
      <c r="AE281" s="4">
        <f>$K$281*$Y$281</f>
        <v>0</v>
      </c>
      <c r="AF281" s="4">
        <f ca="1">$M$281*$Z$281</f>
        <v>18334.687206471059</v>
      </c>
      <c r="AG281" s="4">
        <f>$O$281*$AA$281</f>
        <v>5707.5202802425665</v>
      </c>
    </row>
    <row r="282" spans="1:33" ht="11.25" customHeight="1" x14ac:dyDescent="0.25">
      <c r="A282" s="3" t="s">
        <v>28</v>
      </c>
      <c r="B282" s="3" t="s">
        <v>22</v>
      </c>
      <c r="C282" s="3" t="s">
        <v>23</v>
      </c>
      <c r="D282" s="3" t="s">
        <v>24</v>
      </c>
      <c r="E282" s="3" t="s">
        <v>30</v>
      </c>
      <c r="F282" s="3" t="s">
        <v>25</v>
      </c>
      <c r="G282" s="3" t="s">
        <v>25</v>
      </c>
      <c r="H282" s="3" t="s">
        <v>25</v>
      </c>
      <c r="I282" s="6">
        <v>44501</v>
      </c>
      <c r="J282" s="4">
        <v>0</v>
      </c>
      <c r="K282" s="4">
        <v>0</v>
      </c>
      <c r="L282" s="4">
        <v>3.7999999999999999E-2</v>
      </c>
      <c r="M282" s="4">
        <v>2.2800000000000001E-2</v>
      </c>
      <c r="N282" s="4">
        <v>3.7999999999999999E-2</v>
      </c>
      <c r="O282" s="4">
        <v>2.2800000000000001E-2</v>
      </c>
      <c r="P282" s="4">
        <v>1</v>
      </c>
      <c r="Q282" s="3" t="s">
        <v>26</v>
      </c>
      <c r="R282" s="3">
        <v>0</v>
      </c>
      <c r="S282" s="4">
        <v>0</v>
      </c>
      <c r="T282" s="4">
        <v>30</v>
      </c>
      <c r="U282" s="4">
        <v>51</v>
      </c>
      <c r="V282" s="4">
        <f>IF(ISERROR(VLOOKUP($S$282,'TAR FIN'!$A$1:$O$85,15,0)),0,VLOOKUP($S$282,'TAR FIN'!$A$1:$O$85,15,0))</f>
        <v>0</v>
      </c>
      <c r="W282" s="4">
        <f>IF(ISERROR(VLOOKUP($T$282,'TAR FIN'!$A$1:$O$85,15,0)),0,VLOOKUP($T$282,'TAR FIN'!$A$1:$O$85,15,0))</f>
        <v>419.95</v>
      </c>
      <c r="X282" s="4">
        <f>IF(ISERROR(VLOOKUP($U$282,'TAR FIN'!$A$1:$O$85,15,0)),0,VLOOKUP($U$282,'TAR FIN'!$A$1:$O$85,15,0))</f>
        <v>138.80000000000001</v>
      </c>
      <c r="Y282" s="4"/>
      <c r="Z282" s="4">
        <f ca="1">('TUSD BE'!$AM$22+'TUSD BF'!$AM$22+'TUSD CVA'!$AM$22-('TUSD BE'!$P$22+'TUSD BF'!$P$22+'TUSD CVA'!$P$22)-('TUSD BE'!$Q$22+'TUSD BF'!$Q$22+'TUSD CVA'!$Q$22)-('TUSD BE'!$R$22+'TUSD BF'!$R$22+'TUSD CVA'!$R$22))*(1-CUSTOS!$M$35)</f>
        <v>502.67826962962829</v>
      </c>
      <c r="AA282" s="4">
        <f>('TE BE'!$AA$13+'TE BF'!$AA$13+'TE CVA'!$AA$13)*(1-CUSTOS!$M$35)</f>
        <v>156.48188518513371</v>
      </c>
      <c r="AB282" s="4">
        <f>$K$282*$V$282</f>
        <v>0</v>
      </c>
      <c r="AC282" s="4">
        <f>$M$282*$W$282</f>
        <v>9.5748599999999993</v>
      </c>
      <c r="AD282" s="4">
        <f>$O$282*$X$282</f>
        <v>3.1646400000000003</v>
      </c>
      <c r="AE282" s="4">
        <f>$K$282*$Y$282</f>
        <v>0</v>
      </c>
      <c r="AF282" s="4">
        <f ca="1">$M$282*$Z$282</f>
        <v>11.461064547555525</v>
      </c>
      <c r="AG282" s="4">
        <f>$O$282*$AA$282</f>
        <v>3.5677869822210488</v>
      </c>
    </row>
    <row r="283" spans="1:33" ht="11.25" customHeight="1" x14ac:dyDescent="0.25">
      <c r="A283" s="3" t="s">
        <v>21</v>
      </c>
      <c r="B283" s="3" t="s">
        <v>22</v>
      </c>
      <c r="C283" s="3" t="s">
        <v>23</v>
      </c>
      <c r="D283" s="3" t="s">
        <v>24</v>
      </c>
      <c r="E283" s="3" t="s">
        <v>30</v>
      </c>
      <c r="F283" s="3" t="s">
        <v>25</v>
      </c>
      <c r="G283" s="3" t="s">
        <v>25</v>
      </c>
      <c r="H283" s="3" t="s">
        <v>25</v>
      </c>
      <c r="I283" s="6">
        <v>44531</v>
      </c>
      <c r="J283" s="4">
        <v>0</v>
      </c>
      <c r="K283" s="4">
        <v>0</v>
      </c>
      <c r="L283" s="4">
        <v>39.247999999999998</v>
      </c>
      <c r="M283" s="4">
        <v>39.247999999999998</v>
      </c>
      <c r="N283" s="4">
        <v>39.247999999999998</v>
      </c>
      <c r="O283" s="4">
        <v>39.247999999999998</v>
      </c>
      <c r="P283" s="4">
        <v>129</v>
      </c>
      <c r="Q283" s="3" t="s">
        <v>26</v>
      </c>
      <c r="R283" s="3">
        <v>0</v>
      </c>
      <c r="S283" s="4">
        <v>0</v>
      </c>
      <c r="T283" s="4">
        <v>30</v>
      </c>
      <c r="U283" s="4">
        <v>51</v>
      </c>
      <c r="V283" s="4">
        <f>IF(ISERROR(VLOOKUP($S$283,'TAR FIN'!$A$1:$O$85,15,0)),0,VLOOKUP($S$283,'TAR FIN'!$A$1:$O$85,15,0))</f>
        <v>0</v>
      </c>
      <c r="W283" s="4">
        <f>IF(ISERROR(VLOOKUP($T$283,'TAR FIN'!$A$1:$O$85,15,0)),0,VLOOKUP($T$283,'TAR FIN'!$A$1:$O$85,15,0))</f>
        <v>419.95</v>
      </c>
      <c r="X283" s="4">
        <f>IF(ISERROR(VLOOKUP($U$283,'TAR FIN'!$A$1:$O$85,15,0)),0,VLOOKUP($U$283,'TAR FIN'!$A$1:$O$85,15,0))</f>
        <v>138.80000000000001</v>
      </c>
      <c r="Y283" s="4"/>
      <c r="Z283" s="4">
        <f ca="1">('TUSD BE'!$AM$22+'TUSD BF'!$AM$22+'TUSD CVA'!$AM$22-('TUSD BE'!$P$22+'TUSD BF'!$P$22+'TUSD CVA'!$P$22)-('TUSD BE'!$Q$22+'TUSD BF'!$Q$22+'TUSD CVA'!$Q$22)-('TUSD BE'!$R$22+'TUSD BF'!$R$22+'TUSD CVA'!$R$22))*(1-CUSTOS!$M$35)</f>
        <v>502.67826962962829</v>
      </c>
      <c r="AA283" s="4">
        <f>('TE BE'!$AA$13+'TE BF'!$AA$13+'TE CVA'!$AA$13)*(1-CUSTOS!$M$35)</f>
        <v>156.48188518513371</v>
      </c>
      <c r="AB283" s="4">
        <f>$K$283*$V$283</f>
        <v>0</v>
      </c>
      <c r="AC283" s="4">
        <f>$M$283*$W$283</f>
        <v>16482.1976</v>
      </c>
      <c r="AD283" s="4">
        <f>$O$283*$X$283</f>
        <v>5447.6224000000002</v>
      </c>
      <c r="AE283" s="4">
        <f>$K$283*$Y$283</f>
        <v>0</v>
      </c>
      <c r="AF283" s="4">
        <f ca="1">$M$283*$Z$283</f>
        <v>19729.11672642365</v>
      </c>
      <c r="AG283" s="4">
        <f>$O$283*$AA$283</f>
        <v>6141.6010297461271</v>
      </c>
    </row>
    <row r="284" spans="1:33" ht="11.25" customHeight="1" x14ac:dyDescent="0.25">
      <c r="A284" s="3" t="s">
        <v>28</v>
      </c>
      <c r="B284" s="3" t="s">
        <v>22</v>
      </c>
      <c r="C284" s="3" t="s">
        <v>23</v>
      </c>
      <c r="D284" s="3" t="s">
        <v>24</v>
      </c>
      <c r="E284" s="3" t="s">
        <v>30</v>
      </c>
      <c r="F284" s="3" t="s">
        <v>25</v>
      </c>
      <c r="G284" s="3" t="s">
        <v>25</v>
      </c>
      <c r="H284" s="3" t="s">
        <v>25</v>
      </c>
      <c r="I284" s="6">
        <v>44531</v>
      </c>
      <c r="J284" s="4">
        <v>0</v>
      </c>
      <c r="K284" s="4">
        <v>0</v>
      </c>
      <c r="L284" s="4">
        <v>0.02</v>
      </c>
      <c r="M284" s="4">
        <v>1.2E-2</v>
      </c>
      <c r="N284" s="4">
        <v>0.02</v>
      </c>
      <c r="O284" s="4">
        <v>1.2E-2</v>
      </c>
      <c r="P284" s="4">
        <v>1</v>
      </c>
      <c r="Q284" s="3" t="s">
        <v>26</v>
      </c>
      <c r="R284" s="3">
        <v>0</v>
      </c>
      <c r="S284" s="4">
        <v>0</v>
      </c>
      <c r="T284" s="4">
        <v>30</v>
      </c>
      <c r="U284" s="4">
        <v>51</v>
      </c>
      <c r="V284" s="4">
        <f>IF(ISERROR(VLOOKUP($S$284,'TAR FIN'!$A$1:$O$85,15,0)),0,VLOOKUP($S$284,'TAR FIN'!$A$1:$O$85,15,0))</f>
        <v>0</v>
      </c>
      <c r="W284" s="4">
        <f>IF(ISERROR(VLOOKUP($T$284,'TAR FIN'!$A$1:$O$85,15,0)),0,VLOOKUP($T$284,'TAR FIN'!$A$1:$O$85,15,0))</f>
        <v>419.95</v>
      </c>
      <c r="X284" s="4">
        <f>IF(ISERROR(VLOOKUP($U$284,'TAR FIN'!$A$1:$O$85,15,0)),0,VLOOKUP($U$284,'TAR FIN'!$A$1:$O$85,15,0))</f>
        <v>138.80000000000001</v>
      </c>
      <c r="Y284" s="4"/>
      <c r="Z284" s="4">
        <f ca="1">('TUSD BE'!$AM$22+'TUSD BF'!$AM$22+'TUSD CVA'!$AM$22-('TUSD BE'!$P$22+'TUSD BF'!$P$22+'TUSD CVA'!$P$22)-('TUSD BE'!$Q$22+'TUSD BF'!$Q$22+'TUSD CVA'!$Q$22)-('TUSD BE'!$R$22+'TUSD BF'!$R$22+'TUSD CVA'!$R$22))*(1-CUSTOS!$M$35)</f>
        <v>502.67826962962829</v>
      </c>
      <c r="AA284" s="4">
        <f>('TE BE'!$AA$13+'TE BF'!$AA$13+'TE CVA'!$AA$13)*(1-CUSTOS!$M$35)</f>
        <v>156.48188518513371</v>
      </c>
      <c r="AB284" s="4">
        <f>$K$284*$V$284</f>
        <v>0</v>
      </c>
      <c r="AC284" s="4">
        <f>$M$284*$W$284</f>
        <v>5.0393999999999997</v>
      </c>
      <c r="AD284" s="4">
        <f>$O$284*$X$284</f>
        <v>1.6656000000000002</v>
      </c>
      <c r="AE284" s="4">
        <f>$K$284*$Y$284</f>
        <v>0</v>
      </c>
      <c r="AF284" s="4">
        <f ca="1">$M$284*$Z$284</f>
        <v>6.0321392355555394</v>
      </c>
      <c r="AG284" s="4">
        <f>$O$284*$AA$284</f>
        <v>1.8777826222216045</v>
      </c>
    </row>
    <row r="285" spans="1:33" ht="11.25" customHeight="1" x14ac:dyDescent="0.25">
      <c r="A285" s="3" t="s">
        <v>21</v>
      </c>
      <c r="B285" s="3" t="s">
        <v>22</v>
      </c>
      <c r="C285" s="3" t="s">
        <v>23</v>
      </c>
      <c r="D285" s="3" t="s">
        <v>24</v>
      </c>
      <c r="E285" s="3" t="s">
        <v>30</v>
      </c>
      <c r="F285" s="3" t="s">
        <v>25</v>
      </c>
      <c r="G285" s="3" t="s">
        <v>25</v>
      </c>
      <c r="H285" s="3" t="s">
        <v>25</v>
      </c>
      <c r="I285" s="6">
        <v>44562</v>
      </c>
      <c r="J285" s="4">
        <v>0</v>
      </c>
      <c r="K285" s="4">
        <v>0</v>
      </c>
      <c r="L285" s="4">
        <v>41.478000000000002</v>
      </c>
      <c r="M285" s="4">
        <v>41.478000000000002</v>
      </c>
      <c r="N285" s="4">
        <v>41.478000000000002</v>
      </c>
      <c r="O285" s="4">
        <v>41.478000000000002</v>
      </c>
      <c r="P285" s="4">
        <v>113</v>
      </c>
      <c r="Q285" s="3" t="s">
        <v>26</v>
      </c>
      <c r="R285" s="3">
        <v>0</v>
      </c>
      <c r="S285" s="4">
        <v>0</v>
      </c>
      <c r="T285" s="4">
        <v>30</v>
      </c>
      <c r="U285" s="4">
        <v>51</v>
      </c>
      <c r="V285" s="4">
        <f>IF(ISERROR(VLOOKUP($S$285,'TAR FIN'!$A$1:$O$85,15,0)),0,VLOOKUP($S$285,'TAR FIN'!$A$1:$O$85,15,0))</f>
        <v>0</v>
      </c>
      <c r="W285" s="4">
        <f>IF(ISERROR(VLOOKUP($T$285,'TAR FIN'!$A$1:$O$85,15,0)),0,VLOOKUP($T$285,'TAR FIN'!$A$1:$O$85,15,0))</f>
        <v>419.95</v>
      </c>
      <c r="X285" s="4">
        <f>IF(ISERROR(VLOOKUP($U$285,'TAR FIN'!$A$1:$O$85,15,0)),0,VLOOKUP($U$285,'TAR FIN'!$A$1:$O$85,15,0))</f>
        <v>138.80000000000001</v>
      </c>
      <c r="Y285" s="4"/>
      <c r="Z285" s="4">
        <f ca="1">('TUSD BE'!$AM$22+'TUSD BF'!$AM$22+'TUSD CVA'!$AM$22-('TUSD BE'!$P$22+'TUSD BF'!$P$22+'TUSD CVA'!$P$22)-('TUSD BE'!$Q$22+'TUSD BF'!$Q$22+'TUSD CVA'!$Q$22)-('TUSD BE'!$R$22+'TUSD BF'!$R$22+'TUSD CVA'!$R$22))*(1-CUSTOS!$M$35)</f>
        <v>502.67826962962829</v>
      </c>
      <c r="AA285" s="4">
        <f>('TE BE'!$AA$13+'TE BF'!$AA$13+'TE CVA'!$AA$13)*(1-CUSTOS!$M$35)</f>
        <v>156.48188518513371</v>
      </c>
      <c r="AB285" s="4">
        <f>$K$285*$V$285</f>
        <v>0</v>
      </c>
      <c r="AC285" s="4">
        <f>$M$285*$W$285</f>
        <v>17418.686099999999</v>
      </c>
      <c r="AD285" s="4">
        <f>$O$285*$X$285</f>
        <v>5757.1464000000005</v>
      </c>
      <c r="AE285" s="4">
        <f>$K$285*$Y$285</f>
        <v>0</v>
      </c>
      <c r="AF285" s="4">
        <f ca="1">$M$285*$Z$285</f>
        <v>20850.089267697724</v>
      </c>
      <c r="AG285" s="4">
        <f>$O$285*$AA$285</f>
        <v>6490.5556337089765</v>
      </c>
    </row>
    <row r="286" spans="1:33" ht="11.25" customHeight="1" x14ac:dyDescent="0.25">
      <c r="A286" s="3" t="s">
        <v>28</v>
      </c>
      <c r="B286" s="3" t="s">
        <v>22</v>
      </c>
      <c r="C286" s="3" t="s">
        <v>23</v>
      </c>
      <c r="D286" s="3" t="s">
        <v>24</v>
      </c>
      <c r="E286" s="3" t="s">
        <v>30</v>
      </c>
      <c r="F286" s="3" t="s">
        <v>25</v>
      </c>
      <c r="G286" s="3" t="s">
        <v>25</v>
      </c>
      <c r="H286" s="3" t="s">
        <v>25</v>
      </c>
      <c r="I286" s="6">
        <v>44562</v>
      </c>
      <c r="J286" s="4">
        <v>0</v>
      </c>
      <c r="K286" s="4">
        <v>0</v>
      </c>
      <c r="L286" s="4">
        <v>0.02</v>
      </c>
      <c r="M286" s="4">
        <v>1.2E-2</v>
      </c>
      <c r="N286" s="4">
        <v>0.02</v>
      </c>
      <c r="O286" s="4">
        <v>1.2E-2</v>
      </c>
      <c r="P286" s="4">
        <v>1</v>
      </c>
      <c r="Q286" s="3" t="s">
        <v>26</v>
      </c>
      <c r="R286" s="3">
        <v>0</v>
      </c>
      <c r="S286" s="4">
        <v>0</v>
      </c>
      <c r="T286" s="4">
        <v>30</v>
      </c>
      <c r="U286" s="4">
        <v>51</v>
      </c>
      <c r="V286" s="4">
        <f>IF(ISERROR(VLOOKUP($S$286,'TAR FIN'!$A$1:$O$85,15,0)),0,VLOOKUP($S$286,'TAR FIN'!$A$1:$O$85,15,0))</f>
        <v>0</v>
      </c>
      <c r="W286" s="4">
        <f>IF(ISERROR(VLOOKUP($T$286,'TAR FIN'!$A$1:$O$85,15,0)),0,VLOOKUP($T$286,'TAR FIN'!$A$1:$O$85,15,0))</f>
        <v>419.95</v>
      </c>
      <c r="X286" s="4">
        <f>IF(ISERROR(VLOOKUP($U$286,'TAR FIN'!$A$1:$O$85,15,0)),0,VLOOKUP($U$286,'TAR FIN'!$A$1:$O$85,15,0))</f>
        <v>138.80000000000001</v>
      </c>
      <c r="Y286" s="4"/>
      <c r="Z286" s="4">
        <f ca="1">('TUSD BE'!$AM$22+'TUSD BF'!$AM$22+'TUSD CVA'!$AM$22-('TUSD BE'!$P$22+'TUSD BF'!$P$22+'TUSD CVA'!$P$22)-('TUSD BE'!$Q$22+'TUSD BF'!$Q$22+'TUSD CVA'!$Q$22)-('TUSD BE'!$R$22+'TUSD BF'!$R$22+'TUSD CVA'!$R$22))*(1-CUSTOS!$M$35)</f>
        <v>502.67826962962829</v>
      </c>
      <c r="AA286" s="4">
        <f>('TE BE'!$AA$13+'TE BF'!$AA$13+'TE CVA'!$AA$13)*(1-CUSTOS!$M$35)</f>
        <v>156.48188518513371</v>
      </c>
      <c r="AB286" s="4">
        <f>$K$286*$V$286</f>
        <v>0</v>
      </c>
      <c r="AC286" s="4">
        <f>$M$286*$W$286</f>
        <v>5.0393999999999997</v>
      </c>
      <c r="AD286" s="4">
        <f>$O$286*$X$286</f>
        <v>1.6656000000000002</v>
      </c>
      <c r="AE286" s="4">
        <f>$K$286*$Y$286</f>
        <v>0</v>
      </c>
      <c r="AF286" s="4">
        <f ca="1">$M$286*$Z$286</f>
        <v>6.0321392355555394</v>
      </c>
      <c r="AG286" s="4">
        <f>$O$286*$AA$286</f>
        <v>1.8777826222216045</v>
      </c>
    </row>
    <row r="287" spans="1:33" ht="11.25" customHeight="1" x14ac:dyDescent="0.25">
      <c r="A287" s="3" t="s">
        <v>21</v>
      </c>
      <c r="B287" s="3" t="s">
        <v>22</v>
      </c>
      <c r="C287" s="3" t="s">
        <v>23</v>
      </c>
      <c r="D287" s="3" t="s">
        <v>24</v>
      </c>
      <c r="E287" s="3" t="s">
        <v>30</v>
      </c>
      <c r="F287" s="3" t="s">
        <v>25</v>
      </c>
      <c r="G287" s="3" t="s">
        <v>25</v>
      </c>
      <c r="H287" s="3" t="s">
        <v>25</v>
      </c>
      <c r="I287" s="6">
        <v>44593</v>
      </c>
      <c r="J287" s="4">
        <v>0</v>
      </c>
      <c r="K287" s="4">
        <v>0</v>
      </c>
      <c r="L287" s="4">
        <v>44.061999999999998</v>
      </c>
      <c r="M287" s="4">
        <v>44.061999999999998</v>
      </c>
      <c r="N287" s="4">
        <v>44.061999999999998</v>
      </c>
      <c r="O287" s="4">
        <v>44.061999999999998</v>
      </c>
      <c r="P287" s="4">
        <v>107</v>
      </c>
      <c r="Q287" s="3" t="s">
        <v>26</v>
      </c>
      <c r="R287" s="3">
        <v>0</v>
      </c>
      <c r="S287" s="4">
        <v>0</v>
      </c>
      <c r="T287" s="4">
        <v>30</v>
      </c>
      <c r="U287" s="4">
        <v>51</v>
      </c>
      <c r="V287" s="4">
        <f>IF(ISERROR(VLOOKUP($S$287,'TAR FIN'!$A$1:$O$85,15,0)),0,VLOOKUP($S$287,'TAR FIN'!$A$1:$O$85,15,0))</f>
        <v>0</v>
      </c>
      <c r="W287" s="4">
        <f>IF(ISERROR(VLOOKUP($T$287,'TAR FIN'!$A$1:$O$85,15,0)),0,VLOOKUP($T$287,'TAR FIN'!$A$1:$O$85,15,0))</f>
        <v>419.95</v>
      </c>
      <c r="X287" s="4">
        <f>IF(ISERROR(VLOOKUP($U$287,'TAR FIN'!$A$1:$O$85,15,0)),0,VLOOKUP($U$287,'TAR FIN'!$A$1:$O$85,15,0))</f>
        <v>138.80000000000001</v>
      </c>
      <c r="Y287" s="4"/>
      <c r="Z287" s="4">
        <f ca="1">('TUSD BE'!$AM$22+'TUSD BF'!$AM$22+'TUSD CVA'!$AM$22-('TUSD BE'!$P$22+'TUSD BF'!$P$22+'TUSD CVA'!$P$22)-('TUSD BE'!$Q$22+'TUSD BF'!$Q$22+'TUSD CVA'!$Q$22)-('TUSD BE'!$R$22+'TUSD BF'!$R$22+'TUSD CVA'!$R$22))*(1-CUSTOS!$M$35)</f>
        <v>502.67826962962829</v>
      </c>
      <c r="AA287" s="4">
        <f>('TE BE'!$AA$13+'TE BF'!$AA$13+'TE CVA'!$AA$13)*(1-CUSTOS!$M$35)</f>
        <v>156.48188518513371</v>
      </c>
      <c r="AB287" s="4">
        <f>$K$287*$V$287</f>
        <v>0</v>
      </c>
      <c r="AC287" s="4">
        <f>$M$287*$W$287</f>
        <v>18503.836899999998</v>
      </c>
      <c r="AD287" s="4">
        <f>$O$287*$X$287</f>
        <v>6115.8056000000006</v>
      </c>
      <c r="AE287" s="4">
        <f>$K$287*$Y$287</f>
        <v>0</v>
      </c>
      <c r="AF287" s="4">
        <f ca="1">$M$287*$Z$287</f>
        <v>22149.00991642068</v>
      </c>
      <c r="AG287" s="4">
        <f>$O$287*$AA$287</f>
        <v>6894.9048250273609</v>
      </c>
    </row>
    <row r="288" spans="1:33" ht="11.25" customHeight="1" x14ac:dyDescent="0.25">
      <c r="A288" s="3" t="s">
        <v>21</v>
      </c>
      <c r="B288" s="3" t="s">
        <v>22</v>
      </c>
      <c r="C288" s="3" t="s">
        <v>23</v>
      </c>
      <c r="D288" s="3" t="s">
        <v>24</v>
      </c>
      <c r="E288" s="3" t="s">
        <v>30</v>
      </c>
      <c r="F288" s="3" t="s">
        <v>25</v>
      </c>
      <c r="G288" s="3" t="s">
        <v>25</v>
      </c>
      <c r="H288" s="3" t="s">
        <v>25</v>
      </c>
      <c r="I288" s="6">
        <v>44621</v>
      </c>
      <c r="J288" s="4">
        <v>0</v>
      </c>
      <c r="K288" s="4">
        <v>0</v>
      </c>
      <c r="L288" s="4">
        <v>89.213999999999999</v>
      </c>
      <c r="M288" s="4">
        <v>89.213999999999999</v>
      </c>
      <c r="N288" s="4">
        <v>89.213999999999999</v>
      </c>
      <c r="O288" s="4">
        <v>89.213999999999999</v>
      </c>
      <c r="P288" s="4">
        <v>351</v>
      </c>
      <c r="Q288" s="3" t="s">
        <v>26</v>
      </c>
      <c r="R288" s="3">
        <v>0</v>
      </c>
      <c r="S288" s="4">
        <v>0</v>
      </c>
      <c r="T288" s="4">
        <v>30</v>
      </c>
      <c r="U288" s="4">
        <v>51</v>
      </c>
      <c r="V288" s="4">
        <f>IF(ISERROR(VLOOKUP($S$288,'TAR FIN'!$A$1:$O$85,15,0)),0,VLOOKUP($S$288,'TAR FIN'!$A$1:$O$85,15,0))</f>
        <v>0</v>
      </c>
      <c r="W288" s="4">
        <f>IF(ISERROR(VLOOKUP($T$288,'TAR FIN'!$A$1:$O$85,15,0)),0,VLOOKUP($T$288,'TAR FIN'!$A$1:$O$85,15,0))</f>
        <v>419.95</v>
      </c>
      <c r="X288" s="4">
        <f>IF(ISERROR(VLOOKUP($U$288,'TAR FIN'!$A$1:$O$85,15,0)),0,VLOOKUP($U$288,'TAR FIN'!$A$1:$O$85,15,0))</f>
        <v>138.80000000000001</v>
      </c>
      <c r="Y288" s="4"/>
      <c r="Z288" s="4">
        <f ca="1">('TUSD BE'!$AM$22+'TUSD BF'!$AM$22+'TUSD CVA'!$AM$22-('TUSD BE'!$P$22+'TUSD BF'!$P$22+'TUSD CVA'!$P$22)-('TUSD BE'!$Q$22+'TUSD BF'!$Q$22+'TUSD CVA'!$Q$22)-('TUSD BE'!$R$22+'TUSD BF'!$R$22+'TUSD CVA'!$R$22))*(1-CUSTOS!$M$35)</f>
        <v>502.67826962962829</v>
      </c>
      <c r="AA288" s="4">
        <f>('TE BE'!$AA$13+'TE BF'!$AA$13+'TE CVA'!$AA$13)*(1-CUSTOS!$M$35)</f>
        <v>156.48188518513371</v>
      </c>
      <c r="AB288" s="4">
        <f>$K$288*$V$288</f>
        <v>0</v>
      </c>
      <c r="AC288" s="4">
        <f>$M$288*$W$288</f>
        <v>37465.419300000001</v>
      </c>
      <c r="AD288" s="4">
        <f>$O$288*$X$288</f>
        <v>12382.903200000001</v>
      </c>
      <c r="AE288" s="4">
        <f>$K$288*$Y$288</f>
        <v>0</v>
      </c>
      <c r="AF288" s="4">
        <f ca="1">$M$288*$Z$288</f>
        <v>44845.939146737655</v>
      </c>
      <c r="AG288" s="4">
        <f>$O$288*$AA$288</f>
        <v>13960.374904906519</v>
      </c>
    </row>
    <row r="289" spans="1:33" ht="11.25" customHeight="1" x14ac:dyDescent="0.25">
      <c r="A289" s="3" t="s">
        <v>27</v>
      </c>
      <c r="B289" s="3" t="s">
        <v>22</v>
      </c>
      <c r="C289" s="3" t="s">
        <v>23</v>
      </c>
      <c r="D289" s="3" t="s">
        <v>24</v>
      </c>
      <c r="E289" s="3" t="s">
        <v>30</v>
      </c>
      <c r="F289" s="3" t="s">
        <v>25</v>
      </c>
      <c r="G289" s="3" t="s">
        <v>25</v>
      </c>
      <c r="H289" s="3" t="s">
        <v>25</v>
      </c>
      <c r="I289" s="6">
        <v>44621</v>
      </c>
      <c r="J289" s="4">
        <v>0</v>
      </c>
      <c r="K289" s="4">
        <v>0</v>
      </c>
      <c r="L289" s="4">
        <v>7.0000000000000007E-2</v>
      </c>
      <c r="M289" s="4">
        <v>7.0000000000000007E-2</v>
      </c>
      <c r="N289" s="4">
        <v>7.0000000000000007E-2</v>
      </c>
      <c r="O289" s="4">
        <v>7.0000000000000007E-2</v>
      </c>
      <c r="P289" s="4">
        <v>0</v>
      </c>
      <c r="Q289" s="3" t="s">
        <v>26</v>
      </c>
      <c r="R289" s="3">
        <v>0</v>
      </c>
      <c r="S289" s="4">
        <v>0</v>
      </c>
      <c r="T289" s="4">
        <v>30</v>
      </c>
      <c r="U289" s="4">
        <v>51</v>
      </c>
      <c r="V289" s="4">
        <f>IF(ISERROR(VLOOKUP($S$289,'TAR FIN'!$A$1:$O$85,15,0)),0,VLOOKUP($S$289,'TAR FIN'!$A$1:$O$85,15,0))</f>
        <v>0</v>
      </c>
      <c r="W289" s="4">
        <f>IF(ISERROR(VLOOKUP($T$289,'TAR FIN'!$A$1:$O$85,15,0)),0,VLOOKUP($T$289,'TAR FIN'!$A$1:$O$85,15,0))</f>
        <v>419.95</v>
      </c>
      <c r="X289" s="4">
        <f>IF(ISERROR(VLOOKUP($U$289,'TAR FIN'!$A$1:$O$85,15,0)),0,VLOOKUP($U$289,'TAR FIN'!$A$1:$O$85,15,0))</f>
        <v>138.80000000000001</v>
      </c>
      <c r="Y289" s="4"/>
      <c r="Z289" s="4">
        <f ca="1">('TUSD BE'!$AM$22+'TUSD BF'!$AM$22+'TUSD CVA'!$AM$22-('TUSD BE'!$P$22+'TUSD BF'!$P$22+'TUSD CVA'!$P$22)-('TUSD BE'!$Q$22+'TUSD BF'!$Q$22+'TUSD CVA'!$Q$22)-('TUSD BE'!$R$22+'TUSD BF'!$R$22+'TUSD CVA'!$R$22))*(1-CUSTOS!$M$35)</f>
        <v>502.67826962962829</v>
      </c>
      <c r="AA289" s="4">
        <f>('TE BE'!$AA$13+'TE BF'!$AA$13+'TE CVA'!$AA$13)*(1-CUSTOS!$M$35)</f>
        <v>156.48188518513371</v>
      </c>
      <c r="AB289" s="4">
        <f>$K$289*$V$289</f>
        <v>0</v>
      </c>
      <c r="AC289" s="4">
        <f>$M$289*$W$289</f>
        <v>29.396500000000003</v>
      </c>
      <c r="AD289" s="4">
        <f>$O$289*$X$289</f>
        <v>9.7160000000000011</v>
      </c>
      <c r="AE289" s="4">
        <f>$K$289*$Y$289</f>
        <v>0</v>
      </c>
      <c r="AF289" s="4">
        <f ca="1">$M$289*$Z$289</f>
        <v>35.187478874073982</v>
      </c>
      <c r="AG289" s="4">
        <f>$O$289*$AA$289</f>
        <v>10.95373196295936</v>
      </c>
    </row>
    <row r="290" spans="1:33" ht="11.25" customHeight="1" x14ac:dyDescent="0.25">
      <c r="A290" s="3" t="s">
        <v>21</v>
      </c>
      <c r="B290" s="3" t="s">
        <v>22</v>
      </c>
      <c r="C290" s="3" t="s">
        <v>23</v>
      </c>
      <c r="D290" s="3" t="s">
        <v>24</v>
      </c>
      <c r="E290" s="3" t="s">
        <v>31</v>
      </c>
      <c r="F290" s="3" t="s">
        <v>25</v>
      </c>
      <c r="G290" s="3" t="s">
        <v>25</v>
      </c>
      <c r="H290" s="3" t="s">
        <v>25</v>
      </c>
      <c r="I290" s="6">
        <v>44287</v>
      </c>
      <c r="J290" s="4">
        <v>0</v>
      </c>
      <c r="K290" s="4">
        <v>0</v>
      </c>
      <c r="L290" s="4">
        <v>25.067</v>
      </c>
      <c r="M290" s="4">
        <v>25.067</v>
      </c>
      <c r="N290" s="4">
        <v>25.067</v>
      </c>
      <c r="O290" s="4">
        <v>25.067</v>
      </c>
      <c r="P290" s="4">
        <v>238</v>
      </c>
      <c r="Q290" s="3" t="s">
        <v>26</v>
      </c>
      <c r="R290" s="3">
        <v>0</v>
      </c>
      <c r="S290" s="4">
        <v>0</v>
      </c>
      <c r="T290" s="4">
        <v>31</v>
      </c>
      <c r="U290" s="4">
        <v>46</v>
      </c>
      <c r="V290" s="4">
        <f>IF(ISERROR(VLOOKUP($S$290,'TAR FIN'!$A$1:$O$85,15,0)),0,VLOOKUP($S$290,'TAR FIN'!$A$1:$O$85,15,0))</f>
        <v>0</v>
      </c>
      <c r="W290" s="4">
        <f>IF(ISERROR(VLOOKUP($T$290,'TAR FIN'!$A$1:$O$85,15,0)),0,VLOOKUP($T$290,'TAR FIN'!$A$1:$O$85,15,0))</f>
        <v>629.91999999999996</v>
      </c>
      <c r="X290" s="4">
        <f>IF(ISERROR(VLOOKUP($U$290,'TAR FIN'!$A$1:$O$85,15,0)),0,VLOOKUP($U$290,'TAR FIN'!$A$1:$O$85,15,0))</f>
        <v>208.2</v>
      </c>
      <c r="Y290" s="4"/>
      <c r="Z290" s="4">
        <f ca="1">('TUSD BE'!$AM$23+'TUSD BF'!$AM$23+'TUSD CVA'!$AM$23-('TUSD BE'!$P$23+'TUSD BF'!$P$23+'TUSD CVA'!$P$23)-('TUSD BE'!$Q$23+'TUSD BF'!$Q$23+'TUSD CVA'!$Q$23)-('TUSD BE'!$R$23+'TUSD BF'!$R$23+'TUSD CVA'!$R$23))*(1-CUSTOS!$M$36)</f>
        <v>754.01740444444249</v>
      </c>
      <c r="AA290" s="4">
        <f>('TE BE'!$AA$14+'TE BF'!$AA$14+'TE CVA'!$AA$14)*(1-CUSTOS!$M$36)</f>
        <v>234.72282777770056</v>
      </c>
      <c r="AB290" s="4">
        <f>$K$290*$V$290</f>
        <v>0</v>
      </c>
      <c r="AC290" s="4">
        <f>$M$290*$W$290</f>
        <v>15790.20464</v>
      </c>
      <c r="AD290" s="4">
        <f>$O$290*$X$290</f>
        <v>5218.9493999999995</v>
      </c>
      <c r="AE290" s="4">
        <f>$K$290*$Y$290</f>
        <v>0</v>
      </c>
      <c r="AF290" s="4">
        <f ca="1">$M$290*$Z$290</f>
        <v>18900.954277208839</v>
      </c>
      <c r="AG290" s="4">
        <f>$O$290*$AA$290</f>
        <v>5883.7971239036196</v>
      </c>
    </row>
    <row r="291" spans="1:33" ht="11.25" customHeight="1" x14ac:dyDescent="0.25">
      <c r="A291" s="3" t="s">
        <v>28</v>
      </c>
      <c r="B291" s="3" t="s">
        <v>22</v>
      </c>
      <c r="C291" s="3" t="s">
        <v>23</v>
      </c>
      <c r="D291" s="3" t="s">
        <v>24</v>
      </c>
      <c r="E291" s="3" t="s">
        <v>31</v>
      </c>
      <c r="F291" s="3" t="s">
        <v>25</v>
      </c>
      <c r="G291" s="3" t="s">
        <v>25</v>
      </c>
      <c r="H291" s="3" t="s">
        <v>25</v>
      </c>
      <c r="I291" s="6">
        <v>44287</v>
      </c>
      <c r="J291" s="4">
        <v>0</v>
      </c>
      <c r="K291" s="4">
        <v>0</v>
      </c>
      <c r="L291" s="4">
        <v>0.122</v>
      </c>
      <c r="M291" s="4">
        <v>0.122</v>
      </c>
      <c r="N291" s="4">
        <v>0.122</v>
      </c>
      <c r="O291" s="4">
        <v>0.122</v>
      </c>
      <c r="P291" s="4">
        <v>1</v>
      </c>
      <c r="Q291" s="3" t="s">
        <v>26</v>
      </c>
      <c r="R291" s="3">
        <v>0</v>
      </c>
      <c r="S291" s="4">
        <v>0</v>
      </c>
      <c r="T291" s="4">
        <v>31</v>
      </c>
      <c r="U291" s="4">
        <v>46</v>
      </c>
      <c r="V291" s="4">
        <f>IF(ISERROR(VLOOKUP($S$291,'TAR FIN'!$A$1:$O$85,15,0)),0,VLOOKUP($S$291,'TAR FIN'!$A$1:$O$85,15,0))</f>
        <v>0</v>
      </c>
      <c r="W291" s="4">
        <f>IF(ISERROR(VLOOKUP($T$291,'TAR FIN'!$A$1:$O$85,15,0)),0,VLOOKUP($T$291,'TAR FIN'!$A$1:$O$85,15,0))</f>
        <v>629.91999999999996</v>
      </c>
      <c r="X291" s="4">
        <f>IF(ISERROR(VLOOKUP($U$291,'TAR FIN'!$A$1:$O$85,15,0)),0,VLOOKUP($U$291,'TAR FIN'!$A$1:$O$85,15,0))</f>
        <v>208.2</v>
      </c>
      <c r="Y291" s="4"/>
      <c r="Z291" s="4">
        <f ca="1">('TUSD BE'!$AM$23+'TUSD BF'!$AM$23+'TUSD CVA'!$AM$23-('TUSD BE'!$P$23+'TUSD BF'!$P$23+'TUSD CVA'!$P$23)-('TUSD BE'!$Q$23+'TUSD BF'!$Q$23+'TUSD CVA'!$Q$23)-('TUSD BE'!$R$23+'TUSD BF'!$R$23+'TUSD CVA'!$R$23))*(1-CUSTOS!$M$36)</f>
        <v>754.01740444444249</v>
      </c>
      <c r="AA291" s="4">
        <f>('TE BE'!$AA$14+'TE BF'!$AA$14+'TE CVA'!$AA$14)*(1-CUSTOS!$M$36)</f>
        <v>234.72282777770056</v>
      </c>
      <c r="AB291" s="4">
        <f>$K$291*$V$291</f>
        <v>0</v>
      </c>
      <c r="AC291" s="4">
        <f>$M$291*$W$291</f>
        <v>76.850239999999999</v>
      </c>
      <c r="AD291" s="4">
        <f>$O$291*$X$291</f>
        <v>25.400399999999998</v>
      </c>
      <c r="AE291" s="4">
        <f>$K$291*$Y$291</f>
        <v>0</v>
      </c>
      <c r="AF291" s="4">
        <f ca="1">$M$291*$Z$291</f>
        <v>91.990123342221978</v>
      </c>
      <c r="AG291" s="4">
        <f>$O$291*$AA$291</f>
        <v>28.636184988879467</v>
      </c>
    </row>
    <row r="292" spans="1:33" ht="11.25" customHeight="1" x14ac:dyDescent="0.25">
      <c r="A292" s="3" t="s">
        <v>21</v>
      </c>
      <c r="B292" s="3" t="s">
        <v>22</v>
      </c>
      <c r="C292" s="3" t="s">
        <v>23</v>
      </c>
      <c r="D292" s="3" t="s">
        <v>24</v>
      </c>
      <c r="E292" s="3" t="s">
        <v>31</v>
      </c>
      <c r="F292" s="3" t="s">
        <v>25</v>
      </c>
      <c r="G292" s="3" t="s">
        <v>25</v>
      </c>
      <c r="H292" s="3" t="s">
        <v>25</v>
      </c>
      <c r="I292" s="6">
        <v>44317</v>
      </c>
      <c r="J292" s="4">
        <v>0</v>
      </c>
      <c r="K292" s="4">
        <v>0</v>
      </c>
      <c r="L292" s="4">
        <v>17.866</v>
      </c>
      <c r="M292" s="4">
        <v>17.866</v>
      </c>
      <c r="N292" s="4">
        <v>17.866</v>
      </c>
      <c r="O292" s="4">
        <v>17.866</v>
      </c>
      <c r="P292" s="4">
        <v>234</v>
      </c>
      <c r="Q292" s="3" t="s">
        <v>26</v>
      </c>
      <c r="R292" s="3">
        <v>0</v>
      </c>
      <c r="S292" s="4">
        <v>0</v>
      </c>
      <c r="T292" s="4">
        <v>31</v>
      </c>
      <c r="U292" s="4">
        <v>46</v>
      </c>
      <c r="V292" s="4">
        <f>IF(ISERROR(VLOOKUP($S$292,'TAR FIN'!$A$1:$O$85,15,0)),0,VLOOKUP($S$292,'TAR FIN'!$A$1:$O$85,15,0))</f>
        <v>0</v>
      </c>
      <c r="W292" s="4">
        <f>IF(ISERROR(VLOOKUP($T$292,'TAR FIN'!$A$1:$O$85,15,0)),0,VLOOKUP($T$292,'TAR FIN'!$A$1:$O$85,15,0))</f>
        <v>629.91999999999996</v>
      </c>
      <c r="X292" s="4">
        <f>IF(ISERROR(VLOOKUP($U$292,'TAR FIN'!$A$1:$O$85,15,0)),0,VLOOKUP($U$292,'TAR FIN'!$A$1:$O$85,15,0))</f>
        <v>208.2</v>
      </c>
      <c r="Y292" s="4"/>
      <c r="Z292" s="4">
        <f ca="1">('TUSD BE'!$AM$23+'TUSD BF'!$AM$23+'TUSD CVA'!$AM$23-('TUSD BE'!$P$23+'TUSD BF'!$P$23+'TUSD CVA'!$P$23)-('TUSD BE'!$Q$23+'TUSD BF'!$Q$23+'TUSD CVA'!$Q$23)-('TUSD BE'!$R$23+'TUSD BF'!$R$23+'TUSD CVA'!$R$23))*(1-CUSTOS!$M$36)</f>
        <v>754.01740444444249</v>
      </c>
      <c r="AA292" s="4">
        <f>('TE BE'!$AA$14+'TE BF'!$AA$14+'TE CVA'!$AA$14)*(1-CUSTOS!$M$36)</f>
        <v>234.72282777770056</v>
      </c>
      <c r="AB292" s="4">
        <f>$K$292*$V$292</f>
        <v>0</v>
      </c>
      <c r="AC292" s="4">
        <f>$M$292*$W$292</f>
        <v>11254.15072</v>
      </c>
      <c r="AD292" s="4">
        <f>$O$292*$X$292</f>
        <v>3719.7011999999995</v>
      </c>
      <c r="AE292" s="4">
        <f>$K$292*$Y$292</f>
        <v>0</v>
      </c>
      <c r="AF292" s="4">
        <f ca="1">$M$292*$Z$292</f>
        <v>13471.27494780441</v>
      </c>
      <c r="AG292" s="4">
        <f>$O$292*$AA$292</f>
        <v>4193.5580410763978</v>
      </c>
    </row>
    <row r="293" spans="1:33" ht="11.25" customHeight="1" x14ac:dyDescent="0.25">
      <c r="A293" s="3" t="s">
        <v>27</v>
      </c>
      <c r="B293" s="3" t="s">
        <v>22</v>
      </c>
      <c r="C293" s="3" t="s">
        <v>23</v>
      </c>
      <c r="D293" s="3" t="s">
        <v>24</v>
      </c>
      <c r="E293" s="3" t="s">
        <v>31</v>
      </c>
      <c r="F293" s="3" t="s">
        <v>25</v>
      </c>
      <c r="G293" s="3" t="s">
        <v>25</v>
      </c>
      <c r="H293" s="3" t="s">
        <v>25</v>
      </c>
      <c r="I293" s="6">
        <v>44317</v>
      </c>
      <c r="J293" s="4">
        <v>0</v>
      </c>
      <c r="K293" s="4">
        <v>0</v>
      </c>
      <c r="L293" s="4">
        <v>2.2650000000000001</v>
      </c>
      <c r="M293" s="4">
        <v>2.2650000000000001</v>
      </c>
      <c r="N293" s="4">
        <v>2.2650000000000001</v>
      </c>
      <c r="O293" s="4">
        <v>2.2650000000000001</v>
      </c>
      <c r="P293" s="4">
        <v>0</v>
      </c>
      <c r="Q293" s="3" t="s">
        <v>26</v>
      </c>
      <c r="R293" s="3">
        <v>0</v>
      </c>
      <c r="S293" s="4">
        <v>0</v>
      </c>
      <c r="T293" s="4">
        <v>31</v>
      </c>
      <c r="U293" s="4">
        <v>46</v>
      </c>
      <c r="V293" s="4">
        <f>IF(ISERROR(VLOOKUP($S$293,'TAR FIN'!$A$1:$O$85,15,0)),0,VLOOKUP($S$293,'TAR FIN'!$A$1:$O$85,15,0))</f>
        <v>0</v>
      </c>
      <c r="W293" s="4">
        <f>IF(ISERROR(VLOOKUP($T$293,'TAR FIN'!$A$1:$O$85,15,0)),0,VLOOKUP($T$293,'TAR FIN'!$A$1:$O$85,15,0))</f>
        <v>629.91999999999996</v>
      </c>
      <c r="X293" s="4">
        <f>IF(ISERROR(VLOOKUP($U$293,'TAR FIN'!$A$1:$O$85,15,0)),0,VLOOKUP($U$293,'TAR FIN'!$A$1:$O$85,15,0))</f>
        <v>208.2</v>
      </c>
      <c r="Y293" s="4"/>
      <c r="Z293" s="4">
        <f ca="1">('TUSD BE'!$AM$23+'TUSD BF'!$AM$23+'TUSD CVA'!$AM$23-('TUSD BE'!$P$23+'TUSD BF'!$P$23+'TUSD CVA'!$P$23)-('TUSD BE'!$Q$23+'TUSD BF'!$Q$23+'TUSD CVA'!$Q$23)-('TUSD BE'!$R$23+'TUSD BF'!$R$23+'TUSD CVA'!$R$23))*(1-CUSTOS!$M$36)</f>
        <v>754.01740444444249</v>
      </c>
      <c r="AA293" s="4">
        <f>('TE BE'!$AA$14+'TE BF'!$AA$14+'TE CVA'!$AA$14)*(1-CUSTOS!$M$36)</f>
        <v>234.72282777770056</v>
      </c>
      <c r="AB293" s="4">
        <f>$K$293*$V$293</f>
        <v>0</v>
      </c>
      <c r="AC293" s="4">
        <f>$M$293*$W$293</f>
        <v>1426.7688000000001</v>
      </c>
      <c r="AD293" s="4">
        <f>$O$293*$X$293</f>
        <v>471.57299999999998</v>
      </c>
      <c r="AE293" s="4">
        <f>$K$293*$Y$293</f>
        <v>0</v>
      </c>
      <c r="AF293" s="4">
        <f ca="1">$M$293*$Z$293</f>
        <v>1707.8494210666624</v>
      </c>
      <c r="AG293" s="4">
        <f>$O$293*$AA$293</f>
        <v>531.64720491649177</v>
      </c>
    </row>
    <row r="294" spans="1:33" ht="11.25" customHeight="1" x14ac:dyDescent="0.25">
      <c r="A294" s="3" t="s">
        <v>21</v>
      </c>
      <c r="B294" s="3" t="s">
        <v>22</v>
      </c>
      <c r="C294" s="3" t="s">
        <v>23</v>
      </c>
      <c r="D294" s="3" t="s">
        <v>24</v>
      </c>
      <c r="E294" s="3" t="s">
        <v>31</v>
      </c>
      <c r="F294" s="3" t="s">
        <v>25</v>
      </c>
      <c r="G294" s="3" t="s">
        <v>25</v>
      </c>
      <c r="H294" s="3" t="s">
        <v>25</v>
      </c>
      <c r="I294" s="6">
        <v>44348</v>
      </c>
      <c r="J294" s="4">
        <v>0</v>
      </c>
      <c r="K294" s="4">
        <v>0</v>
      </c>
      <c r="L294" s="4">
        <v>20.646000000000001</v>
      </c>
      <c r="M294" s="4">
        <v>20.646000000000001</v>
      </c>
      <c r="N294" s="4">
        <v>20.646000000000001</v>
      </c>
      <c r="O294" s="4">
        <v>20.646000000000001</v>
      </c>
      <c r="P294" s="4">
        <v>278</v>
      </c>
      <c r="Q294" s="3" t="s">
        <v>26</v>
      </c>
      <c r="R294" s="3">
        <v>0</v>
      </c>
      <c r="S294" s="4">
        <v>0</v>
      </c>
      <c r="T294" s="4">
        <v>31</v>
      </c>
      <c r="U294" s="4">
        <v>46</v>
      </c>
      <c r="V294" s="4">
        <f>IF(ISERROR(VLOOKUP($S$294,'TAR FIN'!$A$1:$O$85,15,0)),0,VLOOKUP($S$294,'TAR FIN'!$A$1:$O$85,15,0))</f>
        <v>0</v>
      </c>
      <c r="W294" s="4">
        <f>IF(ISERROR(VLOOKUP($T$294,'TAR FIN'!$A$1:$O$85,15,0)),0,VLOOKUP($T$294,'TAR FIN'!$A$1:$O$85,15,0))</f>
        <v>629.91999999999996</v>
      </c>
      <c r="X294" s="4">
        <f>IF(ISERROR(VLOOKUP($U$294,'TAR FIN'!$A$1:$O$85,15,0)),0,VLOOKUP($U$294,'TAR FIN'!$A$1:$O$85,15,0))</f>
        <v>208.2</v>
      </c>
      <c r="Y294" s="4"/>
      <c r="Z294" s="4">
        <f ca="1">('TUSD BE'!$AM$23+'TUSD BF'!$AM$23+'TUSD CVA'!$AM$23-('TUSD BE'!$P$23+'TUSD BF'!$P$23+'TUSD CVA'!$P$23)-('TUSD BE'!$Q$23+'TUSD BF'!$Q$23+'TUSD CVA'!$Q$23)-('TUSD BE'!$R$23+'TUSD BF'!$R$23+'TUSD CVA'!$R$23))*(1-CUSTOS!$M$36)</f>
        <v>754.01740444444249</v>
      </c>
      <c r="AA294" s="4">
        <f>('TE BE'!$AA$14+'TE BF'!$AA$14+'TE CVA'!$AA$14)*(1-CUSTOS!$M$36)</f>
        <v>234.72282777770056</v>
      </c>
      <c r="AB294" s="4">
        <f>$K$294*$V$294</f>
        <v>0</v>
      </c>
      <c r="AC294" s="4">
        <f>$M$294*$W$294</f>
        <v>13005.328320000001</v>
      </c>
      <c r="AD294" s="4">
        <f>$O$294*$X$294</f>
        <v>4298.4971999999998</v>
      </c>
      <c r="AE294" s="4">
        <f>$K$294*$Y$294</f>
        <v>0</v>
      </c>
      <c r="AF294" s="4">
        <f ca="1">$M$294*$Z$294</f>
        <v>15567.443332159961</v>
      </c>
      <c r="AG294" s="4">
        <f>$O$294*$AA$294</f>
        <v>4846.0875022984055</v>
      </c>
    </row>
    <row r="295" spans="1:33" ht="11.25" customHeight="1" x14ac:dyDescent="0.25">
      <c r="A295" s="3" t="s">
        <v>27</v>
      </c>
      <c r="B295" s="3" t="s">
        <v>22</v>
      </c>
      <c r="C295" s="3" t="s">
        <v>23</v>
      </c>
      <c r="D295" s="3" t="s">
        <v>24</v>
      </c>
      <c r="E295" s="3" t="s">
        <v>31</v>
      </c>
      <c r="F295" s="3" t="s">
        <v>25</v>
      </c>
      <c r="G295" s="3" t="s">
        <v>25</v>
      </c>
      <c r="H295" s="3" t="s">
        <v>25</v>
      </c>
      <c r="I295" s="6">
        <v>44348</v>
      </c>
      <c r="J295" s="4">
        <v>0</v>
      </c>
      <c r="K295" s="4">
        <v>0</v>
      </c>
      <c r="L295" s="4">
        <v>0.59499999999999997</v>
      </c>
      <c r="M295" s="4">
        <v>0.59499999999999997</v>
      </c>
      <c r="N295" s="4">
        <v>0.59499999999999997</v>
      </c>
      <c r="O295" s="4">
        <v>0.59499999999999997</v>
      </c>
      <c r="P295" s="4">
        <v>0</v>
      </c>
      <c r="Q295" s="3" t="s">
        <v>26</v>
      </c>
      <c r="R295" s="3">
        <v>0</v>
      </c>
      <c r="S295" s="4">
        <v>0</v>
      </c>
      <c r="T295" s="4">
        <v>31</v>
      </c>
      <c r="U295" s="4">
        <v>46</v>
      </c>
      <c r="V295" s="4">
        <f>IF(ISERROR(VLOOKUP($S$295,'TAR FIN'!$A$1:$O$85,15,0)),0,VLOOKUP($S$295,'TAR FIN'!$A$1:$O$85,15,0))</f>
        <v>0</v>
      </c>
      <c r="W295" s="4">
        <f>IF(ISERROR(VLOOKUP($T$295,'TAR FIN'!$A$1:$O$85,15,0)),0,VLOOKUP($T$295,'TAR FIN'!$A$1:$O$85,15,0))</f>
        <v>629.91999999999996</v>
      </c>
      <c r="X295" s="4">
        <f>IF(ISERROR(VLOOKUP($U$295,'TAR FIN'!$A$1:$O$85,15,0)),0,VLOOKUP($U$295,'TAR FIN'!$A$1:$O$85,15,0))</f>
        <v>208.2</v>
      </c>
      <c r="Y295" s="4"/>
      <c r="Z295" s="4">
        <f ca="1">('TUSD BE'!$AM$23+'TUSD BF'!$AM$23+'TUSD CVA'!$AM$23-('TUSD BE'!$P$23+'TUSD BF'!$P$23+'TUSD CVA'!$P$23)-('TUSD BE'!$Q$23+'TUSD BF'!$Q$23+'TUSD CVA'!$Q$23)-('TUSD BE'!$R$23+'TUSD BF'!$R$23+'TUSD CVA'!$R$23))*(1-CUSTOS!$M$36)</f>
        <v>754.01740444444249</v>
      </c>
      <c r="AA295" s="4">
        <f>('TE BE'!$AA$14+'TE BF'!$AA$14+'TE CVA'!$AA$14)*(1-CUSTOS!$M$36)</f>
        <v>234.72282777770056</v>
      </c>
      <c r="AB295" s="4">
        <f>$K$295*$V$295</f>
        <v>0</v>
      </c>
      <c r="AC295" s="4">
        <f>$M$295*$W$295</f>
        <v>374.80239999999998</v>
      </c>
      <c r="AD295" s="4">
        <f>$O$295*$X$295</f>
        <v>123.87899999999999</v>
      </c>
      <c r="AE295" s="4">
        <f>$K$295*$Y$295</f>
        <v>0</v>
      </c>
      <c r="AF295" s="4">
        <f ca="1">$M$295*$Z$295</f>
        <v>448.64035564444328</v>
      </c>
      <c r="AG295" s="4">
        <f>$O$295*$AA$295</f>
        <v>139.66008252773182</v>
      </c>
    </row>
    <row r="296" spans="1:33" ht="11.25" customHeight="1" x14ac:dyDescent="0.25">
      <c r="A296" s="3" t="s">
        <v>21</v>
      </c>
      <c r="B296" s="3" t="s">
        <v>22</v>
      </c>
      <c r="C296" s="3" t="s">
        <v>23</v>
      </c>
      <c r="D296" s="3" t="s">
        <v>24</v>
      </c>
      <c r="E296" s="3" t="s">
        <v>31</v>
      </c>
      <c r="F296" s="3" t="s">
        <v>25</v>
      </c>
      <c r="G296" s="3" t="s">
        <v>25</v>
      </c>
      <c r="H296" s="3" t="s">
        <v>25</v>
      </c>
      <c r="I296" s="6">
        <v>44378</v>
      </c>
      <c r="J296" s="4">
        <v>0</v>
      </c>
      <c r="K296" s="4">
        <v>0</v>
      </c>
      <c r="L296" s="4">
        <v>16.478999999999999</v>
      </c>
      <c r="M296" s="4">
        <v>16.478999999999999</v>
      </c>
      <c r="N296" s="4">
        <v>16.478999999999999</v>
      </c>
      <c r="O296" s="4">
        <v>16.478999999999999</v>
      </c>
      <c r="P296" s="4">
        <v>262</v>
      </c>
      <c r="Q296" s="3" t="s">
        <v>26</v>
      </c>
      <c r="R296" s="3">
        <v>0</v>
      </c>
      <c r="S296" s="4">
        <v>0</v>
      </c>
      <c r="T296" s="4">
        <v>31</v>
      </c>
      <c r="U296" s="4">
        <v>46</v>
      </c>
      <c r="V296" s="4">
        <f>IF(ISERROR(VLOOKUP($S$296,'TAR FIN'!$A$1:$O$85,15,0)),0,VLOOKUP($S$296,'TAR FIN'!$A$1:$O$85,15,0))</f>
        <v>0</v>
      </c>
      <c r="W296" s="4">
        <f>IF(ISERROR(VLOOKUP($T$296,'TAR FIN'!$A$1:$O$85,15,0)),0,VLOOKUP($T$296,'TAR FIN'!$A$1:$O$85,15,0))</f>
        <v>629.91999999999996</v>
      </c>
      <c r="X296" s="4">
        <f>IF(ISERROR(VLOOKUP($U$296,'TAR FIN'!$A$1:$O$85,15,0)),0,VLOOKUP($U$296,'TAR FIN'!$A$1:$O$85,15,0))</f>
        <v>208.2</v>
      </c>
      <c r="Y296" s="4"/>
      <c r="Z296" s="4">
        <f ca="1">('TUSD BE'!$AM$23+'TUSD BF'!$AM$23+'TUSD CVA'!$AM$23-('TUSD BE'!$P$23+'TUSD BF'!$P$23+'TUSD CVA'!$P$23)-('TUSD BE'!$Q$23+'TUSD BF'!$Q$23+'TUSD CVA'!$Q$23)-('TUSD BE'!$R$23+'TUSD BF'!$R$23+'TUSD CVA'!$R$23))*(1-CUSTOS!$M$36)</f>
        <v>754.01740444444249</v>
      </c>
      <c r="AA296" s="4">
        <f>('TE BE'!$AA$14+'TE BF'!$AA$14+'TE CVA'!$AA$14)*(1-CUSTOS!$M$36)</f>
        <v>234.72282777770056</v>
      </c>
      <c r="AB296" s="4">
        <f>$K$296*$V$296</f>
        <v>0</v>
      </c>
      <c r="AC296" s="4">
        <f>$M$296*$W$296</f>
        <v>10380.451679999998</v>
      </c>
      <c r="AD296" s="4">
        <f>$O$296*$X$296</f>
        <v>3430.9277999999995</v>
      </c>
      <c r="AE296" s="4">
        <f>$K$296*$Y$296</f>
        <v>0</v>
      </c>
      <c r="AF296" s="4">
        <f ca="1">$M$296*$Z$296</f>
        <v>12425.452807839967</v>
      </c>
      <c r="AG296" s="4">
        <f>$O$296*$AA$296</f>
        <v>3867.9974789487273</v>
      </c>
    </row>
    <row r="297" spans="1:33" ht="11.25" customHeight="1" x14ac:dyDescent="0.25">
      <c r="A297" s="3" t="s">
        <v>21</v>
      </c>
      <c r="B297" s="3" t="s">
        <v>22</v>
      </c>
      <c r="C297" s="3" t="s">
        <v>23</v>
      </c>
      <c r="D297" s="3" t="s">
        <v>24</v>
      </c>
      <c r="E297" s="3" t="s">
        <v>31</v>
      </c>
      <c r="F297" s="3" t="s">
        <v>25</v>
      </c>
      <c r="G297" s="3" t="s">
        <v>25</v>
      </c>
      <c r="H297" s="3" t="s">
        <v>25</v>
      </c>
      <c r="I297" s="6">
        <v>44409</v>
      </c>
      <c r="J297" s="4">
        <v>0</v>
      </c>
      <c r="K297" s="4">
        <v>0</v>
      </c>
      <c r="L297" s="4">
        <v>17.085999999999999</v>
      </c>
      <c r="M297" s="4">
        <v>17.085999999999999</v>
      </c>
      <c r="N297" s="4">
        <v>17.085999999999999</v>
      </c>
      <c r="O297" s="4">
        <v>17.085999999999999</v>
      </c>
      <c r="P297" s="4">
        <v>262</v>
      </c>
      <c r="Q297" s="3" t="s">
        <v>26</v>
      </c>
      <c r="R297" s="3">
        <v>0</v>
      </c>
      <c r="S297" s="4">
        <v>0</v>
      </c>
      <c r="T297" s="4">
        <v>31</v>
      </c>
      <c r="U297" s="4">
        <v>46</v>
      </c>
      <c r="V297" s="4">
        <f>IF(ISERROR(VLOOKUP($S$297,'TAR FIN'!$A$1:$O$85,15,0)),0,VLOOKUP($S$297,'TAR FIN'!$A$1:$O$85,15,0))</f>
        <v>0</v>
      </c>
      <c r="W297" s="4">
        <f>IF(ISERROR(VLOOKUP($T$297,'TAR FIN'!$A$1:$O$85,15,0)),0,VLOOKUP($T$297,'TAR FIN'!$A$1:$O$85,15,0))</f>
        <v>629.91999999999996</v>
      </c>
      <c r="X297" s="4">
        <f>IF(ISERROR(VLOOKUP($U$297,'TAR FIN'!$A$1:$O$85,15,0)),0,VLOOKUP($U$297,'TAR FIN'!$A$1:$O$85,15,0))</f>
        <v>208.2</v>
      </c>
      <c r="Y297" s="4"/>
      <c r="Z297" s="4">
        <f ca="1">('TUSD BE'!$AM$23+'TUSD BF'!$AM$23+'TUSD CVA'!$AM$23-('TUSD BE'!$P$23+'TUSD BF'!$P$23+'TUSD CVA'!$P$23)-('TUSD BE'!$Q$23+'TUSD BF'!$Q$23+'TUSD CVA'!$Q$23)-('TUSD BE'!$R$23+'TUSD BF'!$R$23+'TUSD CVA'!$R$23))*(1-CUSTOS!$M$36)</f>
        <v>754.01740444444249</v>
      </c>
      <c r="AA297" s="4">
        <f>('TE BE'!$AA$14+'TE BF'!$AA$14+'TE CVA'!$AA$14)*(1-CUSTOS!$M$36)</f>
        <v>234.72282777770056</v>
      </c>
      <c r="AB297" s="4">
        <f>$K$297*$V$297</f>
        <v>0</v>
      </c>
      <c r="AC297" s="4">
        <f>$M$297*$W$297</f>
        <v>10762.813119999999</v>
      </c>
      <c r="AD297" s="4">
        <f>$O$297*$X$297</f>
        <v>3557.3051999999993</v>
      </c>
      <c r="AE297" s="4">
        <f>$K$297*$Y$297</f>
        <v>0</v>
      </c>
      <c r="AF297" s="4">
        <f ca="1">$M$297*$Z$297</f>
        <v>12883.141372337743</v>
      </c>
      <c r="AG297" s="4">
        <f>$O$297*$AA$297</f>
        <v>4010.4742354097916</v>
      </c>
    </row>
    <row r="298" spans="1:33" ht="11.25" customHeight="1" x14ac:dyDescent="0.25">
      <c r="A298" s="3" t="s">
        <v>28</v>
      </c>
      <c r="B298" s="3" t="s">
        <v>22</v>
      </c>
      <c r="C298" s="3" t="s">
        <v>23</v>
      </c>
      <c r="D298" s="3" t="s">
        <v>24</v>
      </c>
      <c r="E298" s="3" t="s">
        <v>31</v>
      </c>
      <c r="F298" s="3" t="s">
        <v>25</v>
      </c>
      <c r="G298" s="3" t="s">
        <v>25</v>
      </c>
      <c r="H298" s="3" t="s">
        <v>25</v>
      </c>
      <c r="I298" s="6">
        <v>44409</v>
      </c>
      <c r="J298" s="4">
        <v>0</v>
      </c>
      <c r="K298" s="4">
        <v>0</v>
      </c>
      <c r="L298" s="4">
        <v>0.03</v>
      </c>
      <c r="M298" s="4">
        <v>0.03</v>
      </c>
      <c r="N298" s="4">
        <v>0.03</v>
      </c>
      <c r="O298" s="4">
        <v>0.03</v>
      </c>
      <c r="P298" s="4">
        <v>1</v>
      </c>
      <c r="Q298" s="3" t="s">
        <v>26</v>
      </c>
      <c r="R298" s="3">
        <v>0</v>
      </c>
      <c r="S298" s="4">
        <v>0</v>
      </c>
      <c r="T298" s="4">
        <v>31</v>
      </c>
      <c r="U298" s="4">
        <v>46</v>
      </c>
      <c r="V298" s="4">
        <f>IF(ISERROR(VLOOKUP($S$298,'TAR FIN'!$A$1:$O$85,15,0)),0,VLOOKUP($S$298,'TAR FIN'!$A$1:$O$85,15,0))</f>
        <v>0</v>
      </c>
      <c r="W298" s="4">
        <f>IF(ISERROR(VLOOKUP($T$298,'TAR FIN'!$A$1:$O$85,15,0)),0,VLOOKUP($T$298,'TAR FIN'!$A$1:$O$85,15,0))</f>
        <v>629.91999999999996</v>
      </c>
      <c r="X298" s="4">
        <f>IF(ISERROR(VLOOKUP($U$298,'TAR FIN'!$A$1:$O$85,15,0)),0,VLOOKUP($U$298,'TAR FIN'!$A$1:$O$85,15,0))</f>
        <v>208.2</v>
      </c>
      <c r="Y298" s="4"/>
      <c r="Z298" s="4">
        <f ca="1">('TUSD BE'!$AM$23+'TUSD BF'!$AM$23+'TUSD CVA'!$AM$23-('TUSD BE'!$P$23+'TUSD BF'!$P$23+'TUSD CVA'!$P$23)-('TUSD BE'!$Q$23+'TUSD BF'!$Q$23+'TUSD CVA'!$Q$23)-('TUSD BE'!$R$23+'TUSD BF'!$R$23+'TUSD CVA'!$R$23))*(1-CUSTOS!$M$36)</f>
        <v>754.01740444444249</v>
      </c>
      <c r="AA298" s="4">
        <f>('TE BE'!$AA$14+'TE BF'!$AA$14+'TE CVA'!$AA$14)*(1-CUSTOS!$M$36)</f>
        <v>234.72282777770056</v>
      </c>
      <c r="AB298" s="4">
        <f>$K$298*$V$298</f>
        <v>0</v>
      </c>
      <c r="AC298" s="4">
        <f>$M$298*$W$298</f>
        <v>18.897599999999997</v>
      </c>
      <c r="AD298" s="4">
        <f>$O$298*$X$298</f>
        <v>6.2459999999999996</v>
      </c>
      <c r="AE298" s="4">
        <f>$K$298*$Y$298</f>
        <v>0</v>
      </c>
      <c r="AF298" s="4">
        <f ca="1">$M$298*$Z$298</f>
        <v>22.620522133333274</v>
      </c>
      <c r="AG298" s="4">
        <f>$O$298*$AA$298</f>
        <v>7.0416848333310167</v>
      </c>
    </row>
    <row r="299" spans="1:33" ht="11.25" customHeight="1" x14ac:dyDescent="0.25">
      <c r="A299" s="3" t="s">
        <v>21</v>
      </c>
      <c r="B299" s="3" t="s">
        <v>22</v>
      </c>
      <c r="C299" s="3" t="s">
        <v>23</v>
      </c>
      <c r="D299" s="3" t="s">
        <v>24</v>
      </c>
      <c r="E299" s="3" t="s">
        <v>31</v>
      </c>
      <c r="F299" s="3" t="s">
        <v>25</v>
      </c>
      <c r="G299" s="3" t="s">
        <v>25</v>
      </c>
      <c r="H299" s="3" t="s">
        <v>25</v>
      </c>
      <c r="I299" s="6">
        <v>44440</v>
      </c>
      <c r="J299" s="4">
        <v>0</v>
      </c>
      <c r="K299" s="4">
        <v>0</v>
      </c>
      <c r="L299" s="4">
        <v>25.048999999999999</v>
      </c>
      <c r="M299" s="4">
        <v>25.048999999999999</v>
      </c>
      <c r="N299" s="4">
        <v>25.048999999999999</v>
      </c>
      <c r="O299" s="4">
        <v>25.048999999999999</v>
      </c>
      <c r="P299" s="4">
        <v>303</v>
      </c>
      <c r="Q299" s="3" t="s">
        <v>26</v>
      </c>
      <c r="R299" s="3">
        <v>0</v>
      </c>
      <c r="S299" s="4">
        <v>0</v>
      </c>
      <c r="T299" s="4">
        <v>31</v>
      </c>
      <c r="U299" s="4">
        <v>46</v>
      </c>
      <c r="V299" s="4">
        <f>IF(ISERROR(VLOOKUP($S$299,'TAR FIN'!$A$1:$O$85,15,0)),0,VLOOKUP($S$299,'TAR FIN'!$A$1:$O$85,15,0))</f>
        <v>0</v>
      </c>
      <c r="W299" s="4">
        <f>IF(ISERROR(VLOOKUP($T$299,'TAR FIN'!$A$1:$O$85,15,0)),0,VLOOKUP($T$299,'TAR FIN'!$A$1:$O$85,15,0))</f>
        <v>629.91999999999996</v>
      </c>
      <c r="X299" s="4">
        <f>IF(ISERROR(VLOOKUP($U$299,'TAR FIN'!$A$1:$O$85,15,0)),0,VLOOKUP($U$299,'TAR FIN'!$A$1:$O$85,15,0))</f>
        <v>208.2</v>
      </c>
      <c r="Y299" s="4"/>
      <c r="Z299" s="4">
        <f ca="1">('TUSD BE'!$AM$23+'TUSD BF'!$AM$23+'TUSD CVA'!$AM$23-('TUSD BE'!$P$23+'TUSD BF'!$P$23+'TUSD CVA'!$P$23)-('TUSD BE'!$Q$23+'TUSD BF'!$Q$23+'TUSD CVA'!$Q$23)-('TUSD BE'!$R$23+'TUSD BF'!$R$23+'TUSD CVA'!$R$23))*(1-CUSTOS!$M$36)</f>
        <v>754.01740444444249</v>
      </c>
      <c r="AA299" s="4">
        <f>('TE BE'!$AA$14+'TE BF'!$AA$14+'TE CVA'!$AA$14)*(1-CUSTOS!$M$36)</f>
        <v>234.72282777770056</v>
      </c>
      <c r="AB299" s="4">
        <f>$K$299*$V$299</f>
        <v>0</v>
      </c>
      <c r="AC299" s="4">
        <f>$M$299*$W$299</f>
        <v>15778.866079999998</v>
      </c>
      <c r="AD299" s="4">
        <f>$O$299*$X$299</f>
        <v>5215.2017999999998</v>
      </c>
      <c r="AE299" s="4">
        <f>$K$299*$Y$299</f>
        <v>0</v>
      </c>
      <c r="AF299" s="4">
        <f ca="1">$M$299*$Z$299</f>
        <v>18887.381963928841</v>
      </c>
      <c r="AG299" s="4">
        <f>$O$299*$AA$299</f>
        <v>5879.5721130036209</v>
      </c>
    </row>
    <row r="300" spans="1:33" ht="11.25" customHeight="1" x14ac:dyDescent="0.25">
      <c r="A300" s="3" t="s">
        <v>21</v>
      </c>
      <c r="B300" s="3" t="s">
        <v>22</v>
      </c>
      <c r="C300" s="3" t="s">
        <v>23</v>
      </c>
      <c r="D300" s="3" t="s">
        <v>24</v>
      </c>
      <c r="E300" s="3" t="s">
        <v>31</v>
      </c>
      <c r="F300" s="3" t="s">
        <v>25</v>
      </c>
      <c r="G300" s="3" t="s">
        <v>25</v>
      </c>
      <c r="H300" s="3" t="s">
        <v>25</v>
      </c>
      <c r="I300" s="6">
        <v>44470</v>
      </c>
      <c r="J300" s="4">
        <v>0</v>
      </c>
      <c r="K300" s="4">
        <v>0</v>
      </c>
      <c r="L300" s="4">
        <v>25.533000000000001</v>
      </c>
      <c r="M300" s="4">
        <v>25.533000000000001</v>
      </c>
      <c r="N300" s="4">
        <v>25.533000000000001</v>
      </c>
      <c r="O300" s="4">
        <v>25.533000000000001</v>
      </c>
      <c r="P300" s="4">
        <v>343</v>
      </c>
      <c r="Q300" s="3" t="s">
        <v>26</v>
      </c>
      <c r="R300" s="3">
        <v>0</v>
      </c>
      <c r="S300" s="4">
        <v>0</v>
      </c>
      <c r="T300" s="4">
        <v>31</v>
      </c>
      <c r="U300" s="4">
        <v>46</v>
      </c>
      <c r="V300" s="4">
        <f>IF(ISERROR(VLOOKUP($S$300,'TAR FIN'!$A$1:$O$85,15,0)),0,VLOOKUP($S$300,'TAR FIN'!$A$1:$O$85,15,0))</f>
        <v>0</v>
      </c>
      <c r="W300" s="4">
        <f>IF(ISERROR(VLOOKUP($T$300,'TAR FIN'!$A$1:$O$85,15,0)),0,VLOOKUP($T$300,'TAR FIN'!$A$1:$O$85,15,0))</f>
        <v>629.91999999999996</v>
      </c>
      <c r="X300" s="4">
        <f>IF(ISERROR(VLOOKUP($U$300,'TAR FIN'!$A$1:$O$85,15,0)),0,VLOOKUP($U$300,'TAR FIN'!$A$1:$O$85,15,0))</f>
        <v>208.2</v>
      </c>
      <c r="Y300" s="4"/>
      <c r="Z300" s="4">
        <f ca="1">('TUSD BE'!$AM$23+'TUSD BF'!$AM$23+'TUSD CVA'!$AM$23-('TUSD BE'!$P$23+'TUSD BF'!$P$23+'TUSD CVA'!$P$23)-('TUSD BE'!$Q$23+'TUSD BF'!$Q$23+'TUSD CVA'!$Q$23)-('TUSD BE'!$R$23+'TUSD BF'!$R$23+'TUSD CVA'!$R$23))*(1-CUSTOS!$M$36)</f>
        <v>754.01740444444249</v>
      </c>
      <c r="AA300" s="4">
        <f>('TE BE'!$AA$14+'TE BF'!$AA$14+'TE CVA'!$AA$14)*(1-CUSTOS!$M$36)</f>
        <v>234.72282777770056</v>
      </c>
      <c r="AB300" s="4">
        <f>$K$300*$V$300</f>
        <v>0</v>
      </c>
      <c r="AC300" s="4">
        <f>$M$300*$W$300</f>
        <v>16083.747359999999</v>
      </c>
      <c r="AD300" s="4">
        <f>$O$300*$X$300</f>
        <v>5315.9705999999996</v>
      </c>
      <c r="AE300" s="4">
        <f>$K$300*$Y$300</f>
        <v>0</v>
      </c>
      <c r="AF300" s="4">
        <f ca="1">$M$300*$Z$300</f>
        <v>19252.32638767995</v>
      </c>
      <c r="AG300" s="4">
        <f>$O$300*$AA$300</f>
        <v>5993.1779616480289</v>
      </c>
    </row>
    <row r="301" spans="1:33" ht="11.25" customHeight="1" x14ac:dyDescent="0.25">
      <c r="A301" s="3" t="s">
        <v>21</v>
      </c>
      <c r="B301" s="3" t="s">
        <v>22</v>
      </c>
      <c r="C301" s="3" t="s">
        <v>23</v>
      </c>
      <c r="D301" s="3" t="s">
        <v>24</v>
      </c>
      <c r="E301" s="3" t="s">
        <v>31</v>
      </c>
      <c r="F301" s="3" t="s">
        <v>25</v>
      </c>
      <c r="G301" s="3" t="s">
        <v>25</v>
      </c>
      <c r="H301" s="3" t="s">
        <v>25</v>
      </c>
      <c r="I301" s="6">
        <v>44501</v>
      </c>
      <c r="J301" s="4">
        <v>0</v>
      </c>
      <c r="K301" s="4">
        <v>0</v>
      </c>
      <c r="L301" s="4">
        <v>26.920999999999999</v>
      </c>
      <c r="M301" s="4">
        <v>26.920999999999999</v>
      </c>
      <c r="N301" s="4">
        <v>26.920999999999999</v>
      </c>
      <c r="O301" s="4">
        <v>26.920999999999999</v>
      </c>
      <c r="P301" s="4">
        <v>352</v>
      </c>
      <c r="Q301" s="3" t="s">
        <v>26</v>
      </c>
      <c r="R301" s="3">
        <v>0</v>
      </c>
      <c r="S301" s="4">
        <v>0</v>
      </c>
      <c r="T301" s="4">
        <v>31</v>
      </c>
      <c r="U301" s="4">
        <v>46</v>
      </c>
      <c r="V301" s="4">
        <f>IF(ISERROR(VLOOKUP($S$301,'TAR FIN'!$A$1:$O$85,15,0)),0,VLOOKUP($S$301,'TAR FIN'!$A$1:$O$85,15,0))</f>
        <v>0</v>
      </c>
      <c r="W301" s="4">
        <f>IF(ISERROR(VLOOKUP($T$301,'TAR FIN'!$A$1:$O$85,15,0)),0,VLOOKUP($T$301,'TAR FIN'!$A$1:$O$85,15,0))</f>
        <v>629.91999999999996</v>
      </c>
      <c r="X301" s="4">
        <f>IF(ISERROR(VLOOKUP($U$301,'TAR FIN'!$A$1:$O$85,15,0)),0,VLOOKUP($U$301,'TAR FIN'!$A$1:$O$85,15,0))</f>
        <v>208.2</v>
      </c>
      <c r="Y301" s="4"/>
      <c r="Z301" s="4">
        <f ca="1">('TUSD BE'!$AM$23+'TUSD BF'!$AM$23+'TUSD CVA'!$AM$23-('TUSD BE'!$P$23+'TUSD BF'!$P$23+'TUSD CVA'!$P$23)-('TUSD BE'!$Q$23+'TUSD BF'!$Q$23+'TUSD CVA'!$Q$23)-('TUSD BE'!$R$23+'TUSD BF'!$R$23+'TUSD CVA'!$R$23))*(1-CUSTOS!$M$36)</f>
        <v>754.01740444444249</v>
      </c>
      <c r="AA301" s="4">
        <f>('TE BE'!$AA$14+'TE BF'!$AA$14+'TE CVA'!$AA$14)*(1-CUSTOS!$M$36)</f>
        <v>234.72282777770056</v>
      </c>
      <c r="AB301" s="4">
        <f>$K$301*$V$301</f>
        <v>0</v>
      </c>
      <c r="AC301" s="4">
        <f>$M$301*$W$301</f>
        <v>16958.07632</v>
      </c>
      <c r="AD301" s="4">
        <f>$O$301*$X$301</f>
        <v>5604.9521999999997</v>
      </c>
      <c r="AE301" s="4">
        <f>$K$301*$Y$301</f>
        <v>0</v>
      </c>
      <c r="AF301" s="4">
        <f ca="1">$M$301*$Z$301</f>
        <v>20298.902545048837</v>
      </c>
      <c r="AG301" s="4">
        <f>$O$301*$AA$301</f>
        <v>6318.9732466034766</v>
      </c>
    </row>
    <row r="302" spans="1:33" ht="11.25" customHeight="1" x14ac:dyDescent="0.25">
      <c r="A302" s="3" t="s">
        <v>21</v>
      </c>
      <c r="B302" s="3" t="s">
        <v>22</v>
      </c>
      <c r="C302" s="3" t="s">
        <v>23</v>
      </c>
      <c r="D302" s="3" t="s">
        <v>24</v>
      </c>
      <c r="E302" s="3" t="s">
        <v>31</v>
      </c>
      <c r="F302" s="3" t="s">
        <v>25</v>
      </c>
      <c r="G302" s="3" t="s">
        <v>25</v>
      </c>
      <c r="H302" s="3" t="s">
        <v>25</v>
      </c>
      <c r="I302" s="6">
        <v>44531</v>
      </c>
      <c r="J302" s="4">
        <v>0</v>
      </c>
      <c r="K302" s="4">
        <v>0</v>
      </c>
      <c r="L302" s="4">
        <v>30.305</v>
      </c>
      <c r="M302" s="4">
        <v>30.305</v>
      </c>
      <c r="N302" s="4">
        <v>30.305</v>
      </c>
      <c r="O302" s="4">
        <v>30.305</v>
      </c>
      <c r="P302" s="4">
        <v>388</v>
      </c>
      <c r="Q302" s="3" t="s">
        <v>26</v>
      </c>
      <c r="R302" s="3">
        <v>0</v>
      </c>
      <c r="S302" s="4">
        <v>0</v>
      </c>
      <c r="T302" s="4">
        <v>31</v>
      </c>
      <c r="U302" s="4">
        <v>46</v>
      </c>
      <c r="V302" s="4">
        <f>IF(ISERROR(VLOOKUP($S$302,'TAR FIN'!$A$1:$O$85,15,0)),0,VLOOKUP($S$302,'TAR FIN'!$A$1:$O$85,15,0))</f>
        <v>0</v>
      </c>
      <c r="W302" s="4">
        <f>IF(ISERROR(VLOOKUP($T$302,'TAR FIN'!$A$1:$O$85,15,0)),0,VLOOKUP($T$302,'TAR FIN'!$A$1:$O$85,15,0))</f>
        <v>629.91999999999996</v>
      </c>
      <c r="X302" s="4">
        <f>IF(ISERROR(VLOOKUP($U$302,'TAR FIN'!$A$1:$O$85,15,0)),0,VLOOKUP($U$302,'TAR FIN'!$A$1:$O$85,15,0))</f>
        <v>208.2</v>
      </c>
      <c r="Y302" s="4"/>
      <c r="Z302" s="4">
        <f ca="1">('TUSD BE'!$AM$23+'TUSD BF'!$AM$23+'TUSD CVA'!$AM$23-('TUSD BE'!$P$23+'TUSD BF'!$P$23+'TUSD CVA'!$P$23)-('TUSD BE'!$Q$23+'TUSD BF'!$Q$23+'TUSD CVA'!$Q$23)-('TUSD BE'!$R$23+'TUSD BF'!$R$23+'TUSD CVA'!$R$23))*(1-CUSTOS!$M$36)</f>
        <v>754.01740444444249</v>
      </c>
      <c r="AA302" s="4">
        <f>('TE BE'!$AA$14+'TE BF'!$AA$14+'TE CVA'!$AA$14)*(1-CUSTOS!$M$36)</f>
        <v>234.72282777770056</v>
      </c>
      <c r="AB302" s="4">
        <f>$K$302*$V$302</f>
        <v>0</v>
      </c>
      <c r="AC302" s="4">
        <f>$M$302*$W$302</f>
        <v>19089.725599999998</v>
      </c>
      <c r="AD302" s="4">
        <f>$O$302*$X$302</f>
        <v>6309.5009999999993</v>
      </c>
      <c r="AE302" s="4">
        <f>$K$302*$Y$302</f>
        <v>0</v>
      </c>
      <c r="AF302" s="4">
        <f ca="1">$M$302*$Z$302</f>
        <v>22850.497441688829</v>
      </c>
      <c r="AG302" s="4">
        <f>$O$302*$AA$302</f>
        <v>7113.2752958032152</v>
      </c>
    </row>
    <row r="303" spans="1:33" ht="11.25" customHeight="1" x14ac:dyDescent="0.25">
      <c r="A303" s="3" t="s">
        <v>21</v>
      </c>
      <c r="B303" s="3" t="s">
        <v>22</v>
      </c>
      <c r="C303" s="3" t="s">
        <v>23</v>
      </c>
      <c r="D303" s="3" t="s">
        <v>24</v>
      </c>
      <c r="E303" s="3" t="s">
        <v>31</v>
      </c>
      <c r="F303" s="3" t="s">
        <v>25</v>
      </c>
      <c r="G303" s="3" t="s">
        <v>25</v>
      </c>
      <c r="H303" s="3" t="s">
        <v>25</v>
      </c>
      <c r="I303" s="6">
        <v>44562</v>
      </c>
      <c r="J303" s="4">
        <v>0</v>
      </c>
      <c r="K303" s="4">
        <v>0</v>
      </c>
      <c r="L303" s="4">
        <v>38.073</v>
      </c>
      <c r="M303" s="4">
        <v>38.073</v>
      </c>
      <c r="N303" s="4">
        <v>38.073</v>
      </c>
      <c r="O303" s="4">
        <v>38.073</v>
      </c>
      <c r="P303" s="4">
        <v>382</v>
      </c>
      <c r="Q303" s="3" t="s">
        <v>26</v>
      </c>
      <c r="R303" s="3">
        <v>0</v>
      </c>
      <c r="S303" s="4">
        <v>0</v>
      </c>
      <c r="T303" s="4">
        <v>31</v>
      </c>
      <c r="U303" s="4">
        <v>46</v>
      </c>
      <c r="V303" s="4">
        <f>IF(ISERROR(VLOOKUP($S$303,'TAR FIN'!$A$1:$O$85,15,0)),0,VLOOKUP($S$303,'TAR FIN'!$A$1:$O$85,15,0))</f>
        <v>0</v>
      </c>
      <c r="W303" s="4">
        <f>IF(ISERROR(VLOOKUP($T$303,'TAR FIN'!$A$1:$O$85,15,0)),0,VLOOKUP($T$303,'TAR FIN'!$A$1:$O$85,15,0))</f>
        <v>629.91999999999996</v>
      </c>
      <c r="X303" s="4">
        <f>IF(ISERROR(VLOOKUP($U$303,'TAR FIN'!$A$1:$O$85,15,0)),0,VLOOKUP($U$303,'TAR FIN'!$A$1:$O$85,15,0))</f>
        <v>208.2</v>
      </c>
      <c r="Y303" s="4"/>
      <c r="Z303" s="4">
        <f ca="1">('TUSD BE'!$AM$23+'TUSD BF'!$AM$23+'TUSD CVA'!$AM$23-('TUSD BE'!$P$23+'TUSD BF'!$P$23+'TUSD CVA'!$P$23)-('TUSD BE'!$Q$23+'TUSD BF'!$Q$23+'TUSD CVA'!$Q$23)-('TUSD BE'!$R$23+'TUSD BF'!$R$23+'TUSD CVA'!$R$23))*(1-CUSTOS!$M$36)</f>
        <v>754.01740444444249</v>
      </c>
      <c r="AA303" s="4">
        <f>('TE BE'!$AA$14+'TE BF'!$AA$14+'TE CVA'!$AA$14)*(1-CUSTOS!$M$36)</f>
        <v>234.72282777770056</v>
      </c>
      <c r="AB303" s="4">
        <f>$K$303*$V$303</f>
        <v>0</v>
      </c>
      <c r="AC303" s="4">
        <f>$M$303*$W$303</f>
        <v>23982.944159999999</v>
      </c>
      <c r="AD303" s="4">
        <f>$O$303*$X$303</f>
        <v>7926.7986000000001</v>
      </c>
      <c r="AE303" s="4">
        <f>$K$303*$Y$303</f>
        <v>0</v>
      </c>
      <c r="AF303" s="4">
        <f ca="1">$M$303*$Z$303</f>
        <v>28707.704639413259</v>
      </c>
      <c r="AG303" s="4">
        <f>$O$303*$AA$303</f>
        <v>8936.6022219803926</v>
      </c>
    </row>
    <row r="304" spans="1:33" ht="11.25" customHeight="1" x14ac:dyDescent="0.25">
      <c r="A304" s="3" t="s">
        <v>21</v>
      </c>
      <c r="B304" s="3" t="s">
        <v>22</v>
      </c>
      <c r="C304" s="3" t="s">
        <v>23</v>
      </c>
      <c r="D304" s="3" t="s">
        <v>24</v>
      </c>
      <c r="E304" s="3" t="s">
        <v>31</v>
      </c>
      <c r="F304" s="3" t="s">
        <v>25</v>
      </c>
      <c r="G304" s="3" t="s">
        <v>25</v>
      </c>
      <c r="H304" s="3" t="s">
        <v>25</v>
      </c>
      <c r="I304" s="6">
        <v>44593</v>
      </c>
      <c r="J304" s="4">
        <v>0</v>
      </c>
      <c r="K304" s="4">
        <v>0</v>
      </c>
      <c r="L304" s="4">
        <v>44.082000000000001</v>
      </c>
      <c r="M304" s="4">
        <v>44.082000000000001</v>
      </c>
      <c r="N304" s="4">
        <v>44.082000000000001</v>
      </c>
      <c r="O304" s="4">
        <v>44.082000000000001</v>
      </c>
      <c r="P304" s="4">
        <v>375</v>
      </c>
      <c r="Q304" s="3" t="s">
        <v>26</v>
      </c>
      <c r="R304" s="3">
        <v>0</v>
      </c>
      <c r="S304" s="4">
        <v>0</v>
      </c>
      <c r="T304" s="4">
        <v>31</v>
      </c>
      <c r="U304" s="4">
        <v>46</v>
      </c>
      <c r="V304" s="4">
        <f>IF(ISERROR(VLOOKUP($S$304,'TAR FIN'!$A$1:$O$85,15,0)),0,VLOOKUP($S$304,'TAR FIN'!$A$1:$O$85,15,0))</f>
        <v>0</v>
      </c>
      <c r="W304" s="4">
        <f>IF(ISERROR(VLOOKUP($T$304,'TAR FIN'!$A$1:$O$85,15,0)),0,VLOOKUP($T$304,'TAR FIN'!$A$1:$O$85,15,0))</f>
        <v>629.91999999999996</v>
      </c>
      <c r="X304" s="4">
        <f>IF(ISERROR(VLOOKUP($U$304,'TAR FIN'!$A$1:$O$85,15,0)),0,VLOOKUP($U$304,'TAR FIN'!$A$1:$O$85,15,0))</f>
        <v>208.2</v>
      </c>
      <c r="Y304" s="4"/>
      <c r="Z304" s="4">
        <f ca="1">('TUSD BE'!$AM$23+'TUSD BF'!$AM$23+'TUSD CVA'!$AM$23-('TUSD BE'!$P$23+'TUSD BF'!$P$23+'TUSD CVA'!$P$23)-('TUSD BE'!$Q$23+'TUSD BF'!$Q$23+'TUSD CVA'!$Q$23)-('TUSD BE'!$R$23+'TUSD BF'!$R$23+'TUSD CVA'!$R$23))*(1-CUSTOS!$M$36)</f>
        <v>754.01740444444249</v>
      </c>
      <c r="AA304" s="4">
        <f>('TE BE'!$AA$14+'TE BF'!$AA$14+'TE CVA'!$AA$14)*(1-CUSTOS!$M$36)</f>
        <v>234.72282777770056</v>
      </c>
      <c r="AB304" s="4">
        <f>$K$304*$V$304</f>
        <v>0</v>
      </c>
      <c r="AC304" s="4">
        <f>$M$304*$W$304</f>
        <v>27768.133439999998</v>
      </c>
      <c r="AD304" s="4">
        <f>$O$304*$X$304</f>
        <v>9177.8724000000002</v>
      </c>
      <c r="AE304" s="4">
        <f>$K$304*$Y$304</f>
        <v>0</v>
      </c>
      <c r="AF304" s="4">
        <f ca="1">$M$304*$Z$304</f>
        <v>33238.595222719916</v>
      </c>
      <c r="AG304" s="4">
        <f>$O$304*$AA$304</f>
        <v>10347.051694096595</v>
      </c>
    </row>
    <row r="305" spans="1:33" ht="11.25" customHeight="1" x14ac:dyDescent="0.25">
      <c r="A305" s="3" t="s">
        <v>21</v>
      </c>
      <c r="B305" s="3" t="s">
        <v>22</v>
      </c>
      <c r="C305" s="3" t="s">
        <v>23</v>
      </c>
      <c r="D305" s="3" t="s">
        <v>24</v>
      </c>
      <c r="E305" s="3" t="s">
        <v>31</v>
      </c>
      <c r="F305" s="3" t="s">
        <v>25</v>
      </c>
      <c r="G305" s="3" t="s">
        <v>25</v>
      </c>
      <c r="H305" s="3" t="s">
        <v>25</v>
      </c>
      <c r="I305" s="6">
        <v>44621</v>
      </c>
      <c r="J305" s="4">
        <v>0</v>
      </c>
      <c r="K305" s="4">
        <v>0</v>
      </c>
      <c r="L305" s="4">
        <v>75.691999999999993</v>
      </c>
      <c r="M305" s="4">
        <v>75.691999999999993</v>
      </c>
      <c r="N305" s="4">
        <v>75.691999999999993</v>
      </c>
      <c r="O305" s="4">
        <v>75.691999999999993</v>
      </c>
      <c r="P305" s="4">
        <v>791</v>
      </c>
      <c r="Q305" s="3" t="s">
        <v>26</v>
      </c>
      <c r="R305" s="3">
        <v>0</v>
      </c>
      <c r="S305" s="4">
        <v>0</v>
      </c>
      <c r="T305" s="4">
        <v>31</v>
      </c>
      <c r="U305" s="4">
        <v>46</v>
      </c>
      <c r="V305" s="4">
        <f>IF(ISERROR(VLOOKUP($S$305,'TAR FIN'!$A$1:$O$85,15,0)),0,VLOOKUP($S$305,'TAR FIN'!$A$1:$O$85,15,0))</f>
        <v>0</v>
      </c>
      <c r="W305" s="4">
        <f>IF(ISERROR(VLOOKUP($T$305,'TAR FIN'!$A$1:$O$85,15,0)),0,VLOOKUP($T$305,'TAR FIN'!$A$1:$O$85,15,0))</f>
        <v>629.91999999999996</v>
      </c>
      <c r="X305" s="4">
        <f>IF(ISERROR(VLOOKUP($U$305,'TAR FIN'!$A$1:$O$85,15,0)),0,VLOOKUP($U$305,'TAR FIN'!$A$1:$O$85,15,0))</f>
        <v>208.2</v>
      </c>
      <c r="Y305" s="4"/>
      <c r="Z305" s="4">
        <f ca="1">('TUSD BE'!$AM$23+'TUSD BF'!$AM$23+'TUSD CVA'!$AM$23-('TUSD BE'!$P$23+'TUSD BF'!$P$23+'TUSD CVA'!$P$23)-('TUSD BE'!$Q$23+'TUSD BF'!$Q$23+'TUSD CVA'!$Q$23)-('TUSD BE'!$R$23+'TUSD BF'!$R$23+'TUSD CVA'!$R$23))*(1-CUSTOS!$M$36)</f>
        <v>754.01740444444249</v>
      </c>
      <c r="AA305" s="4">
        <f>('TE BE'!$AA$14+'TE BF'!$AA$14+'TE CVA'!$AA$14)*(1-CUSTOS!$M$36)</f>
        <v>234.72282777770056</v>
      </c>
      <c r="AB305" s="4">
        <f>$K$305*$V$305</f>
        <v>0</v>
      </c>
      <c r="AC305" s="4">
        <f>$M$305*$W$305</f>
        <v>47679.904639999993</v>
      </c>
      <c r="AD305" s="4">
        <f>$O$305*$X$305</f>
        <v>15759.074399999998</v>
      </c>
      <c r="AE305" s="4">
        <f>$K$305*$Y$305</f>
        <v>0</v>
      </c>
      <c r="AF305" s="4">
        <f ca="1">$M$305*$Z$305</f>
        <v>57073.085377208736</v>
      </c>
      <c r="AG305" s="4">
        <f>$O$305*$AA$305</f>
        <v>17766.64028014971</v>
      </c>
    </row>
    <row r="306" spans="1:33" ht="11.25" customHeight="1" x14ac:dyDescent="0.25">
      <c r="A306" s="3" t="s">
        <v>27</v>
      </c>
      <c r="B306" s="3" t="s">
        <v>22</v>
      </c>
      <c r="C306" s="3" t="s">
        <v>23</v>
      </c>
      <c r="D306" s="3" t="s">
        <v>24</v>
      </c>
      <c r="E306" s="3" t="s">
        <v>31</v>
      </c>
      <c r="F306" s="3" t="s">
        <v>25</v>
      </c>
      <c r="G306" s="3" t="s">
        <v>25</v>
      </c>
      <c r="H306" s="3" t="s">
        <v>25</v>
      </c>
      <c r="I306" s="6">
        <v>44621</v>
      </c>
      <c r="J306" s="4">
        <v>0</v>
      </c>
      <c r="K306" s="4">
        <v>0</v>
      </c>
      <c r="L306" s="4">
        <v>0.115</v>
      </c>
      <c r="M306" s="4">
        <v>0.115</v>
      </c>
      <c r="N306" s="4">
        <v>0.115</v>
      </c>
      <c r="O306" s="4">
        <v>0.115</v>
      </c>
      <c r="P306" s="4">
        <v>0</v>
      </c>
      <c r="Q306" s="3" t="s">
        <v>26</v>
      </c>
      <c r="R306" s="3">
        <v>0</v>
      </c>
      <c r="S306" s="4">
        <v>0</v>
      </c>
      <c r="T306" s="4">
        <v>31</v>
      </c>
      <c r="U306" s="4">
        <v>46</v>
      </c>
      <c r="V306" s="4">
        <f>IF(ISERROR(VLOOKUP($S$306,'TAR FIN'!$A$1:$O$85,15,0)),0,VLOOKUP($S$306,'TAR FIN'!$A$1:$O$85,15,0))</f>
        <v>0</v>
      </c>
      <c r="W306" s="4">
        <f>IF(ISERROR(VLOOKUP($T$306,'TAR FIN'!$A$1:$O$85,15,0)),0,VLOOKUP($T$306,'TAR FIN'!$A$1:$O$85,15,0))</f>
        <v>629.91999999999996</v>
      </c>
      <c r="X306" s="4">
        <f>IF(ISERROR(VLOOKUP($U$306,'TAR FIN'!$A$1:$O$85,15,0)),0,VLOOKUP($U$306,'TAR FIN'!$A$1:$O$85,15,0))</f>
        <v>208.2</v>
      </c>
      <c r="Y306" s="4"/>
      <c r="Z306" s="4">
        <f ca="1">('TUSD BE'!$AM$23+'TUSD BF'!$AM$23+'TUSD CVA'!$AM$23-('TUSD BE'!$P$23+'TUSD BF'!$P$23+'TUSD CVA'!$P$23)-('TUSD BE'!$Q$23+'TUSD BF'!$Q$23+'TUSD CVA'!$Q$23)-('TUSD BE'!$R$23+'TUSD BF'!$R$23+'TUSD CVA'!$R$23))*(1-CUSTOS!$M$36)</f>
        <v>754.01740444444249</v>
      </c>
      <c r="AA306" s="4">
        <f>('TE BE'!$AA$14+'TE BF'!$AA$14+'TE CVA'!$AA$14)*(1-CUSTOS!$M$36)</f>
        <v>234.72282777770056</v>
      </c>
      <c r="AB306" s="4">
        <f>$K$306*$V$306</f>
        <v>0</v>
      </c>
      <c r="AC306" s="4">
        <f>$M$306*$W$306</f>
        <v>72.440799999999996</v>
      </c>
      <c r="AD306" s="4">
        <f>$O$306*$X$306</f>
        <v>23.943000000000001</v>
      </c>
      <c r="AE306" s="4">
        <f>$K$306*$Y$306</f>
        <v>0</v>
      </c>
      <c r="AF306" s="4">
        <f ca="1">$M$306*$Z$306</f>
        <v>86.712001511110884</v>
      </c>
      <c r="AG306" s="4">
        <f>$O$306*$AA$306</f>
        <v>26.993125194435564</v>
      </c>
    </row>
    <row r="307" spans="1:33" ht="11.25" customHeight="1" x14ac:dyDescent="0.25">
      <c r="A307" s="3" t="s">
        <v>21</v>
      </c>
      <c r="B307" s="3" t="s">
        <v>22</v>
      </c>
      <c r="C307" s="3" t="s">
        <v>23</v>
      </c>
      <c r="D307" s="3" t="s">
        <v>24</v>
      </c>
      <c r="E307" s="3" t="s">
        <v>32</v>
      </c>
      <c r="F307" s="3" t="s">
        <v>25</v>
      </c>
      <c r="G307" s="3" t="s">
        <v>25</v>
      </c>
      <c r="H307" s="3" t="s">
        <v>25</v>
      </c>
      <c r="I307" s="6">
        <v>44287</v>
      </c>
      <c r="J307" s="4">
        <v>0</v>
      </c>
      <c r="K307" s="4">
        <v>0</v>
      </c>
      <c r="L307" s="4">
        <v>7.2460000000000004</v>
      </c>
      <c r="M307" s="4">
        <v>7.2460000000000004</v>
      </c>
      <c r="N307" s="4">
        <v>7.2460000000000004</v>
      </c>
      <c r="O307" s="4">
        <v>7.2460000000000004</v>
      </c>
      <c r="P307" s="4">
        <v>95</v>
      </c>
      <c r="Q307" s="3" t="s">
        <v>26</v>
      </c>
      <c r="R307" s="3">
        <v>0</v>
      </c>
      <c r="S307" s="4">
        <v>0</v>
      </c>
      <c r="T307" s="4">
        <v>32</v>
      </c>
      <c r="U307" s="4">
        <v>47</v>
      </c>
      <c r="V307" s="4">
        <f>IF(ISERROR(VLOOKUP($S$307,'TAR FIN'!$A$1:$O$85,15,0)),0,VLOOKUP($S$307,'TAR FIN'!$A$1:$O$85,15,0))</f>
        <v>0</v>
      </c>
      <c r="W307" s="4">
        <f>IF(ISERROR(VLOOKUP($T$307,'TAR FIN'!$A$1:$O$85,15,0)),0,VLOOKUP($T$307,'TAR FIN'!$A$1:$O$85,15,0))</f>
        <v>699.91</v>
      </c>
      <c r="X307" s="4">
        <f>IF(ISERROR(VLOOKUP($U$307,'TAR FIN'!$A$1:$O$85,15,0)),0,VLOOKUP($U$307,'TAR FIN'!$A$1:$O$85,15,0))</f>
        <v>231.33</v>
      </c>
      <c r="Y307" s="4"/>
      <c r="Z307" s="4">
        <f ca="1">('TUSD BE'!$AM$24+'TUSD BF'!$AM$24+'TUSD CVA'!$AM$24-('TUSD BE'!$P$24+'TUSD BF'!$P$24+'TUSD CVA'!$P$24)-('TUSD BE'!$Q$24+'TUSD BF'!$Q$24+'TUSD CVA'!$Q$24)-('TUSD BE'!$R$24+'TUSD BF'!$R$24+'TUSD CVA'!$R$24))*(1-CUSTOS!$M$37)</f>
        <v>837.79711604938052</v>
      </c>
      <c r="AA307" s="4">
        <f>('TE BE'!$AA$15+'TE BF'!$AA$15+'TE CVA'!$AA$15)*(1-CUSTOS!$M$37)</f>
        <v>260.80314197522284</v>
      </c>
      <c r="AB307" s="4">
        <f>$K$307*$V$307</f>
        <v>0</v>
      </c>
      <c r="AC307" s="4">
        <f>$M$307*$W$307</f>
        <v>5071.5478599999997</v>
      </c>
      <c r="AD307" s="4">
        <f>$O$307*$X$307</f>
        <v>1676.2171800000001</v>
      </c>
      <c r="AE307" s="4">
        <f>$K$307*$Y$307</f>
        <v>0</v>
      </c>
      <c r="AF307" s="4">
        <f ca="1">$M$307*$Z$307</f>
        <v>6070.6779028938117</v>
      </c>
      <c r="AG307" s="4">
        <f>$O$307*$AA$307</f>
        <v>1889.7795667524649</v>
      </c>
    </row>
    <row r="308" spans="1:33" ht="11.25" customHeight="1" x14ac:dyDescent="0.25">
      <c r="A308" s="3" t="s">
        <v>21</v>
      </c>
      <c r="B308" s="3" t="s">
        <v>22</v>
      </c>
      <c r="C308" s="3" t="s">
        <v>23</v>
      </c>
      <c r="D308" s="3" t="s">
        <v>24</v>
      </c>
      <c r="E308" s="3" t="s">
        <v>32</v>
      </c>
      <c r="F308" s="3" t="s">
        <v>25</v>
      </c>
      <c r="G308" s="3" t="s">
        <v>25</v>
      </c>
      <c r="H308" s="3" t="s">
        <v>25</v>
      </c>
      <c r="I308" s="6">
        <v>44317</v>
      </c>
      <c r="J308" s="4">
        <v>0</v>
      </c>
      <c r="K308" s="4">
        <v>0</v>
      </c>
      <c r="L308" s="4">
        <v>3.1480000000000001</v>
      </c>
      <c r="M308" s="4">
        <v>3.1480000000000001</v>
      </c>
      <c r="N308" s="4">
        <v>3.1480000000000001</v>
      </c>
      <c r="O308" s="4">
        <v>3.1480000000000001</v>
      </c>
      <c r="P308" s="4">
        <v>52</v>
      </c>
      <c r="Q308" s="3" t="s">
        <v>26</v>
      </c>
      <c r="R308" s="3">
        <v>0</v>
      </c>
      <c r="S308" s="4">
        <v>0</v>
      </c>
      <c r="T308" s="4">
        <v>32</v>
      </c>
      <c r="U308" s="4">
        <v>47</v>
      </c>
      <c r="V308" s="4">
        <f>IF(ISERROR(VLOOKUP($S$308,'TAR FIN'!$A$1:$O$85,15,0)),0,VLOOKUP($S$308,'TAR FIN'!$A$1:$O$85,15,0))</f>
        <v>0</v>
      </c>
      <c r="W308" s="4">
        <f>IF(ISERROR(VLOOKUP($T$308,'TAR FIN'!$A$1:$O$85,15,0)),0,VLOOKUP($T$308,'TAR FIN'!$A$1:$O$85,15,0))</f>
        <v>699.91</v>
      </c>
      <c r="X308" s="4">
        <f>IF(ISERROR(VLOOKUP($U$308,'TAR FIN'!$A$1:$O$85,15,0)),0,VLOOKUP($U$308,'TAR FIN'!$A$1:$O$85,15,0))</f>
        <v>231.33</v>
      </c>
      <c r="Y308" s="4"/>
      <c r="Z308" s="4">
        <f ca="1">('TUSD BE'!$AM$24+'TUSD BF'!$AM$24+'TUSD CVA'!$AM$24-('TUSD BE'!$P$24+'TUSD BF'!$P$24+'TUSD CVA'!$P$24)-('TUSD BE'!$Q$24+'TUSD BF'!$Q$24+'TUSD CVA'!$Q$24)-('TUSD BE'!$R$24+'TUSD BF'!$R$24+'TUSD CVA'!$R$24))*(1-CUSTOS!$M$37)</f>
        <v>837.79711604938052</v>
      </c>
      <c r="AA308" s="4">
        <f>('TE BE'!$AA$15+'TE BF'!$AA$15+'TE CVA'!$AA$15)*(1-CUSTOS!$M$37)</f>
        <v>260.80314197522284</v>
      </c>
      <c r="AB308" s="4">
        <f>$K$308*$V$308</f>
        <v>0</v>
      </c>
      <c r="AC308" s="4">
        <f>$M$308*$W$308</f>
        <v>2203.3166799999999</v>
      </c>
      <c r="AD308" s="4">
        <f>$O$308*$X$308</f>
        <v>728.22684000000004</v>
      </c>
      <c r="AE308" s="4">
        <f>$K$308*$Y$308</f>
        <v>0</v>
      </c>
      <c r="AF308" s="4">
        <f ca="1">$M$308*$Z$308</f>
        <v>2637.3853213234502</v>
      </c>
      <c r="AG308" s="4">
        <f>$O$308*$AA$308</f>
        <v>821.00829093800155</v>
      </c>
    </row>
    <row r="309" spans="1:33" ht="11.25" customHeight="1" x14ac:dyDescent="0.25">
      <c r="A309" s="3" t="s">
        <v>27</v>
      </c>
      <c r="B309" s="3" t="s">
        <v>22</v>
      </c>
      <c r="C309" s="3" t="s">
        <v>23</v>
      </c>
      <c r="D309" s="3" t="s">
        <v>24</v>
      </c>
      <c r="E309" s="3" t="s">
        <v>32</v>
      </c>
      <c r="F309" s="3" t="s">
        <v>25</v>
      </c>
      <c r="G309" s="3" t="s">
        <v>25</v>
      </c>
      <c r="H309" s="3" t="s">
        <v>25</v>
      </c>
      <c r="I309" s="6">
        <v>44317</v>
      </c>
      <c r="J309" s="4">
        <v>0</v>
      </c>
      <c r="K309" s="4">
        <v>0</v>
      </c>
      <c r="L309" s="4">
        <v>0.379</v>
      </c>
      <c r="M309" s="4">
        <v>0.379</v>
      </c>
      <c r="N309" s="4">
        <v>0.379</v>
      </c>
      <c r="O309" s="4">
        <v>0.379</v>
      </c>
      <c r="P309" s="4">
        <v>0</v>
      </c>
      <c r="Q309" s="3" t="s">
        <v>26</v>
      </c>
      <c r="R309" s="3">
        <v>0</v>
      </c>
      <c r="S309" s="4">
        <v>0</v>
      </c>
      <c r="T309" s="4">
        <v>32</v>
      </c>
      <c r="U309" s="4">
        <v>47</v>
      </c>
      <c r="V309" s="4">
        <f>IF(ISERROR(VLOOKUP($S$309,'TAR FIN'!$A$1:$O$85,15,0)),0,VLOOKUP($S$309,'TAR FIN'!$A$1:$O$85,15,0))</f>
        <v>0</v>
      </c>
      <c r="W309" s="4">
        <f>IF(ISERROR(VLOOKUP($T$309,'TAR FIN'!$A$1:$O$85,15,0)),0,VLOOKUP($T$309,'TAR FIN'!$A$1:$O$85,15,0))</f>
        <v>699.91</v>
      </c>
      <c r="X309" s="4">
        <f>IF(ISERROR(VLOOKUP($U$309,'TAR FIN'!$A$1:$O$85,15,0)),0,VLOOKUP($U$309,'TAR FIN'!$A$1:$O$85,15,0))</f>
        <v>231.33</v>
      </c>
      <c r="Y309" s="4"/>
      <c r="Z309" s="4">
        <f ca="1">('TUSD BE'!$AM$24+'TUSD BF'!$AM$24+'TUSD CVA'!$AM$24-('TUSD BE'!$P$24+'TUSD BF'!$P$24+'TUSD CVA'!$P$24)-('TUSD BE'!$Q$24+'TUSD BF'!$Q$24+'TUSD CVA'!$Q$24)-('TUSD BE'!$R$24+'TUSD BF'!$R$24+'TUSD CVA'!$R$24))*(1-CUSTOS!$M$37)</f>
        <v>837.79711604938052</v>
      </c>
      <c r="AA309" s="4">
        <f>('TE BE'!$AA$15+'TE BF'!$AA$15+'TE CVA'!$AA$15)*(1-CUSTOS!$M$37)</f>
        <v>260.80314197522284</v>
      </c>
      <c r="AB309" s="4">
        <f>$K$309*$V$309</f>
        <v>0</v>
      </c>
      <c r="AC309" s="4">
        <f>$M$309*$W$309</f>
        <v>265.26589000000001</v>
      </c>
      <c r="AD309" s="4">
        <f>$O$309*$X$309</f>
        <v>87.67407</v>
      </c>
      <c r="AE309" s="4">
        <f>$K$309*$Y$309</f>
        <v>0</v>
      </c>
      <c r="AF309" s="4">
        <f ca="1">$M$309*$Z$309</f>
        <v>317.52510698271522</v>
      </c>
      <c r="AG309" s="4">
        <f>$O$309*$AA$309</f>
        <v>98.844390808609461</v>
      </c>
    </row>
    <row r="310" spans="1:33" ht="11.25" customHeight="1" x14ac:dyDescent="0.25">
      <c r="A310" s="3" t="s">
        <v>21</v>
      </c>
      <c r="B310" s="3" t="s">
        <v>22</v>
      </c>
      <c r="C310" s="3" t="s">
        <v>23</v>
      </c>
      <c r="D310" s="3" t="s">
        <v>24</v>
      </c>
      <c r="E310" s="3" t="s">
        <v>32</v>
      </c>
      <c r="F310" s="3" t="s">
        <v>25</v>
      </c>
      <c r="G310" s="3" t="s">
        <v>25</v>
      </c>
      <c r="H310" s="3" t="s">
        <v>25</v>
      </c>
      <c r="I310" s="6">
        <v>44348</v>
      </c>
      <c r="J310" s="4">
        <v>0</v>
      </c>
      <c r="K310" s="4">
        <v>0</v>
      </c>
      <c r="L310" s="4">
        <v>3.1019999999999999</v>
      </c>
      <c r="M310" s="4">
        <v>3.1019999999999999</v>
      </c>
      <c r="N310" s="4">
        <v>3.1019999999999999</v>
      </c>
      <c r="O310" s="4">
        <v>3.1019999999999999</v>
      </c>
      <c r="P310" s="4">
        <v>59</v>
      </c>
      <c r="Q310" s="3" t="s">
        <v>26</v>
      </c>
      <c r="R310" s="3">
        <v>0</v>
      </c>
      <c r="S310" s="4">
        <v>0</v>
      </c>
      <c r="T310" s="4">
        <v>32</v>
      </c>
      <c r="U310" s="4">
        <v>47</v>
      </c>
      <c r="V310" s="4">
        <f>IF(ISERROR(VLOOKUP($S$310,'TAR FIN'!$A$1:$O$85,15,0)),0,VLOOKUP($S$310,'TAR FIN'!$A$1:$O$85,15,0))</f>
        <v>0</v>
      </c>
      <c r="W310" s="4">
        <f>IF(ISERROR(VLOOKUP($T$310,'TAR FIN'!$A$1:$O$85,15,0)),0,VLOOKUP($T$310,'TAR FIN'!$A$1:$O$85,15,0))</f>
        <v>699.91</v>
      </c>
      <c r="X310" s="4">
        <f>IF(ISERROR(VLOOKUP($U$310,'TAR FIN'!$A$1:$O$85,15,0)),0,VLOOKUP($U$310,'TAR FIN'!$A$1:$O$85,15,0))</f>
        <v>231.33</v>
      </c>
      <c r="Y310" s="4"/>
      <c r="Z310" s="4">
        <f ca="1">('TUSD BE'!$AM$24+'TUSD BF'!$AM$24+'TUSD CVA'!$AM$24-('TUSD BE'!$P$24+'TUSD BF'!$P$24+'TUSD CVA'!$P$24)-('TUSD BE'!$Q$24+'TUSD BF'!$Q$24+'TUSD CVA'!$Q$24)-('TUSD BE'!$R$24+'TUSD BF'!$R$24+'TUSD CVA'!$R$24))*(1-CUSTOS!$M$37)</f>
        <v>837.79711604938052</v>
      </c>
      <c r="AA310" s="4">
        <f>('TE BE'!$AA$15+'TE BF'!$AA$15+'TE CVA'!$AA$15)*(1-CUSTOS!$M$37)</f>
        <v>260.80314197522284</v>
      </c>
      <c r="AB310" s="4">
        <f>$K$310*$V$310</f>
        <v>0</v>
      </c>
      <c r="AC310" s="4">
        <f>$M$310*$W$310</f>
        <v>2171.1208199999996</v>
      </c>
      <c r="AD310" s="4">
        <f>$O$310*$X$310</f>
        <v>717.58565999999996</v>
      </c>
      <c r="AE310" s="4">
        <f>$K$310*$Y$310</f>
        <v>0</v>
      </c>
      <c r="AF310" s="4">
        <f ca="1">$M$310*$Z$310</f>
        <v>2598.8466539851784</v>
      </c>
      <c r="AG310" s="4">
        <f>$O$310*$AA$310</f>
        <v>809.01134640714122</v>
      </c>
    </row>
    <row r="311" spans="1:33" ht="11.25" customHeight="1" x14ac:dyDescent="0.25">
      <c r="A311" s="3" t="s">
        <v>27</v>
      </c>
      <c r="B311" s="3" t="s">
        <v>22</v>
      </c>
      <c r="C311" s="3" t="s">
        <v>23</v>
      </c>
      <c r="D311" s="3" t="s">
        <v>24</v>
      </c>
      <c r="E311" s="3" t="s">
        <v>32</v>
      </c>
      <c r="F311" s="3" t="s">
        <v>25</v>
      </c>
      <c r="G311" s="3" t="s">
        <v>25</v>
      </c>
      <c r="H311" s="3" t="s">
        <v>25</v>
      </c>
      <c r="I311" s="6">
        <v>44348</v>
      </c>
      <c r="J311" s="4">
        <v>0</v>
      </c>
      <c r="K311" s="4">
        <v>0</v>
      </c>
      <c r="L311" s="4">
        <v>0.26600000000000001</v>
      </c>
      <c r="M311" s="4">
        <v>0.26600000000000001</v>
      </c>
      <c r="N311" s="4">
        <v>0.26600000000000001</v>
      </c>
      <c r="O311" s="4">
        <v>0.26600000000000001</v>
      </c>
      <c r="P311" s="4">
        <v>0</v>
      </c>
      <c r="Q311" s="3" t="s">
        <v>26</v>
      </c>
      <c r="R311" s="3">
        <v>0</v>
      </c>
      <c r="S311" s="4">
        <v>0</v>
      </c>
      <c r="T311" s="4">
        <v>32</v>
      </c>
      <c r="U311" s="4">
        <v>47</v>
      </c>
      <c r="V311" s="4">
        <f>IF(ISERROR(VLOOKUP($S$311,'TAR FIN'!$A$1:$O$85,15,0)),0,VLOOKUP($S$311,'TAR FIN'!$A$1:$O$85,15,0))</f>
        <v>0</v>
      </c>
      <c r="W311" s="4">
        <f>IF(ISERROR(VLOOKUP($T$311,'TAR FIN'!$A$1:$O$85,15,0)),0,VLOOKUP($T$311,'TAR FIN'!$A$1:$O$85,15,0))</f>
        <v>699.91</v>
      </c>
      <c r="X311" s="4">
        <f>IF(ISERROR(VLOOKUP($U$311,'TAR FIN'!$A$1:$O$85,15,0)),0,VLOOKUP($U$311,'TAR FIN'!$A$1:$O$85,15,0))</f>
        <v>231.33</v>
      </c>
      <c r="Y311" s="4"/>
      <c r="Z311" s="4">
        <f ca="1">('TUSD BE'!$AM$24+'TUSD BF'!$AM$24+'TUSD CVA'!$AM$24-('TUSD BE'!$P$24+'TUSD BF'!$P$24+'TUSD CVA'!$P$24)-('TUSD BE'!$Q$24+'TUSD BF'!$Q$24+'TUSD CVA'!$Q$24)-('TUSD BE'!$R$24+'TUSD BF'!$R$24+'TUSD CVA'!$R$24))*(1-CUSTOS!$M$37)</f>
        <v>837.79711604938052</v>
      </c>
      <c r="AA311" s="4">
        <f>('TE BE'!$AA$15+'TE BF'!$AA$15+'TE CVA'!$AA$15)*(1-CUSTOS!$M$37)</f>
        <v>260.80314197522284</v>
      </c>
      <c r="AB311" s="4">
        <f>$K$311*$V$311</f>
        <v>0</v>
      </c>
      <c r="AC311" s="4">
        <f>$M$311*$W$311</f>
        <v>186.17606000000001</v>
      </c>
      <c r="AD311" s="4">
        <f>$O$311*$X$311</f>
        <v>61.533780000000007</v>
      </c>
      <c r="AE311" s="4">
        <f>$K$311*$Y$311</f>
        <v>0</v>
      </c>
      <c r="AF311" s="4">
        <f ca="1">$M$311*$Z$311</f>
        <v>222.85403286913524</v>
      </c>
      <c r="AG311" s="4">
        <f>$O$311*$AA$311</f>
        <v>69.373635765409276</v>
      </c>
    </row>
    <row r="312" spans="1:33" ht="11.25" customHeight="1" x14ac:dyDescent="0.25">
      <c r="A312" s="3" t="s">
        <v>21</v>
      </c>
      <c r="B312" s="3" t="s">
        <v>22</v>
      </c>
      <c r="C312" s="3" t="s">
        <v>23</v>
      </c>
      <c r="D312" s="3" t="s">
        <v>24</v>
      </c>
      <c r="E312" s="3" t="s">
        <v>32</v>
      </c>
      <c r="F312" s="3" t="s">
        <v>25</v>
      </c>
      <c r="G312" s="3" t="s">
        <v>25</v>
      </c>
      <c r="H312" s="3" t="s">
        <v>25</v>
      </c>
      <c r="I312" s="6">
        <v>44378</v>
      </c>
      <c r="J312" s="4">
        <v>0</v>
      </c>
      <c r="K312" s="4">
        <v>0</v>
      </c>
      <c r="L312" s="4">
        <v>2.0070000000000001</v>
      </c>
      <c r="M312" s="4">
        <v>2.0070000000000001</v>
      </c>
      <c r="N312" s="4">
        <v>2.0070000000000001</v>
      </c>
      <c r="O312" s="4">
        <v>2.0070000000000001</v>
      </c>
      <c r="P312" s="4">
        <v>40</v>
      </c>
      <c r="Q312" s="3" t="s">
        <v>26</v>
      </c>
      <c r="R312" s="3">
        <v>0</v>
      </c>
      <c r="S312" s="4">
        <v>0</v>
      </c>
      <c r="T312" s="4">
        <v>32</v>
      </c>
      <c r="U312" s="4">
        <v>47</v>
      </c>
      <c r="V312" s="4">
        <f>IF(ISERROR(VLOOKUP($S$312,'TAR FIN'!$A$1:$O$85,15,0)),0,VLOOKUP($S$312,'TAR FIN'!$A$1:$O$85,15,0))</f>
        <v>0</v>
      </c>
      <c r="W312" s="4">
        <f>IF(ISERROR(VLOOKUP($T$312,'TAR FIN'!$A$1:$O$85,15,0)),0,VLOOKUP($T$312,'TAR FIN'!$A$1:$O$85,15,0))</f>
        <v>699.91</v>
      </c>
      <c r="X312" s="4">
        <f>IF(ISERROR(VLOOKUP($U$312,'TAR FIN'!$A$1:$O$85,15,0)),0,VLOOKUP($U$312,'TAR FIN'!$A$1:$O$85,15,0))</f>
        <v>231.33</v>
      </c>
      <c r="Y312" s="4"/>
      <c r="Z312" s="4">
        <f ca="1">('TUSD BE'!$AM$24+'TUSD BF'!$AM$24+'TUSD CVA'!$AM$24-('TUSD BE'!$P$24+'TUSD BF'!$P$24+'TUSD CVA'!$P$24)-('TUSD BE'!$Q$24+'TUSD BF'!$Q$24+'TUSD CVA'!$Q$24)-('TUSD BE'!$R$24+'TUSD BF'!$R$24+'TUSD CVA'!$R$24))*(1-CUSTOS!$M$37)</f>
        <v>837.79711604938052</v>
      </c>
      <c r="AA312" s="4">
        <f>('TE BE'!$AA$15+'TE BF'!$AA$15+'TE CVA'!$AA$15)*(1-CUSTOS!$M$37)</f>
        <v>260.80314197522284</v>
      </c>
      <c r="AB312" s="4">
        <f>$K$312*$V$312</f>
        <v>0</v>
      </c>
      <c r="AC312" s="4">
        <f>$M$312*$W$312</f>
        <v>1404.71937</v>
      </c>
      <c r="AD312" s="4">
        <f>$O$312*$X$312</f>
        <v>464.27931000000007</v>
      </c>
      <c r="AE312" s="4">
        <f>$K$312*$Y$312</f>
        <v>0</v>
      </c>
      <c r="AF312" s="4">
        <f ca="1">$M$312*$Z$312</f>
        <v>1681.4588119111067</v>
      </c>
      <c r="AG312" s="4">
        <f>$O$312*$AA$312</f>
        <v>523.43190594427233</v>
      </c>
    </row>
    <row r="313" spans="1:33" ht="11.25" customHeight="1" x14ac:dyDescent="0.25">
      <c r="A313" s="3" t="s">
        <v>21</v>
      </c>
      <c r="B313" s="3" t="s">
        <v>22</v>
      </c>
      <c r="C313" s="3" t="s">
        <v>23</v>
      </c>
      <c r="D313" s="3" t="s">
        <v>24</v>
      </c>
      <c r="E313" s="3" t="s">
        <v>32</v>
      </c>
      <c r="F313" s="3" t="s">
        <v>25</v>
      </c>
      <c r="G313" s="3" t="s">
        <v>25</v>
      </c>
      <c r="H313" s="3" t="s">
        <v>25</v>
      </c>
      <c r="I313" s="6">
        <v>44409</v>
      </c>
      <c r="J313" s="4">
        <v>0</v>
      </c>
      <c r="K313" s="4">
        <v>0</v>
      </c>
      <c r="L313" s="4">
        <v>1.996</v>
      </c>
      <c r="M313" s="4">
        <v>1.996</v>
      </c>
      <c r="N313" s="4">
        <v>1.996</v>
      </c>
      <c r="O313" s="4">
        <v>1.996</v>
      </c>
      <c r="P313" s="4">
        <v>44</v>
      </c>
      <c r="Q313" s="3" t="s">
        <v>26</v>
      </c>
      <c r="R313" s="3">
        <v>0</v>
      </c>
      <c r="S313" s="4">
        <v>0</v>
      </c>
      <c r="T313" s="4">
        <v>32</v>
      </c>
      <c r="U313" s="4">
        <v>47</v>
      </c>
      <c r="V313" s="4">
        <f>IF(ISERROR(VLOOKUP($S$313,'TAR FIN'!$A$1:$O$85,15,0)),0,VLOOKUP($S$313,'TAR FIN'!$A$1:$O$85,15,0))</f>
        <v>0</v>
      </c>
      <c r="W313" s="4">
        <f>IF(ISERROR(VLOOKUP($T$313,'TAR FIN'!$A$1:$O$85,15,0)),0,VLOOKUP($T$313,'TAR FIN'!$A$1:$O$85,15,0))</f>
        <v>699.91</v>
      </c>
      <c r="X313" s="4">
        <f>IF(ISERROR(VLOOKUP($U$313,'TAR FIN'!$A$1:$O$85,15,0)),0,VLOOKUP($U$313,'TAR FIN'!$A$1:$O$85,15,0))</f>
        <v>231.33</v>
      </c>
      <c r="Y313" s="4"/>
      <c r="Z313" s="4">
        <f ca="1">('TUSD BE'!$AM$24+'TUSD BF'!$AM$24+'TUSD CVA'!$AM$24-('TUSD BE'!$P$24+'TUSD BF'!$P$24+'TUSD CVA'!$P$24)-('TUSD BE'!$Q$24+'TUSD BF'!$Q$24+'TUSD CVA'!$Q$24)-('TUSD BE'!$R$24+'TUSD BF'!$R$24+'TUSD CVA'!$R$24))*(1-CUSTOS!$M$37)</f>
        <v>837.79711604938052</v>
      </c>
      <c r="AA313" s="4">
        <f>('TE BE'!$AA$15+'TE BF'!$AA$15+'TE CVA'!$AA$15)*(1-CUSTOS!$M$37)</f>
        <v>260.80314197522284</v>
      </c>
      <c r="AB313" s="4">
        <f>$K$313*$V$313</f>
        <v>0</v>
      </c>
      <c r="AC313" s="4">
        <f>$M$313*$W$313</f>
        <v>1397.02036</v>
      </c>
      <c r="AD313" s="4">
        <f>$O$313*$X$313</f>
        <v>461.73468000000003</v>
      </c>
      <c r="AE313" s="4">
        <f>$K$313*$Y$313</f>
        <v>0</v>
      </c>
      <c r="AF313" s="4">
        <f ca="1">$M$313*$Z$313</f>
        <v>1672.2430436345635</v>
      </c>
      <c r="AG313" s="4">
        <f>$O$313*$AA$313</f>
        <v>520.56307138254476</v>
      </c>
    </row>
    <row r="314" spans="1:33" ht="11.25" customHeight="1" x14ac:dyDescent="0.25">
      <c r="A314" s="3" t="s">
        <v>21</v>
      </c>
      <c r="B314" s="3" t="s">
        <v>22</v>
      </c>
      <c r="C314" s="3" t="s">
        <v>23</v>
      </c>
      <c r="D314" s="3" t="s">
        <v>24</v>
      </c>
      <c r="E314" s="3" t="s">
        <v>32</v>
      </c>
      <c r="F314" s="3" t="s">
        <v>25</v>
      </c>
      <c r="G314" s="3" t="s">
        <v>25</v>
      </c>
      <c r="H314" s="3" t="s">
        <v>25</v>
      </c>
      <c r="I314" s="6">
        <v>44440</v>
      </c>
      <c r="J314" s="4">
        <v>0</v>
      </c>
      <c r="K314" s="4">
        <v>0</v>
      </c>
      <c r="L314" s="4">
        <v>4.6749999999999998</v>
      </c>
      <c r="M314" s="4">
        <v>4.6749999999999998</v>
      </c>
      <c r="N314" s="4">
        <v>4.6749999999999998</v>
      </c>
      <c r="O314" s="4">
        <v>4.6749999999999998</v>
      </c>
      <c r="P314" s="4">
        <v>84</v>
      </c>
      <c r="Q314" s="3" t="s">
        <v>26</v>
      </c>
      <c r="R314" s="3">
        <v>0</v>
      </c>
      <c r="S314" s="4">
        <v>0</v>
      </c>
      <c r="T314" s="4">
        <v>32</v>
      </c>
      <c r="U314" s="4">
        <v>47</v>
      </c>
      <c r="V314" s="4">
        <f>IF(ISERROR(VLOOKUP($S$314,'TAR FIN'!$A$1:$O$85,15,0)),0,VLOOKUP($S$314,'TAR FIN'!$A$1:$O$85,15,0))</f>
        <v>0</v>
      </c>
      <c r="W314" s="4">
        <f>IF(ISERROR(VLOOKUP($T$314,'TAR FIN'!$A$1:$O$85,15,0)),0,VLOOKUP($T$314,'TAR FIN'!$A$1:$O$85,15,0))</f>
        <v>699.91</v>
      </c>
      <c r="X314" s="4">
        <f>IF(ISERROR(VLOOKUP($U$314,'TAR FIN'!$A$1:$O$85,15,0)),0,VLOOKUP($U$314,'TAR FIN'!$A$1:$O$85,15,0))</f>
        <v>231.33</v>
      </c>
      <c r="Y314" s="4"/>
      <c r="Z314" s="4">
        <f ca="1">('TUSD BE'!$AM$24+'TUSD BF'!$AM$24+'TUSD CVA'!$AM$24-('TUSD BE'!$P$24+'TUSD BF'!$P$24+'TUSD CVA'!$P$24)-('TUSD BE'!$Q$24+'TUSD BF'!$Q$24+'TUSD CVA'!$Q$24)-('TUSD BE'!$R$24+'TUSD BF'!$R$24+'TUSD CVA'!$R$24))*(1-CUSTOS!$M$37)</f>
        <v>837.79711604938052</v>
      </c>
      <c r="AA314" s="4">
        <f>('TE BE'!$AA$15+'TE BF'!$AA$15+'TE CVA'!$AA$15)*(1-CUSTOS!$M$37)</f>
        <v>260.80314197522284</v>
      </c>
      <c r="AB314" s="4">
        <f>$K$314*$V$314</f>
        <v>0</v>
      </c>
      <c r="AC314" s="4">
        <f>$M$314*$W$314</f>
        <v>3272.0792499999998</v>
      </c>
      <c r="AD314" s="4">
        <f>$O$314*$X$314</f>
        <v>1081.46775</v>
      </c>
      <c r="AE314" s="4">
        <f>$K$314*$Y$314</f>
        <v>0</v>
      </c>
      <c r="AF314" s="4">
        <f ca="1">$M$314*$Z$314</f>
        <v>3916.7015175308538</v>
      </c>
      <c r="AG314" s="4">
        <f>$O$314*$AA$314</f>
        <v>1219.2546887341668</v>
      </c>
    </row>
    <row r="315" spans="1:33" ht="11.25" customHeight="1" x14ac:dyDescent="0.25">
      <c r="A315" s="3" t="s">
        <v>21</v>
      </c>
      <c r="B315" s="3" t="s">
        <v>22</v>
      </c>
      <c r="C315" s="3" t="s">
        <v>23</v>
      </c>
      <c r="D315" s="3" t="s">
        <v>24</v>
      </c>
      <c r="E315" s="3" t="s">
        <v>32</v>
      </c>
      <c r="F315" s="3" t="s">
        <v>25</v>
      </c>
      <c r="G315" s="3" t="s">
        <v>25</v>
      </c>
      <c r="H315" s="3" t="s">
        <v>25</v>
      </c>
      <c r="I315" s="6">
        <v>44470</v>
      </c>
      <c r="J315" s="4">
        <v>0</v>
      </c>
      <c r="K315" s="4">
        <v>0</v>
      </c>
      <c r="L315" s="4">
        <v>4.0620000000000003</v>
      </c>
      <c r="M315" s="4">
        <v>4.0620000000000003</v>
      </c>
      <c r="N315" s="4">
        <v>4.0620000000000003</v>
      </c>
      <c r="O315" s="4">
        <v>4.0620000000000003</v>
      </c>
      <c r="P315" s="4">
        <v>71</v>
      </c>
      <c r="Q315" s="3" t="s">
        <v>26</v>
      </c>
      <c r="R315" s="3">
        <v>0</v>
      </c>
      <c r="S315" s="4">
        <v>0</v>
      </c>
      <c r="T315" s="4">
        <v>32</v>
      </c>
      <c r="U315" s="4">
        <v>47</v>
      </c>
      <c r="V315" s="4">
        <f>IF(ISERROR(VLOOKUP($S$315,'TAR FIN'!$A$1:$O$85,15,0)),0,VLOOKUP($S$315,'TAR FIN'!$A$1:$O$85,15,0))</f>
        <v>0</v>
      </c>
      <c r="W315" s="4">
        <f>IF(ISERROR(VLOOKUP($T$315,'TAR FIN'!$A$1:$O$85,15,0)),0,VLOOKUP($T$315,'TAR FIN'!$A$1:$O$85,15,0))</f>
        <v>699.91</v>
      </c>
      <c r="X315" s="4">
        <f>IF(ISERROR(VLOOKUP($U$315,'TAR FIN'!$A$1:$O$85,15,0)),0,VLOOKUP($U$315,'TAR FIN'!$A$1:$O$85,15,0))</f>
        <v>231.33</v>
      </c>
      <c r="Y315" s="4"/>
      <c r="Z315" s="4">
        <f ca="1">('TUSD BE'!$AM$24+'TUSD BF'!$AM$24+'TUSD CVA'!$AM$24-('TUSD BE'!$P$24+'TUSD BF'!$P$24+'TUSD CVA'!$P$24)-('TUSD BE'!$Q$24+'TUSD BF'!$Q$24+'TUSD CVA'!$Q$24)-('TUSD BE'!$R$24+'TUSD BF'!$R$24+'TUSD CVA'!$R$24))*(1-CUSTOS!$M$37)</f>
        <v>837.79711604938052</v>
      </c>
      <c r="AA315" s="4">
        <f>('TE BE'!$AA$15+'TE BF'!$AA$15+'TE CVA'!$AA$15)*(1-CUSTOS!$M$37)</f>
        <v>260.80314197522284</v>
      </c>
      <c r="AB315" s="4">
        <f>$K$315*$V$315</f>
        <v>0</v>
      </c>
      <c r="AC315" s="4">
        <f>$M$315*$W$315</f>
        <v>2843.03442</v>
      </c>
      <c r="AD315" s="4">
        <f>$O$315*$X$315</f>
        <v>939.66246000000012</v>
      </c>
      <c r="AE315" s="4">
        <f>$K$315*$Y$315</f>
        <v>0</v>
      </c>
      <c r="AF315" s="4">
        <f ca="1">$M$315*$Z$315</f>
        <v>3403.1318853925841</v>
      </c>
      <c r="AG315" s="4">
        <f>$O$315*$AA$315</f>
        <v>1059.3823627033553</v>
      </c>
    </row>
    <row r="316" spans="1:33" ht="11.25" customHeight="1" x14ac:dyDescent="0.25">
      <c r="A316" s="3" t="s">
        <v>21</v>
      </c>
      <c r="B316" s="3" t="s">
        <v>22</v>
      </c>
      <c r="C316" s="3" t="s">
        <v>23</v>
      </c>
      <c r="D316" s="3" t="s">
        <v>24</v>
      </c>
      <c r="E316" s="3" t="s">
        <v>32</v>
      </c>
      <c r="F316" s="3" t="s">
        <v>25</v>
      </c>
      <c r="G316" s="3" t="s">
        <v>25</v>
      </c>
      <c r="H316" s="3" t="s">
        <v>25</v>
      </c>
      <c r="I316" s="6">
        <v>44501</v>
      </c>
      <c r="J316" s="4">
        <v>0</v>
      </c>
      <c r="K316" s="4">
        <v>0</v>
      </c>
      <c r="L316" s="4">
        <v>4.5039999999999996</v>
      </c>
      <c r="M316" s="4">
        <v>4.5039999999999996</v>
      </c>
      <c r="N316" s="4">
        <v>4.5039999999999996</v>
      </c>
      <c r="O316" s="4">
        <v>4.5039999999999996</v>
      </c>
      <c r="P316" s="4">
        <v>81</v>
      </c>
      <c r="Q316" s="3" t="s">
        <v>26</v>
      </c>
      <c r="R316" s="3">
        <v>0</v>
      </c>
      <c r="S316" s="4">
        <v>0</v>
      </c>
      <c r="T316" s="4">
        <v>32</v>
      </c>
      <c r="U316" s="4">
        <v>47</v>
      </c>
      <c r="V316" s="4">
        <f>IF(ISERROR(VLOOKUP($S$316,'TAR FIN'!$A$1:$O$85,15,0)),0,VLOOKUP($S$316,'TAR FIN'!$A$1:$O$85,15,0))</f>
        <v>0</v>
      </c>
      <c r="W316" s="4">
        <f>IF(ISERROR(VLOOKUP($T$316,'TAR FIN'!$A$1:$O$85,15,0)),0,VLOOKUP($T$316,'TAR FIN'!$A$1:$O$85,15,0))</f>
        <v>699.91</v>
      </c>
      <c r="X316" s="4">
        <f>IF(ISERROR(VLOOKUP($U$316,'TAR FIN'!$A$1:$O$85,15,0)),0,VLOOKUP($U$316,'TAR FIN'!$A$1:$O$85,15,0))</f>
        <v>231.33</v>
      </c>
      <c r="Y316" s="4"/>
      <c r="Z316" s="4">
        <f ca="1">('TUSD BE'!$AM$24+'TUSD BF'!$AM$24+'TUSD CVA'!$AM$24-('TUSD BE'!$P$24+'TUSD BF'!$P$24+'TUSD CVA'!$P$24)-('TUSD BE'!$Q$24+'TUSD BF'!$Q$24+'TUSD CVA'!$Q$24)-('TUSD BE'!$R$24+'TUSD BF'!$R$24+'TUSD CVA'!$R$24))*(1-CUSTOS!$M$37)</f>
        <v>837.79711604938052</v>
      </c>
      <c r="AA316" s="4">
        <f>('TE BE'!$AA$15+'TE BF'!$AA$15+'TE CVA'!$AA$15)*(1-CUSTOS!$M$37)</f>
        <v>260.80314197522284</v>
      </c>
      <c r="AB316" s="4">
        <f>$K$316*$V$316</f>
        <v>0</v>
      </c>
      <c r="AC316" s="4">
        <f>$M$316*$W$316</f>
        <v>3152.3946399999995</v>
      </c>
      <c r="AD316" s="4">
        <f>$O$316*$X$316</f>
        <v>1041.91032</v>
      </c>
      <c r="AE316" s="4">
        <f>$K$316*$Y$316</f>
        <v>0</v>
      </c>
      <c r="AF316" s="4">
        <f ca="1">$M$316*$Z$316</f>
        <v>3773.4382106864095</v>
      </c>
      <c r="AG316" s="4">
        <f>$O$316*$AA$316</f>
        <v>1174.6573514564036</v>
      </c>
    </row>
    <row r="317" spans="1:33" ht="11.25" customHeight="1" x14ac:dyDescent="0.25">
      <c r="A317" s="3" t="s">
        <v>21</v>
      </c>
      <c r="B317" s="3" t="s">
        <v>22</v>
      </c>
      <c r="C317" s="3" t="s">
        <v>23</v>
      </c>
      <c r="D317" s="3" t="s">
        <v>24</v>
      </c>
      <c r="E317" s="3" t="s">
        <v>32</v>
      </c>
      <c r="F317" s="3" t="s">
        <v>25</v>
      </c>
      <c r="G317" s="3" t="s">
        <v>25</v>
      </c>
      <c r="H317" s="3" t="s">
        <v>25</v>
      </c>
      <c r="I317" s="6">
        <v>44531</v>
      </c>
      <c r="J317" s="4">
        <v>0</v>
      </c>
      <c r="K317" s="4">
        <v>0</v>
      </c>
      <c r="L317" s="4">
        <v>5.1580000000000004</v>
      </c>
      <c r="M317" s="4">
        <v>5.1580000000000004</v>
      </c>
      <c r="N317" s="4">
        <v>5.1580000000000004</v>
      </c>
      <c r="O317" s="4">
        <v>5.1580000000000004</v>
      </c>
      <c r="P317" s="4">
        <v>91</v>
      </c>
      <c r="Q317" s="3" t="s">
        <v>26</v>
      </c>
      <c r="R317" s="3">
        <v>0</v>
      </c>
      <c r="S317" s="4">
        <v>0</v>
      </c>
      <c r="T317" s="4">
        <v>32</v>
      </c>
      <c r="U317" s="4">
        <v>47</v>
      </c>
      <c r="V317" s="4">
        <f>IF(ISERROR(VLOOKUP($S$317,'TAR FIN'!$A$1:$O$85,15,0)),0,VLOOKUP($S$317,'TAR FIN'!$A$1:$O$85,15,0))</f>
        <v>0</v>
      </c>
      <c r="W317" s="4">
        <f>IF(ISERROR(VLOOKUP($T$317,'TAR FIN'!$A$1:$O$85,15,0)),0,VLOOKUP($T$317,'TAR FIN'!$A$1:$O$85,15,0))</f>
        <v>699.91</v>
      </c>
      <c r="X317" s="4">
        <f>IF(ISERROR(VLOOKUP($U$317,'TAR FIN'!$A$1:$O$85,15,0)),0,VLOOKUP($U$317,'TAR FIN'!$A$1:$O$85,15,0))</f>
        <v>231.33</v>
      </c>
      <c r="Y317" s="4"/>
      <c r="Z317" s="4">
        <f ca="1">('TUSD BE'!$AM$24+'TUSD BF'!$AM$24+'TUSD CVA'!$AM$24-('TUSD BE'!$P$24+'TUSD BF'!$P$24+'TUSD CVA'!$P$24)-('TUSD BE'!$Q$24+'TUSD BF'!$Q$24+'TUSD CVA'!$Q$24)-('TUSD BE'!$R$24+'TUSD BF'!$R$24+'TUSD CVA'!$R$24))*(1-CUSTOS!$M$37)</f>
        <v>837.79711604938052</v>
      </c>
      <c r="AA317" s="4">
        <f>('TE BE'!$AA$15+'TE BF'!$AA$15+'TE CVA'!$AA$15)*(1-CUSTOS!$M$37)</f>
        <v>260.80314197522284</v>
      </c>
      <c r="AB317" s="4">
        <f>$K$317*$V$317</f>
        <v>0</v>
      </c>
      <c r="AC317" s="4">
        <f>$M$317*$W$317</f>
        <v>3610.1357800000001</v>
      </c>
      <c r="AD317" s="4">
        <f>$O$317*$X$317</f>
        <v>1193.2001400000001</v>
      </c>
      <c r="AE317" s="4">
        <f>$K$317*$Y$317</f>
        <v>0</v>
      </c>
      <c r="AF317" s="4">
        <f ca="1">$M$317*$Z$317</f>
        <v>4321.3575245827051</v>
      </c>
      <c r="AG317" s="4">
        <f>$O$317*$AA$317</f>
        <v>1345.2226063081996</v>
      </c>
    </row>
    <row r="318" spans="1:33" ht="11.25" customHeight="1" x14ac:dyDescent="0.25">
      <c r="A318" s="3" t="s">
        <v>21</v>
      </c>
      <c r="B318" s="3" t="s">
        <v>22</v>
      </c>
      <c r="C318" s="3" t="s">
        <v>23</v>
      </c>
      <c r="D318" s="3" t="s">
        <v>24</v>
      </c>
      <c r="E318" s="3" t="s">
        <v>32</v>
      </c>
      <c r="F318" s="3" t="s">
        <v>25</v>
      </c>
      <c r="G318" s="3" t="s">
        <v>25</v>
      </c>
      <c r="H318" s="3" t="s">
        <v>25</v>
      </c>
      <c r="I318" s="6">
        <v>44562</v>
      </c>
      <c r="J318" s="4">
        <v>0</v>
      </c>
      <c r="K318" s="4">
        <v>0</v>
      </c>
      <c r="L318" s="4">
        <v>9.8369999999999997</v>
      </c>
      <c r="M318" s="4">
        <v>9.8369999999999997</v>
      </c>
      <c r="N318" s="4">
        <v>9.8369999999999997</v>
      </c>
      <c r="O318" s="4">
        <v>9.8369999999999997</v>
      </c>
      <c r="P318" s="4">
        <v>141</v>
      </c>
      <c r="Q318" s="3" t="s">
        <v>26</v>
      </c>
      <c r="R318" s="3">
        <v>0</v>
      </c>
      <c r="S318" s="4">
        <v>0</v>
      </c>
      <c r="T318" s="4">
        <v>32</v>
      </c>
      <c r="U318" s="4">
        <v>47</v>
      </c>
      <c r="V318" s="4">
        <f>IF(ISERROR(VLOOKUP($S$318,'TAR FIN'!$A$1:$O$85,15,0)),0,VLOOKUP($S$318,'TAR FIN'!$A$1:$O$85,15,0))</f>
        <v>0</v>
      </c>
      <c r="W318" s="4">
        <f>IF(ISERROR(VLOOKUP($T$318,'TAR FIN'!$A$1:$O$85,15,0)),0,VLOOKUP($T$318,'TAR FIN'!$A$1:$O$85,15,0))</f>
        <v>699.91</v>
      </c>
      <c r="X318" s="4">
        <f>IF(ISERROR(VLOOKUP($U$318,'TAR FIN'!$A$1:$O$85,15,0)),0,VLOOKUP($U$318,'TAR FIN'!$A$1:$O$85,15,0))</f>
        <v>231.33</v>
      </c>
      <c r="Y318" s="4"/>
      <c r="Z318" s="4">
        <f ca="1">('TUSD BE'!$AM$24+'TUSD BF'!$AM$24+'TUSD CVA'!$AM$24-('TUSD BE'!$P$24+'TUSD BF'!$P$24+'TUSD CVA'!$P$24)-('TUSD BE'!$Q$24+'TUSD BF'!$Q$24+'TUSD CVA'!$Q$24)-('TUSD BE'!$R$24+'TUSD BF'!$R$24+'TUSD CVA'!$R$24))*(1-CUSTOS!$M$37)</f>
        <v>837.79711604938052</v>
      </c>
      <c r="AA318" s="4">
        <f>('TE BE'!$AA$15+'TE BF'!$AA$15+'TE CVA'!$AA$15)*(1-CUSTOS!$M$37)</f>
        <v>260.80314197522284</v>
      </c>
      <c r="AB318" s="4">
        <f>$K$318*$V$318</f>
        <v>0</v>
      </c>
      <c r="AC318" s="4">
        <f>$M$318*$W$318</f>
        <v>6885.0146699999996</v>
      </c>
      <c r="AD318" s="4">
        <f>$O$318*$X$318</f>
        <v>2275.59321</v>
      </c>
      <c r="AE318" s="4">
        <f>$K$318*$Y$318</f>
        <v>0</v>
      </c>
      <c r="AF318" s="4">
        <f ca="1">$M$318*$Z$318</f>
        <v>8241.410230577756</v>
      </c>
      <c r="AG318" s="4">
        <f>$O$318*$AA$318</f>
        <v>2565.520507610267</v>
      </c>
    </row>
    <row r="319" spans="1:33" ht="11.25" customHeight="1" x14ac:dyDescent="0.25">
      <c r="A319" s="3" t="s">
        <v>21</v>
      </c>
      <c r="B319" s="3" t="s">
        <v>22</v>
      </c>
      <c r="C319" s="3" t="s">
        <v>23</v>
      </c>
      <c r="D319" s="3" t="s">
        <v>24</v>
      </c>
      <c r="E319" s="3" t="s">
        <v>32</v>
      </c>
      <c r="F319" s="3" t="s">
        <v>25</v>
      </c>
      <c r="G319" s="3" t="s">
        <v>25</v>
      </c>
      <c r="H319" s="3" t="s">
        <v>25</v>
      </c>
      <c r="I319" s="6">
        <v>44593</v>
      </c>
      <c r="J319" s="4">
        <v>0</v>
      </c>
      <c r="K319" s="4">
        <v>0</v>
      </c>
      <c r="L319" s="4">
        <v>14.343999999999999</v>
      </c>
      <c r="M319" s="4">
        <v>14.343999999999999</v>
      </c>
      <c r="N319" s="4">
        <v>14.343999999999999</v>
      </c>
      <c r="O319" s="4">
        <v>14.343999999999999</v>
      </c>
      <c r="P319" s="4">
        <v>186</v>
      </c>
      <c r="Q319" s="3" t="s">
        <v>26</v>
      </c>
      <c r="R319" s="3">
        <v>0</v>
      </c>
      <c r="S319" s="4">
        <v>0</v>
      </c>
      <c r="T319" s="4">
        <v>32</v>
      </c>
      <c r="U319" s="4">
        <v>47</v>
      </c>
      <c r="V319" s="4">
        <f>IF(ISERROR(VLOOKUP($S$319,'TAR FIN'!$A$1:$O$85,15,0)),0,VLOOKUP($S$319,'TAR FIN'!$A$1:$O$85,15,0))</f>
        <v>0</v>
      </c>
      <c r="W319" s="4">
        <f>IF(ISERROR(VLOOKUP($T$319,'TAR FIN'!$A$1:$O$85,15,0)),0,VLOOKUP($T$319,'TAR FIN'!$A$1:$O$85,15,0))</f>
        <v>699.91</v>
      </c>
      <c r="X319" s="4">
        <f>IF(ISERROR(VLOOKUP($U$319,'TAR FIN'!$A$1:$O$85,15,0)),0,VLOOKUP($U$319,'TAR FIN'!$A$1:$O$85,15,0))</f>
        <v>231.33</v>
      </c>
      <c r="Y319" s="4"/>
      <c r="Z319" s="4">
        <f ca="1">('TUSD BE'!$AM$24+'TUSD BF'!$AM$24+'TUSD CVA'!$AM$24-('TUSD BE'!$P$24+'TUSD BF'!$P$24+'TUSD CVA'!$P$24)-('TUSD BE'!$Q$24+'TUSD BF'!$Q$24+'TUSD CVA'!$Q$24)-('TUSD BE'!$R$24+'TUSD BF'!$R$24+'TUSD CVA'!$R$24))*(1-CUSTOS!$M$37)</f>
        <v>837.79711604938052</v>
      </c>
      <c r="AA319" s="4">
        <f>('TE BE'!$AA$15+'TE BF'!$AA$15+'TE CVA'!$AA$15)*(1-CUSTOS!$M$37)</f>
        <v>260.80314197522284</v>
      </c>
      <c r="AB319" s="4">
        <f>$K$319*$V$319</f>
        <v>0</v>
      </c>
      <c r="AC319" s="4">
        <f>$M$319*$W$319</f>
        <v>10039.509039999999</v>
      </c>
      <c r="AD319" s="4">
        <f>$O$319*$X$319</f>
        <v>3318.1975200000002</v>
      </c>
      <c r="AE319" s="4">
        <f>$K$319*$Y$319</f>
        <v>0</v>
      </c>
      <c r="AF319" s="4">
        <f ca="1">$M$319*$Z$319</f>
        <v>12017.361832612314</v>
      </c>
      <c r="AG319" s="4">
        <f>$O$319*$AA$319</f>
        <v>3740.9602684925962</v>
      </c>
    </row>
    <row r="320" spans="1:33" ht="11.25" customHeight="1" x14ac:dyDescent="0.25">
      <c r="A320" s="3" t="s">
        <v>21</v>
      </c>
      <c r="B320" s="3" t="s">
        <v>22</v>
      </c>
      <c r="C320" s="3" t="s">
        <v>23</v>
      </c>
      <c r="D320" s="3" t="s">
        <v>24</v>
      </c>
      <c r="E320" s="3" t="s">
        <v>32</v>
      </c>
      <c r="F320" s="3" t="s">
        <v>25</v>
      </c>
      <c r="G320" s="3" t="s">
        <v>25</v>
      </c>
      <c r="H320" s="3" t="s">
        <v>25</v>
      </c>
      <c r="I320" s="6">
        <v>44621</v>
      </c>
      <c r="J320" s="4">
        <v>0</v>
      </c>
      <c r="K320" s="4">
        <v>0</v>
      </c>
      <c r="L320" s="4">
        <v>21.021999999999998</v>
      </c>
      <c r="M320" s="4">
        <v>21.021999999999998</v>
      </c>
      <c r="N320" s="4">
        <v>21.021999999999998</v>
      </c>
      <c r="O320" s="4">
        <v>21.021999999999998</v>
      </c>
      <c r="P320" s="4">
        <v>271</v>
      </c>
      <c r="Q320" s="3" t="s">
        <v>26</v>
      </c>
      <c r="R320" s="3">
        <v>0</v>
      </c>
      <c r="S320" s="4">
        <v>0</v>
      </c>
      <c r="T320" s="4">
        <v>32</v>
      </c>
      <c r="U320" s="4">
        <v>47</v>
      </c>
      <c r="V320" s="4">
        <f>IF(ISERROR(VLOOKUP($S$320,'TAR FIN'!$A$1:$O$85,15,0)),0,VLOOKUP($S$320,'TAR FIN'!$A$1:$O$85,15,0))</f>
        <v>0</v>
      </c>
      <c r="W320" s="4">
        <f>IF(ISERROR(VLOOKUP($T$320,'TAR FIN'!$A$1:$O$85,15,0)),0,VLOOKUP($T$320,'TAR FIN'!$A$1:$O$85,15,0))</f>
        <v>699.91</v>
      </c>
      <c r="X320" s="4">
        <f>IF(ISERROR(VLOOKUP($U$320,'TAR FIN'!$A$1:$O$85,15,0)),0,VLOOKUP($U$320,'TAR FIN'!$A$1:$O$85,15,0))</f>
        <v>231.33</v>
      </c>
      <c r="Y320" s="4"/>
      <c r="Z320" s="4">
        <f ca="1">('TUSD BE'!$AM$24+'TUSD BF'!$AM$24+'TUSD CVA'!$AM$24-('TUSD BE'!$P$24+'TUSD BF'!$P$24+'TUSD CVA'!$P$24)-('TUSD BE'!$Q$24+'TUSD BF'!$Q$24+'TUSD CVA'!$Q$24)-('TUSD BE'!$R$24+'TUSD BF'!$R$24+'TUSD CVA'!$R$24))*(1-CUSTOS!$M$37)</f>
        <v>837.79711604938052</v>
      </c>
      <c r="AA320" s="4">
        <f>('TE BE'!$AA$15+'TE BF'!$AA$15+'TE CVA'!$AA$15)*(1-CUSTOS!$M$37)</f>
        <v>260.80314197522284</v>
      </c>
      <c r="AB320" s="4">
        <f>$K$320*$V$320</f>
        <v>0</v>
      </c>
      <c r="AC320" s="4">
        <f>$M$320*$W$320</f>
        <v>14713.508019999997</v>
      </c>
      <c r="AD320" s="4">
        <f>$O$320*$X$320</f>
        <v>4863.01926</v>
      </c>
      <c r="AE320" s="4">
        <f>$K$320*$Y$320</f>
        <v>0</v>
      </c>
      <c r="AF320" s="4">
        <f ca="1">$M$320*$Z$320</f>
        <v>17612.170973590077</v>
      </c>
      <c r="AG320" s="4">
        <f>$O$320*$AA$320</f>
        <v>5482.6036506031342</v>
      </c>
    </row>
    <row r="321" spans="1:33" ht="11.25" customHeight="1" x14ac:dyDescent="0.25">
      <c r="A321" s="3" t="s">
        <v>21</v>
      </c>
      <c r="B321" s="3" t="s">
        <v>43</v>
      </c>
      <c r="C321" s="3" t="s">
        <v>23</v>
      </c>
      <c r="D321" s="3" t="s">
        <v>44</v>
      </c>
      <c r="E321" s="3" t="s">
        <v>52</v>
      </c>
      <c r="F321" s="3" t="s">
        <v>53</v>
      </c>
      <c r="G321" s="3" t="s">
        <v>25</v>
      </c>
      <c r="H321" s="3" t="s">
        <v>25</v>
      </c>
      <c r="I321" s="6">
        <v>44287</v>
      </c>
      <c r="J321" s="4">
        <v>0</v>
      </c>
      <c r="K321" s="4">
        <v>0</v>
      </c>
      <c r="L321" s="4">
        <v>5.9669999999999996</v>
      </c>
      <c r="M321" s="4">
        <v>5.9669999999999996</v>
      </c>
      <c r="N321" s="4">
        <v>5.9669999999999996</v>
      </c>
      <c r="O321" s="4">
        <v>5.9669999999999996</v>
      </c>
      <c r="P321" s="4">
        <v>0</v>
      </c>
      <c r="Q321" s="3" t="s">
        <v>26</v>
      </c>
      <c r="R321" s="3">
        <v>0</v>
      </c>
      <c r="S321" s="4">
        <v>0</v>
      </c>
      <c r="T321" s="4">
        <v>9</v>
      </c>
      <c r="U321" s="4">
        <v>56</v>
      </c>
      <c r="V321" s="4">
        <f>IF(ISERROR(VLOOKUP($S$321,'TAR FIN'!$A$1:$O$85,15,0)),0,VLOOKUP($S$321,'TAR FIN'!$A$1:$O$85,15,0))</f>
        <v>0</v>
      </c>
      <c r="W321" s="4">
        <f>IF(ISERROR(VLOOKUP($T$321,'TAR FIN'!$A$1:$O$85,15,0)),0,VLOOKUP($T$321,'TAR FIN'!$A$1:$O$85,15,0))</f>
        <v>697.32</v>
      </c>
      <c r="X321" s="4">
        <f>IF(ISERROR(VLOOKUP($U$321,'TAR FIN'!$A$1:$O$85,15,0)),0,VLOOKUP($U$321,'TAR FIN'!$A$1:$O$85,15,0))</f>
        <v>203.57</v>
      </c>
      <c r="Y321" s="4"/>
      <c r="Z321" s="4">
        <f ca="1">('TUSD BE'!$AM$33+'TUSD BF'!$AM$33+'TUSD CVA'!$AM$33)*(1-CUSTOS!$M$38)</f>
        <v>911.35112319392283</v>
      </c>
      <c r="AA321" s="4">
        <f>('TE BE'!$AA$24+'TE BF'!$AA$24+'TE CVA'!$AA$24)*(1-CUSTOS!$M$38)</f>
        <v>245.15495345670945</v>
      </c>
      <c r="AB321" s="4">
        <f>$K$321*$V$321</f>
        <v>0</v>
      </c>
      <c r="AC321" s="4">
        <f>$M$321*$W$321</f>
        <v>4160.9084400000002</v>
      </c>
      <c r="AD321" s="4">
        <f>$O$321*$X$321</f>
        <v>1214.70219</v>
      </c>
      <c r="AE321" s="4">
        <f>$K$321*$Y$321</f>
        <v>0</v>
      </c>
      <c r="AF321" s="4">
        <f ca="1">$M$321*$Z$321</f>
        <v>5438.032152098137</v>
      </c>
      <c r="AG321" s="4">
        <f>$O$321*$AA$321</f>
        <v>1462.8396072761852</v>
      </c>
    </row>
    <row r="322" spans="1:33" ht="11.25" customHeight="1" x14ac:dyDescent="0.25">
      <c r="A322" s="3" t="s">
        <v>28</v>
      </c>
      <c r="B322" s="3" t="s">
        <v>43</v>
      </c>
      <c r="C322" s="3" t="s">
        <v>23</v>
      </c>
      <c r="D322" s="3" t="s">
        <v>44</v>
      </c>
      <c r="E322" s="3" t="s">
        <v>52</v>
      </c>
      <c r="F322" s="3" t="s">
        <v>53</v>
      </c>
      <c r="G322" s="3" t="s">
        <v>25</v>
      </c>
      <c r="H322" s="3" t="s">
        <v>25</v>
      </c>
      <c r="I322" s="6">
        <v>44317</v>
      </c>
      <c r="J322" s="4">
        <v>0</v>
      </c>
      <c r="K322" s="4">
        <v>0</v>
      </c>
      <c r="L322" s="4">
        <v>0.1</v>
      </c>
      <c r="M322" s="4">
        <v>0.1</v>
      </c>
      <c r="N322" s="4">
        <v>0.1</v>
      </c>
      <c r="O322" s="4">
        <v>0.1</v>
      </c>
      <c r="P322" s="4">
        <v>0</v>
      </c>
      <c r="Q322" s="3" t="s">
        <v>26</v>
      </c>
      <c r="R322" s="3">
        <v>0</v>
      </c>
      <c r="S322" s="4">
        <v>0</v>
      </c>
      <c r="T322" s="4">
        <v>9</v>
      </c>
      <c r="U322" s="4">
        <v>56</v>
      </c>
      <c r="V322" s="4">
        <f>IF(ISERROR(VLOOKUP($S$322,'TAR FIN'!$A$1:$O$85,15,0)),0,VLOOKUP($S$322,'TAR FIN'!$A$1:$O$85,15,0))</f>
        <v>0</v>
      </c>
      <c r="W322" s="4">
        <f>IF(ISERROR(VLOOKUP($T$322,'TAR FIN'!$A$1:$O$85,15,0)),0,VLOOKUP($T$322,'TAR FIN'!$A$1:$O$85,15,0))</f>
        <v>697.32</v>
      </c>
      <c r="X322" s="4">
        <f>IF(ISERROR(VLOOKUP($U$322,'TAR FIN'!$A$1:$O$85,15,0)),0,VLOOKUP($U$322,'TAR FIN'!$A$1:$O$85,15,0))</f>
        <v>203.57</v>
      </c>
      <c r="Y322" s="4"/>
      <c r="Z322" s="4">
        <f ca="1">('TUSD BE'!$AM$33+'TUSD BF'!$AM$33+'TUSD CVA'!$AM$33)*(1-CUSTOS!$M$38)</f>
        <v>911.35112319392283</v>
      </c>
      <c r="AA322" s="4">
        <f>('TE BE'!$AA$24+'TE BF'!$AA$24+'TE CVA'!$AA$24)*(1-CUSTOS!$M$38)</f>
        <v>245.15495345670945</v>
      </c>
      <c r="AB322" s="4">
        <f>$K$322*$V$322</f>
        <v>0</v>
      </c>
      <c r="AC322" s="4">
        <f>$M$322*$W$322</f>
        <v>69.732000000000014</v>
      </c>
      <c r="AD322" s="4">
        <f>$O$322*$X$322</f>
        <v>20.356999999999999</v>
      </c>
      <c r="AE322" s="4">
        <f>$K$322*$Y$322</f>
        <v>0</v>
      </c>
      <c r="AF322" s="4">
        <f ca="1">$M$322*$Z$322</f>
        <v>91.135112319392292</v>
      </c>
      <c r="AG322" s="4">
        <f>$O$322*$AA$322</f>
        <v>24.515495345670946</v>
      </c>
    </row>
    <row r="323" spans="1:33" ht="11.25" customHeight="1" x14ac:dyDescent="0.25">
      <c r="A323" s="3" t="s">
        <v>28</v>
      </c>
      <c r="B323" s="3" t="s">
        <v>43</v>
      </c>
      <c r="C323" s="3" t="s">
        <v>23</v>
      </c>
      <c r="D323" s="3" t="s">
        <v>44</v>
      </c>
      <c r="E323" s="3" t="s">
        <v>52</v>
      </c>
      <c r="F323" s="3" t="s">
        <v>53</v>
      </c>
      <c r="G323" s="3" t="s">
        <v>25</v>
      </c>
      <c r="H323" s="3" t="s">
        <v>25</v>
      </c>
      <c r="I323" s="6">
        <v>44348</v>
      </c>
      <c r="J323" s="4">
        <v>0</v>
      </c>
      <c r="K323" s="4">
        <v>0</v>
      </c>
      <c r="L323" s="4">
        <v>1.641</v>
      </c>
      <c r="M323" s="4">
        <v>1.641</v>
      </c>
      <c r="N323" s="4">
        <v>1.641</v>
      </c>
      <c r="O323" s="4">
        <v>1.641</v>
      </c>
      <c r="P323" s="4">
        <v>0</v>
      </c>
      <c r="Q323" s="3" t="s">
        <v>26</v>
      </c>
      <c r="R323" s="3">
        <v>0</v>
      </c>
      <c r="S323" s="4">
        <v>0</v>
      </c>
      <c r="T323" s="4">
        <v>9</v>
      </c>
      <c r="U323" s="4">
        <v>56</v>
      </c>
      <c r="V323" s="4">
        <f>IF(ISERROR(VLOOKUP($S$323,'TAR FIN'!$A$1:$O$85,15,0)),0,VLOOKUP($S$323,'TAR FIN'!$A$1:$O$85,15,0))</f>
        <v>0</v>
      </c>
      <c r="W323" s="4">
        <f>IF(ISERROR(VLOOKUP($T$323,'TAR FIN'!$A$1:$O$85,15,0)),0,VLOOKUP($T$323,'TAR FIN'!$A$1:$O$85,15,0))</f>
        <v>697.32</v>
      </c>
      <c r="X323" s="4">
        <f>IF(ISERROR(VLOOKUP($U$323,'TAR FIN'!$A$1:$O$85,15,0)),0,VLOOKUP($U$323,'TAR FIN'!$A$1:$O$85,15,0))</f>
        <v>203.57</v>
      </c>
      <c r="Y323" s="4"/>
      <c r="Z323" s="4">
        <f ca="1">('TUSD BE'!$AM$33+'TUSD BF'!$AM$33+'TUSD CVA'!$AM$33)*(1-CUSTOS!$M$38)</f>
        <v>911.35112319392283</v>
      </c>
      <c r="AA323" s="4">
        <f>('TE BE'!$AA$24+'TE BF'!$AA$24+'TE CVA'!$AA$24)*(1-CUSTOS!$M$38)</f>
        <v>245.15495345670945</v>
      </c>
      <c r="AB323" s="4">
        <f>$K$323*$V$323</f>
        <v>0</v>
      </c>
      <c r="AC323" s="4">
        <f>$M$323*$W$323</f>
        <v>1144.3021200000001</v>
      </c>
      <c r="AD323" s="4">
        <f>$O$323*$X$323</f>
        <v>334.05836999999997</v>
      </c>
      <c r="AE323" s="4">
        <f>$K$323*$Y$323</f>
        <v>0</v>
      </c>
      <c r="AF323" s="4">
        <f ca="1">$M$323*$Z$323</f>
        <v>1495.5271931612274</v>
      </c>
      <c r="AG323" s="4">
        <f>$O$323*$AA$323</f>
        <v>402.29927862246024</v>
      </c>
    </row>
    <row r="324" spans="1:33" ht="11.25" customHeight="1" x14ac:dyDescent="0.25">
      <c r="A324" s="3" t="s">
        <v>28</v>
      </c>
      <c r="B324" s="3" t="s">
        <v>43</v>
      </c>
      <c r="C324" s="3" t="s">
        <v>23</v>
      </c>
      <c r="D324" s="3" t="s">
        <v>44</v>
      </c>
      <c r="E324" s="3" t="s">
        <v>52</v>
      </c>
      <c r="F324" s="3" t="s">
        <v>53</v>
      </c>
      <c r="G324" s="3" t="s">
        <v>25</v>
      </c>
      <c r="H324" s="3" t="s">
        <v>25</v>
      </c>
      <c r="I324" s="6">
        <v>44378</v>
      </c>
      <c r="J324" s="4">
        <v>0</v>
      </c>
      <c r="K324" s="4">
        <v>0</v>
      </c>
      <c r="L324" s="4">
        <v>2.6859999999999999</v>
      </c>
      <c r="M324" s="4">
        <v>2.6859999999999999</v>
      </c>
      <c r="N324" s="4">
        <v>2.6859999999999999</v>
      </c>
      <c r="O324" s="4">
        <v>2.6859999999999999</v>
      </c>
      <c r="P324" s="4">
        <v>0</v>
      </c>
      <c r="Q324" s="3" t="s">
        <v>26</v>
      </c>
      <c r="R324" s="3">
        <v>0</v>
      </c>
      <c r="S324" s="4">
        <v>0</v>
      </c>
      <c r="T324" s="4">
        <v>9</v>
      </c>
      <c r="U324" s="4">
        <v>56</v>
      </c>
      <c r="V324" s="4">
        <f>IF(ISERROR(VLOOKUP($S$324,'TAR FIN'!$A$1:$O$85,15,0)),0,VLOOKUP($S$324,'TAR FIN'!$A$1:$O$85,15,0))</f>
        <v>0</v>
      </c>
      <c r="W324" s="4">
        <f>IF(ISERROR(VLOOKUP($T$324,'TAR FIN'!$A$1:$O$85,15,0)),0,VLOOKUP($T$324,'TAR FIN'!$A$1:$O$85,15,0))</f>
        <v>697.32</v>
      </c>
      <c r="X324" s="4">
        <f>IF(ISERROR(VLOOKUP($U$324,'TAR FIN'!$A$1:$O$85,15,0)),0,VLOOKUP($U$324,'TAR FIN'!$A$1:$O$85,15,0))</f>
        <v>203.57</v>
      </c>
      <c r="Y324" s="4"/>
      <c r="Z324" s="4">
        <f ca="1">('TUSD BE'!$AM$33+'TUSD BF'!$AM$33+'TUSD CVA'!$AM$33)*(1-CUSTOS!$M$38)</f>
        <v>911.35112319392283</v>
      </c>
      <c r="AA324" s="4">
        <f>('TE BE'!$AA$24+'TE BF'!$AA$24+'TE CVA'!$AA$24)*(1-CUSTOS!$M$38)</f>
        <v>245.15495345670945</v>
      </c>
      <c r="AB324" s="4">
        <f>$K$324*$V$324</f>
        <v>0</v>
      </c>
      <c r="AC324" s="4">
        <f>$M$324*$W$324</f>
        <v>1873.00152</v>
      </c>
      <c r="AD324" s="4">
        <f>$O$324*$X$324</f>
        <v>546.78901999999994</v>
      </c>
      <c r="AE324" s="4">
        <f>$K$324*$Y$324</f>
        <v>0</v>
      </c>
      <c r="AF324" s="4">
        <f ca="1">$M$324*$Z$324</f>
        <v>2447.8891168988766</v>
      </c>
      <c r="AG324" s="4">
        <f>$O$324*$AA$324</f>
        <v>658.48620498472155</v>
      </c>
    </row>
    <row r="325" spans="1:33" ht="11.25" customHeight="1" x14ac:dyDescent="0.25">
      <c r="A325" s="3" t="s">
        <v>28</v>
      </c>
      <c r="B325" s="3" t="s">
        <v>43</v>
      </c>
      <c r="C325" s="3" t="s">
        <v>23</v>
      </c>
      <c r="D325" s="3" t="s">
        <v>44</v>
      </c>
      <c r="E325" s="3" t="s">
        <v>52</v>
      </c>
      <c r="F325" s="3" t="s">
        <v>53</v>
      </c>
      <c r="G325" s="3" t="s">
        <v>25</v>
      </c>
      <c r="H325" s="3" t="s">
        <v>25</v>
      </c>
      <c r="I325" s="6">
        <v>44409</v>
      </c>
      <c r="J325" s="4">
        <v>0</v>
      </c>
      <c r="K325" s="4">
        <v>0</v>
      </c>
      <c r="L325" s="4">
        <v>2.9529999999999998</v>
      </c>
      <c r="M325" s="4">
        <v>2.9529999999999998</v>
      </c>
      <c r="N325" s="4">
        <v>2.9529999999999998</v>
      </c>
      <c r="O325" s="4">
        <v>2.9529999999999998</v>
      </c>
      <c r="P325" s="4">
        <v>0</v>
      </c>
      <c r="Q325" s="3" t="s">
        <v>26</v>
      </c>
      <c r="R325" s="3">
        <v>0</v>
      </c>
      <c r="S325" s="4">
        <v>0</v>
      </c>
      <c r="T325" s="4">
        <v>9</v>
      </c>
      <c r="U325" s="4">
        <v>56</v>
      </c>
      <c r="V325" s="4">
        <f>IF(ISERROR(VLOOKUP($S$325,'TAR FIN'!$A$1:$O$85,15,0)),0,VLOOKUP($S$325,'TAR FIN'!$A$1:$O$85,15,0))</f>
        <v>0</v>
      </c>
      <c r="W325" s="4">
        <f>IF(ISERROR(VLOOKUP($T$325,'TAR FIN'!$A$1:$O$85,15,0)),0,VLOOKUP($T$325,'TAR FIN'!$A$1:$O$85,15,0))</f>
        <v>697.32</v>
      </c>
      <c r="X325" s="4">
        <f>IF(ISERROR(VLOOKUP($U$325,'TAR FIN'!$A$1:$O$85,15,0)),0,VLOOKUP($U$325,'TAR FIN'!$A$1:$O$85,15,0))</f>
        <v>203.57</v>
      </c>
      <c r="Y325" s="4"/>
      <c r="Z325" s="4">
        <f ca="1">('TUSD BE'!$AM$33+'TUSD BF'!$AM$33+'TUSD CVA'!$AM$33)*(1-CUSTOS!$M$38)</f>
        <v>911.35112319392283</v>
      </c>
      <c r="AA325" s="4">
        <f>('TE BE'!$AA$24+'TE BF'!$AA$24+'TE CVA'!$AA$24)*(1-CUSTOS!$M$38)</f>
        <v>245.15495345670945</v>
      </c>
      <c r="AB325" s="4">
        <f>$K$325*$V$325</f>
        <v>0</v>
      </c>
      <c r="AC325" s="4">
        <f>$M$325*$W$325</f>
        <v>2059.1859600000003</v>
      </c>
      <c r="AD325" s="4">
        <f>$O$325*$X$325</f>
        <v>601.14220999999998</v>
      </c>
      <c r="AE325" s="4">
        <f>$K$325*$Y$325</f>
        <v>0</v>
      </c>
      <c r="AF325" s="4">
        <f ca="1">$M$325*$Z$325</f>
        <v>2691.2198667916541</v>
      </c>
      <c r="AG325" s="4">
        <f>$O$325*$AA$325</f>
        <v>723.94257755766296</v>
      </c>
    </row>
    <row r="326" spans="1:33" ht="11.25" customHeight="1" x14ac:dyDescent="0.25">
      <c r="A326" s="3" t="s">
        <v>28</v>
      </c>
      <c r="B326" s="3" t="s">
        <v>43</v>
      </c>
      <c r="C326" s="3" t="s">
        <v>23</v>
      </c>
      <c r="D326" s="3" t="s">
        <v>44</v>
      </c>
      <c r="E326" s="3" t="s">
        <v>52</v>
      </c>
      <c r="F326" s="3" t="s">
        <v>53</v>
      </c>
      <c r="G326" s="3" t="s">
        <v>25</v>
      </c>
      <c r="H326" s="3" t="s">
        <v>25</v>
      </c>
      <c r="I326" s="6">
        <v>44470</v>
      </c>
      <c r="J326" s="4">
        <v>0</v>
      </c>
      <c r="K326" s="4">
        <v>0</v>
      </c>
      <c r="L326" s="4">
        <v>0.34699999999999998</v>
      </c>
      <c r="M326" s="4">
        <v>0.34699999999999998</v>
      </c>
      <c r="N326" s="4">
        <v>0.34699999999999998</v>
      </c>
      <c r="O326" s="4">
        <v>0.34699999999999998</v>
      </c>
      <c r="P326" s="4">
        <v>0</v>
      </c>
      <c r="Q326" s="3" t="s">
        <v>26</v>
      </c>
      <c r="R326" s="3">
        <v>0</v>
      </c>
      <c r="S326" s="4">
        <v>0</v>
      </c>
      <c r="T326" s="4">
        <v>9</v>
      </c>
      <c r="U326" s="4">
        <v>56</v>
      </c>
      <c r="V326" s="4">
        <f>IF(ISERROR(VLOOKUP($S$326,'TAR FIN'!$A$1:$O$85,15,0)),0,VLOOKUP($S$326,'TAR FIN'!$A$1:$O$85,15,0))</f>
        <v>0</v>
      </c>
      <c r="W326" s="4">
        <f>IF(ISERROR(VLOOKUP($T$326,'TAR FIN'!$A$1:$O$85,15,0)),0,VLOOKUP($T$326,'TAR FIN'!$A$1:$O$85,15,0))</f>
        <v>697.32</v>
      </c>
      <c r="X326" s="4">
        <f>IF(ISERROR(VLOOKUP($U$326,'TAR FIN'!$A$1:$O$85,15,0)),0,VLOOKUP($U$326,'TAR FIN'!$A$1:$O$85,15,0))</f>
        <v>203.57</v>
      </c>
      <c r="Y326" s="4"/>
      <c r="Z326" s="4">
        <f ca="1">('TUSD BE'!$AM$33+'TUSD BF'!$AM$33+'TUSD CVA'!$AM$33)*(1-CUSTOS!$M$38)</f>
        <v>911.35112319392283</v>
      </c>
      <c r="AA326" s="4">
        <f>('TE BE'!$AA$24+'TE BF'!$AA$24+'TE CVA'!$AA$24)*(1-CUSTOS!$M$38)</f>
        <v>245.15495345670945</v>
      </c>
      <c r="AB326" s="4">
        <f>$K$326*$V$326</f>
        <v>0</v>
      </c>
      <c r="AC326" s="4">
        <f>$M$326*$W$326</f>
        <v>241.97004000000001</v>
      </c>
      <c r="AD326" s="4">
        <f>$O$326*$X$326</f>
        <v>70.638789999999986</v>
      </c>
      <c r="AE326" s="4">
        <f>$K$326*$Y$326</f>
        <v>0</v>
      </c>
      <c r="AF326" s="4">
        <f ca="1">$M$326*$Z$326</f>
        <v>316.23883974829118</v>
      </c>
      <c r="AG326" s="4">
        <f>$O$326*$AA$326</f>
        <v>85.068768849478175</v>
      </c>
    </row>
    <row r="327" spans="1:33" ht="11.25" customHeight="1" x14ac:dyDescent="0.25">
      <c r="A327" s="3" t="s">
        <v>28</v>
      </c>
      <c r="B327" s="3" t="s">
        <v>43</v>
      </c>
      <c r="C327" s="3" t="s">
        <v>23</v>
      </c>
      <c r="D327" s="3" t="s">
        <v>44</v>
      </c>
      <c r="E327" s="3" t="s">
        <v>52</v>
      </c>
      <c r="F327" s="3" t="s">
        <v>53</v>
      </c>
      <c r="G327" s="3" t="s">
        <v>25</v>
      </c>
      <c r="H327" s="3" t="s">
        <v>25</v>
      </c>
      <c r="I327" s="6">
        <v>44562</v>
      </c>
      <c r="J327" s="4">
        <v>0</v>
      </c>
      <c r="K327" s="4">
        <v>0</v>
      </c>
      <c r="L327" s="4">
        <v>0.78900000000000003</v>
      </c>
      <c r="M327" s="4">
        <v>0.78900000000000003</v>
      </c>
      <c r="N327" s="4">
        <v>0.78900000000000003</v>
      </c>
      <c r="O327" s="4">
        <v>0.78900000000000003</v>
      </c>
      <c r="P327" s="4">
        <v>0</v>
      </c>
      <c r="Q327" s="3" t="s">
        <v>26</v>
      </c>
      <c r="R327" s="3">
        <v>0</v>
      </c>
      <c r="S327" s="4">
        <v>0</v>
      </c>
      <c r="T327" s="4">
        <v>9</v>
      </c>
      <c r="U327" s="4">
        <v>56</v>
      </c>
      <c r="V327" s="4">
        <f>IF(ISERROR(VLOOKUP($S$327,'TAR FIN'!$A$1:$O$85,15,0)),0,VLOOKUP($S$327,'TAR FIN'!$A$1:$O$85,15,0))</f>
        <v>0</v>
      </c>
      <c r="W327" s="4">
        <f>IF(ISERROR(VLOOKUP($T$327,'TAR FIN'!$A$1:$O$85,15,0)),0,VLOOKUP($T$327,'TAR FIN'!$A$1:$O$85,15,0))</f>
        <v>697.32</v>
      </c>
      <c r="X327" s="4">
        <f>IF(ISERROR(VLOOKUP($U$327,'TAR FIN'!$A$1:$O$85,15,0)),0,VLOOKUP($U$327,'TAR FIN'!$A$1:$O$85,15,0))</f>
        <v>203.57</v>
      </c>
      <c r="Y327" s="4"/>
      <c r="Z327" s="4">
        <f ca="1">('TUSD BE'!$AM$33+'TUSD BF'!$AM$33+'TUSD CVA'!$AM$33)*(1-CUSTOS!$M$38)</f>
        <v>911.35112319392283</v>
      </c>
      <c r="AA327" s="4">
        <f>('TE BE'!$AA$24+'TE BF'!$AA$24+'TE CVA'!$AA$24)*(1-CUSTOS!$M$38)</f>
        <v>245.15495345670945</v>
      </c>
      <c r="AB327" s="4">
        <f>$K$327*$V$327</f>
        <v>0</v>
      </c>
      <c r="AC327" s="4">
        <f>$M$327*$W$327</f>
        <v>550.1854800000001</v>
      </c>
      <c r="AD327" s="4">
        <f>$O$327*$X$327</f>
        <v>160.61672999999999</v>
      </c>
      <c r="AE327" s="4">
        <f>$K$327*$Y$327</f>
        <v>0</v>
      </c>
      <c r="AF327" s="4">
        <f ca="1">$M$327*$Z$327</f>
        <v>719.05603620000511</v>
      </c>
      <c r="AG327" s="4">
        <f>$O$327*$AA$327</f>
        <v>193.42725827734375</v>
      </c>
    </row>
    <row r="328" spans="1:33" ht="11.25" customHeight="1" x14ac:dyDescent="0.25">
      <c r="A328" s="3" t="s">
        <v>28</v>
      </c>
      <c r="B328" s="3" t="s">
        <v>43</v>
      </c>
      <c r="C328" s="3" t="s">
        <v>23</v>
      </c>
      <c r="D328" s="3" t="s">
        <v>44</v>
      </c>
      <c r="E328" s="3" t="s">
        <v>52</v>
      </c>
      <c r="F328" s="3" t="s">
        <v>53</v>
      </c>
      <c r="G328" s="3" t="s">
        <v>25</v>
      </c>
      <c r="H328" s="3" t="s">
        <v>25</v>
      </c>
      <c r="I328" s="6">
        <v>44621</v>
      </c>
      <c r="J328" s="4">
        <v>0</v>
      </c>
      <c r="K328" s="4">
        <v>0</v>
      </c>
      <c r="L328" s="4">
        <v>0.1</v>
      </c>
      <c r="M328" s="4">
        <v>0.1</v>
      </c>
      <c r="N328" s="4">
        <v>0.1</v>
      </c>
      <c r="O328" s="4">
        <v>0.1</v>
      </c>
      <c r="P328" s="4">
        <v>0</v>
      </c>
      <c r="Q328" s="3" t="s">
        <v>26</v>
      </c>
      <c r="R328" s="3">
        <v>0</v>
      </c>
      <c r="S328" s="4">
        <v>0</v>
      </c>
      <c r="T328" s="4">
        <v>9</v>
      </c>
      <c r="U328" s="4">
        <v>56</v>
      </c>
      <c r="V328" s="4">
        <f>IF(ISERROR(VLOOKUP($S$328,'TAR FIN'!$A$1:$O$85,15,0)),0,VLOOKUP($S$328,'TAR FIN'!$A$1:$O$85,15,0))</f>
        <v>0</v>
      </c>
      <c r="W328" s="4">
        <f>IF(ISERROR(VLOOKUP($T$328,'TAR FIN'!$A$1:$O$85,15,0)),0,VLOOKUP($T$328,'TAR FIN'!$A$1:$O$85,15,0))</f>
        <v>697.32</v>
      </c>
      <c r="X328" s="4">
        <f>IF(ISERROR(VLOOKUP($U$328,'TAR FIN'!$A$1:$O$85,15,0)),0,VLOOKUP($U$328,'TAR FIN'!$A$1:$O$85,15,0))</f>
        <v>203.57</v>
      </c>
      <c r="Y328" s="4"/>
      <c r="Z328" s="4">
        <f ca="1">('TUSD BE'!$AM$33+'TUSD BF'!$AM$33+'TUSD CVA'!$AM$33)*(1-CUSTOS!$M$38)</f>
        <v>911.35112319392283</v>
      </c>
      <c r="AA328" s="4">
        <f>('TE BE'!$AA$24+'TE BF'!$AA$24+'TE CVA'!$AA$24)*(1-CUSTOS!$M$38)</f>
        <v>245.15495345670945</v>
      </c>
      <c r="AB328" s="4">
        <f>$K$328*$V$328</f>
        <v>0</v>
      </c>
      <c r="AC328" s="4">
        <f>$M$328*$W$328</f>
        <v>69.732000000000014</v>
      </c>
      <c r="AD328" s="4">
        <f>$O$328*$X$328</f>
        <v>20.356999999999999</v>
      </c>
      <c r="AE328" s="4">
        <f>$K$328*$Y$328</f>
        <v>0</v>
      </c>
      <c r="AF328" s="4">
        <f ca="1">$M$328*$Z$328</f>
        <v>91.135112319392292</v>
      </c>
      <c r="AG328" s="4">
        <f>$O$328*$AA$328</f>
        <v>24.515495345670946</v>
      </c>
    </row>
    <row r="329" spans="1:33" ht="11.25" customHeight="1" x14ac:dyDescent="0.25">
      <c r="A329" s="3" t="s">
        <v>21</v>
      </c>
      <c r="B329" s="3" t="s">
        <v>43</v>
      </c>
      <c r="C329" s="3" t="s">
        <v>23</v>
      </c>
      <c r="D329" s="3" t="s">
        <v>44</v>
      </c>
      <c r="E329" s="3" t="s">
        <v>52</v>
      </c>
      <c r="F329" s="3" t="s">
        <v>54</v>
      </c>
      <c r="G329" s="3" t="s">
        <v>25</v>
      </c>
      <c r="H329" s="3" t="s">
        <v>25</v>
      </c>
      <c r="I329" s="6">
        <v>44287</v>
      </c>
      <c r="J329" s="4">
        <v>0</v>
      </c>
      <c r="K329" s="4">
        <v>0</v>
      </c>
      <c r="L329" s="4">
        <v>9.3239999999999998</v>
      </c>
      <c r="M329" s="4">
        <v>3.7296</v>
      </c>
      <c r="N329" s="4">
        <v>9.3239999999999998</v>
      </c>
      <c r="O329" s="4">
        <v>3.7296</v>
      </c>
      <c r="P329" s="4">
        <v>0</v>
      </c>
      <c r="Q329" s="3" t="s">
        <v>26</v>
      </c>
      <c r="R329" s="3">
        <v>0</v>
      </c>
      <c r="S329" s="4">
        <v>0</v>
      </c>
      <c r="T329" s="4">
        <v>9</v>
      </c>
      <c r="U329" s="4">
        <v>56</v>
      </c>
      <c r="V329" s="4">
        <f>IF(ISERROR(VLOOKUP($S$329,'TAR FIN'!$A$1:$O$85,15,0)),0,VLOOKUP($S$329,'TAR FIN'!$A$1:$O$85,15,0))</f>
        <v>0</v>
      </c>
      <c r="W329" s="4">
        <f>IF(ISERROR(VLOOKUP($T$329,'TAR FIN'!$A$1:$O$85,15,0)),0,VLOOKUP($T$329,'TAR FIN'!$A$1:$O$85,15,0))</f>
        <v>697.32</v>
      </c>
      <c r="X329" s="4">
        <f>IF(ISERROR(VLOOKUP($U$329,'TAR FIN'!$A$1:$O$85,15,0)),0,VLOOKUP($U$329,'TAR FIN'!$A$1:$O$85,15,0))</f>
        <v>203.57</v>
      </c>
      <c r="Y329" s="4"/>
      <c r="Z329" s="4">
        <f ca="1">('TUSD BE'!$AM$33+'TUSD BF'!$AM$33+'TUSD CVA'!$AM$33)*(1-CUSTOS!$M$38)</f>
        <v>911.35112319392283</v>
      </c>
      <c r="AA329" s="4">
        <f>('TE BE'!$AA$24+'TE BF'!$AA$24+'TE CVA'!$AA$24)*(1-CUSTOS!$M$38)</f>
        <v>245.15495345670945</v>
      </c>
      <c r="AB329" s="4">
        <f>$K$329*$V$329</f>
        <v>0</v>
      </c>
      <c r="AC329" s="4">
        <f>$M$329*$W$329</f>
        <v>2600.7246720000003</v>
      </c>
      <c r="AD329" s="4">
        <f>$O$329*$X$329</f>
        <v>759.23467199999993</v>
      </c>
      <c r="AE329" s="4">
        <f>$K$329*$Y$329</f>
        <v>0</v>
      </c>
      <c r="AF329" s="4">
        <f ca="1">$M$329*$Z$329</f>
        <v>3398.9751490640547</v>
      </c>
      <c r="AG329" s="4">
        <f>$O$329*$AA$329</f>
        <v>914.32991441214358</v>
      </c>
    </row>
    <row r="330" spans="1:33" ht="11.25" customHeight="1" x14ac:dyDescent="0.25">
      <c r="A330" s="3" t="s">
        <v>28</v>
      </c>
      <c r="B330" s="3" t="s">
        <v>43</v>
      </c>
      <c r="C330" s="3" t="s">
        <v>23</v>
      </c>
      <c r="D330" s="3" t="s">
        <v>44</v>
      </c>
      <c r="E330" s="3" t="s">
        <v>52</v>
      </c>
      <c r="F330" s="3" t="s">
        <v>54</v>
      </c>
      <c r="G330" s="3" t="s">
        <v>25</v>
      </c>
      <c r="H330" s="3" t="s">
        <v>25</v>
      </c>
      <c r="I330" s="6">
        <v>44348</v>
      </c>
      <c r="J330" s="4">
        <v>0</v>
      </c>
      <c r="K330" s="4">
        <v>0</v>
      </c>
      <c r="L330" s="4">
        <v>4.3010000000000002</v>
      </c>
      <c r="M330" s="4">
        <v>1.7203999999999999</v>
      </c>
      <c r="N330" s="4">
        <v>4.3010000000000002</v>
      </c>
      <c r="O330" s="4">
        <v>1.7203999999999999</v>
      </c>
      <c r="P330" s="4">
        <v>0</v>
      </c>
      <c r="Q330" s="3" t="s">
        <v>26</v>
      </c>
      <c r="R330" s="3">
        <v>0</v>
      </c>
      <c r="S330" s="4">
        <v>0</v>
      </c>
      <c r="T330" s="4">
        <v>9</v>
      </c>
      <c r="U330" s="4">
        <v>56</v>
      </c>
      <c r="V330" s="4">
        <f>IF(ISERROR(VLOOKUP($S$330,'TAR FIN'!$A$1:$O$85,15,0)),0,VLOOKUP($S$330,'TAR FIN'!$A$1:$O$85,15,0))</f>
        <v>0</v>
      </c>
      <c r="W330" s="4">
        <f>IF(ISERROR(VLOOKUP($T$330,'TAR FIN'!$A$1:$O$85,15,0)),0,VLOOKUP($T$330,'TAR FIN'!$A$1:$O$85,15,0))</f>
        <v>697.32</v>
      </c>
      <c r="X330" s="4">
        <f>IF(ISERROR(VLOOKUP($U$330,'TAR FIN'!$A$1:$O$85,15,0)),0,VLOOKUP($U$330,'TAR FIN'!$A$1:$O$85,15,0))</f>
        <v>203.57</v>
      </c>
      <c r="Y330" s="4"/>
      <c r="Z330" s="4">
        <f ca="1">('TUSD BE'!$AM$33+'TUSD BF'!$AM$33+'TUSD CVA'!$AM$33)*(1-CUSTOS!$M$38)</f>
        <v>911.35112319392283</v>
      </c>
      <c r="AA330" s="4">
        <f>('TE BE'!$AA$24+'TE BF'!$AA$24+'TE CVA'!$AA$24)*(1-CUSTOS!$M$38)</f>
        <v>245.15495345670945</v>
      </c>
      <c r="AB330" s="4">
        <f>$K$330*$V$330</f>
        <v>0</v>
      </c>
      <c r="AC330" s="4">
        <f>$M$330*$W$330</f>
        <v>1199.669328</v>
      </c>
      <c r="AD330" s="4">
        <f>$O$330*$X$330</f>
        <v>350.22182799999996</v>
      </c>
      <c r="AE330" s="4">
        <f>$K$330*$Y$330</f>
        <v>0</v>
      </c>
      <c r="AF330" s="4">
        <f ca="1">$M$330*$Z$330</f>
        <v>1567.8884723428248</v>
      </c>
      <c r="AG330" s="4">
        <f>$O$330*$AA$330</f>
        <v>421.76458192692292</v>
      </c>
    </row>
    <row r="331" spans="1:33" ht="11.25" customHeight="1" x14ac:dyDescent="0.25">
      <c r="A331" s="3" t="s">
        <v>28</v>
      </c>
      <c r="B331" s="3" t="s">
        <v>43</v>
      </c>
      <c r="C331" s="3" t="s">
        <v>23</v>
      </c>
      <c r="D331" s="3" t="s">
        <v>44</v>
      </c>
      <c r="E331" s="3" t="s">
        <v>52</v>
      </c>
      <c r="F331" s="3" t="s">
        <v>54</v>
      </c>
      <c r="G331" s="3" t="s">
        <v>25</v>
      </c>
      <c r="H331" s="3" t="s">
        <v>25</v>
      </c>
      <c r="I331" s="6">
        <v>44378</v>
      </c>
      <c r="J331" s="4">
        <v>0</v>
      </c>
      <c r="K331" s="4">
        <v>0</v>
      </c>
      <c r="L331" s="4">
        <v>3.6890000000000001</v>
      </c>
      <c r="M331" s="4">
        <v>1.4756</v>
      </c>
      <c r="N331" s="4">
        <v>3.6890000000000001</v>
      </c>
      <c r="O331" s="4">
        <v>1.4756</v>
      </c>
      <c r="P331" s="4">
        <v>0</v>
      </c>
      <c r="Q331" s="3" t="s">
        <v>26</v>
      </c>
      <c r="R331" s="3">
        <v>0</v>
      </c>
      <c r="S331" s="4">
        <v>0</v>
      </c>
      <c r="T331" s="4">
        <v>9</v>
      </c>
      <c r="U331" s="4">
        <v>56</v>
      </c>
      <c r="V331" s="4">
        <f>IF(ISERROR(VLOOKUP($S$331,'TAR FIN'!$A$1:$O$85,15,0)),0,VLOOKUP($S$331,'TAR FIN'!$A$1:$O$85,15,0))</f>
        <v>0</v>
      </c>
      <c r="W331" s="4">
        <f>IF(ISERROR(VLOOKUP($T$331,'TAR FIN'!$A$1:$O$85,15,0)),0,VLOOKUP($T$331,'TAR FIN'!$A$1:$O$85,15,0))</f>
        <v>697.32</v>
      </c>
      <c r="X331" s="4">
        <f>IF(ISERROR(VLOOKUP($U$331,'TAR FIN'!$A$1:$O$85,15,0)),0,VLOOKUP($U$331,'TAR FIN'!$A$1:$O$85,15,0))</f>
        <v>203.57</v>
      </c>
      <c r="Y331" s="4"/>
      <c r="Z331" s="4">
        <f ca="1">('TUSD BE'!$AM$33+'TUSD BF'!$AM$33+'TUSD CVA'!$AM$33)*(1-CUSTOS!$M$38)</f>
        <v>911.35112319392283</v>
      </c>
      <c r="AA331" s="4">
        <f>('TE BE'!$AA$24+'TE BF'!$AA$24+'TE CVA'!$AA$24)*(1-CUSTOS!$M$38)</f>
        <v>245.15495345670945</v>
      </c>
      <c r="AB331" s="4">
        <f>$K$331*$V$331</f>
        <v>0</v>
      </c>
      <c r="AC331" s="4">
        <f>$M$331*$W$331</f>
        <v>1028.9653920000001</v>
      </c>
      <c r="AD331" s="4">
        <f>$O$331*$X$331</f>
        <v>300.38789200000002</v>
      </c>
      <c r="AE331" s="4">
        <f>$K$331*$Y$331</f>
        <v>0</v>
      </c>
      <c r="AF331" s="4">
        <f ca="1">$M$331*$Z$331</f>
        <v>1344.7897173849526</v>
      </c>
      <c r="AG331" s="4">
        <f>$O$331*$AA$331</f>
        <v>361.75064932072047</v>
      </c>
    </row>
    <row r="332" spans="1:33" ht="11.25" customHeight="1" x14ac:dyDescent="0.25">
      <c r="A332" s="3" t="s">
        <v>28</v>
      </c>
      <c r="B332" s="3" t="s">
        <v>43</v>
      </c>
      <c r="C332" s="3" t="s">
        <v>23</v>
      </c>
      <c r="D332" s="3" t="s">
        <v>44</v>
      </c>
      <c r="E332" s="3" t="s">
        <v>52</v>
      </c>
      <c r="F332" s="3" t="s">
        <v>54</v>
      </c>
      <c r="G332" s="3" t="s">
        <v>25</v>
      </c>
      <c r="H332" s="3" t="s">
        <v>25</v>
      </c>
      <c r="I332" s="6">
        <v>44409</v>
      </c>
      <c r="J332" s="4">
        <v>0</v>
      </c>
      <c r="K332" s="4">
        <v>0</v>
      </c>
      <c r="L332" s="4">
        <v>4.5810000000000004</v>
      </c>
      <c r="M332" s="4">
        <v>1.8324</v>
      </c>
      <c r="N332" s="4">
        <v>4.5810000000000004</v>
      </c>
      <c r="O332" s="4">
        <v>1.8324</v>
      </c>
      <c r="P332" s="4">
        <v>0</v>
      </c>
      <c r="Q332" s="3" t="s">
        <v>26</v>
      </c>
      <c r="R332" s="3">
        <v>0</v>
      </c>
      <c r="S332" s="4">
        <v>0</v>
      </c>
      <c r="T332" s="4">
        <v>9</v>
      </c>
      <c r="U332" s="4">
        <v>56</v>
      </c>
      <c r="V332" s="4">
        <f>IF(ISERROR(VLOOKUP($S$332,'TAR FIN'!$A$1:$O$85,15,0)),0,VLOOKUP($S$332,'TAR FIN'!$A$1:$O$85,15,0))</f>
        <v>0</v>
      </c>
      <c r="W332" s="4">
        <f>IF(ISERROR(VLOOKUP($T$332,'TAR FIN'!$A$1:$O$85,15,0)),0,VLOOKUP($T$332,'TAR FIN'!$A$1:$O$85,15,0))</f>
        <v>697.32</v>
      </c>
      <c r="X332" s="4">
        <f>IF(ISERROR(VLOOKUP($U$332,'TAR FIN'!$A$1:$O$85,15,0)),0,VLOOKUP($U$332,'TAR FIN'!$A$1:$O$85,15,0))</f>
        <v>203.57</v>
      </c>
      <c r="Y332" s="4"/>
      <c r="Z332" s="4">
        <f ca="1">('TUSD BE'!$AM$33+'TUSD BF'!$AM$33+'TUSD CVA'!$AM$33)*(1-CUSTOS!$M$38)</f>
        <v>911.35112319392283</v>
      </c>
      <c r="AA332" s="4">
        <f>('TE BE'!$AA$24+'TE BF'!$AA$24+'TE CVA'!$AA$24)*(1-CUSTOS!$M$38)</f>
        <v>245.15495345670945</v>
      </c>
      <c r="AB332" s="4">
        <f>$K$332*$V$332</f>
        <v>0</v>
      </c>
      <c r="AC332" s="4">
        <f>$M$332*$W$332</f>
        <v>1277.769168</v>
      </c>
      <c r="AD332" s="4">
        <f>$O$332*$X$332</f>
        <v>373.02166799999998</v>
      </c>
      <c r="AE332" s="4">
        <f>$K$332*$Y$332</f>
        <v>0</v>
      </c>
      <c r="AF332" s="4">
        <f ca="1">$M$332*$Z$332</f>
        <v>1669.9597981405443</v>
      </c>
      <c r="AG332" s="4">
        <f>$O$332*$AA$332</f>
        <v>449.22193671407439</v>
      </c>
    </row>
    <row r="333" spans="1:33" ht="11.25" customHeight="1" x14ac:dyDescent="0.25">
      <c r="A333" s="3" t="s">
        <v>28</v>
      </c>
      <c r="B333" s="3" t="s">
        <v>43</v>
      </c>
      <c r="C333" s="3" t="s">
        <v>23</v>
      </c>
      <c r="D333" s="3" t="s">
        <v>44</v>
      </c>
      <c r="E333" s="3" t="s">
        <v>52</v>
      </c>
      <c r="F333" s="3" t="s">
        <v>54</v>
      </c>
      <c r="G333" s="3" t="s">
        <v>25</v>
      </c>
      <c r="H333" s="3" t="s">
        <v>25</v>
      </c>
      <c r="I333" s="6">
        <v>44440</v>
      </c>
      <c r="J333" s="4">
        <v>0</v>
      </c>
      <c r="K333" s="4">
        <v>0</v>
      </c>
      <c r="L333" s="4">
        <v>4.3339999999999996</v>
      </c>
      <c r="M333" s="4">
        <v>1.7336</v>
      </c>
      <c r="N333" s="4">
        <v>4.3339999999999996</v>
      </c>
      <c r="O333" s="4">
        <v>1.7336</v>
      </c>
      <c r="P333" s="4">
        <v>0</v>
      </c>
      <c r="Q333" s="3" t="s">
        <v>26</v>
      </c>
      <c r="R333" s="3">
        <v>0</v>
      </c>
      <c r="S333" s="4">
        <v>0</v>
      </c>
      <c r="T333" s="4">
        <v>9</v>
      </c>
      <c r="U333" s="4">
        <v>56</v>
      </c>
      <c r="V333" s="4">
        <f>IF(ISERROR(VLOOKUP($S$333,'TAR FIN'!$A$1:$O$85,15,0)),0,VLOOKUP($S$333,'TAR FIN'!$A$1:$O$85,15,0))</f>
        <v>0</v>
      </c>
      <c r="W333" s="4">
        <f>IF(ISERROR(VLOOKUP($T$333,'TAR FIN'!$A$1:$O$85,15,0)),0,VLOOKUP($T$333,'TAR FIN'!$A$1:$O$85,15,0))</f>
        <v>697.32</v>
      </c>
      <c r="X333" s="4">
        <f>IF(ISERROR(VLOOKUP($U$333,'TAR FIN'!$A$1:$O$85,15,0)),0,VLOOKUP($U$333,'TAR FIN'!$A$1:$O$85,15,0))</f>
        <v>203.57</v>
      </c>
      <c r="Y333" s="4"/>
      <c r="Z333" s="4">
        <f ca="1">('TUSD BE'!$AM$33+'TUSD BF'!$AM$33+'TUSD CVA'!$AM$33)*(1-CUSTOS!$M$38)</f>
        <v>911.35112319392283</v>
      </c>
      <c r="AA333" s="4">
        <f>('TE BE'!$AA$24+'TE BF'!$AA$24+'TE CVA'!$AA$24)*(1-CUSTOS!$M$38)</f>
        <v>245.15495345670945</v>
      </c>
      <c r="AB333" s="4">
        <f>$K$333*$V$333</f>
        <v>0</v>
      </c>
      <c r="AC333" s="4">
        <f>$M$333*$W$333</f>
        <v>1208.8739520000001</v>
      </c>
      <c r="AD333" s="4">
        <f>$O$333*$X$333</f>
        <v>352.908952</v>
      </c>
      <c r="AE333" s="4">
        <f>$K$333*$Y$333</f>
        <v>0</v>
      </c>
      <c r="AF333" s="4">
        <f ca="1">$M$333*$Z$333</f>
        <v>1579.9183071689847</v>
      </c>
      <c r="AG333" s="4">
        <f>$O$333*$AA$333</f>
        <v>425.0006273125515</v>
      </c>
    </row>
    <row r="334" spans="1:33" ht="11.25" customHeight="1" x14ac:dyDescent="0.25">
      <c r="A334" s="3" t="s">
        <v>28</v>
      </c>
      <c r="B334" s="3" t="s">
        <v>43</v>
      </c>
      <c r="C334" s="3" t="s">
        <v>23</v>
      </c>
      <c r="D334" s="3" t="s">
        <v>44</v>
      </c>
      <c r="E334" s="3" t="s">
        <v>52</v>
      </c>
      <c r="F334" s="3" t="s">
        <v>54</v>
      </c>
      <c r="G334" s="3" t="s">
        <v>25</v>
      </c>
      <c r="H334" s="3" t="s">
        <v>25</v>
      </c>
      <c r="I334" s="6">
        <v>44470</v>
      </c>
      <c r="J334" s="4">
        <v>0</v>
      </c>
      <c r="K334" s="4">
        <v>0</v>
      </c>
      <c r="L334" s="4">
        <v>2.9340000000000002</v>
      </c>
      <c r="M334" s="4">
        <v>1.1736</v>
      </c>
      <c r="N334" s="4">
        <v>2.9340000000000002</v>
      </c>
      <c r="O334" s="4">
        <v>1.1736</v>
      </c>
      <c r="P334" s="4">
        <v>0</v>
      </c>
      <c r="Q334" s="3" t="s">
        <v>26</v>
      </c>
      <c r="R334" s="3">
        <v>0</v>
      </c>
      <c r="S334" s="4">
        <v>0</v>
      </c>
      <c r="T334" s="4">
        <v>9</v>
      </c>
      <c r="U334" s="4">
        <v>56</v>
      </c>
      <c r="V334" s="4">
        <f>IF(ISERROR(VLOOKUP($S$334,'TAR FIN'!$A$1:$O$85,15,0)),0,VLOOKUP($S$334,'TAR FIN'!$A$1:$O$85,15,0))</f>
        <v>0</v>
      </c>
      <c r="W334" s="4">
        <f>IF(ISERROR(VLOOKUP($T$334,'TAR FIN'!$A$1:$O$85,15,0)),0,VLOOKUP($T$334,'TAR FIN'!$A$1:$O$85,15,0))</f>
        <v>697.32</v>
      </c>
      <c r="X334" s="4">
        <f>IF(ISERROR(VLOOKUP($U$334,'TAR FIN'!$A$1:$O$85,15,0)),0,VLOOKUP($U$334,'TAR FIN'!$A$1:$O$85,15,0))</f>
        <v>203.57</v>
      </c>
      <c r="Y334" s="4"/>
      <c r="Z334" s="4">
        <f ca="1">('TUSD BE'!$AM$33+'TUSD BF'!$AM$33+'TUSD CVA'!$AM$33)*(1-CUSTOS!$M$38)</f>
        <v>911.35112319392283</v>
      </c>
      <c r="AA334" s="4">
        <f>('TE BE'!$AA$24+'TE BF'!$AA$24+'TE CVA'!$AA$24)*(1-CUSTOS!$M$38)</f>
        <v>245.15495345670945</v>
      </c>
      <c r="AB334" s="4">
        <f>$K$334*$V$334</f>
        <v>0</v>
      </c>
      <c r="AC334" s="4">
        <f>$M$334*$W$334</f>
        <v>818.37475200000006</v>
      </c>
      <c r="AD334" s="4">
        <f>$O$334*$X$334</f>
        <v>238.909752</v>
      </c>
      <c r="AE334" s="4">
        <f>$K$334*$Y$334</f>
        <v>0</v>
      </c>
      <c r="AF334" s="4">
        <f ca="1">$M$334*$Z$334</f>
        <v>1069.5616781803878</v>
      </c>
      <c r="AG334" s="4">
        <f>$O$334*$AA$334</f>
        <v>287.71385337679419</v>
      </c>
    </row>
    <row r="335" spans="1:33" ht="11.25" customHeight="1" x14ac:dyDescent="0.25">
      <c r="A335" s="3" t="s">
        <v>28</v>
      </c>
      <c r="B335" s="3" t="s">
        <v>43</v>
      </c>
      <c r="C335" s="3" t="s">
        <v>23</v>
      </c>
      <c r="D335" s="3" t="s">
        <v>44</v>
      </c>
      <c r="E335" s="3" t="s">
        <v>52</v>
      </c>
      <c r="F335" s="3" t="s">
        <v>54</v>
      </c>
      <c r="G335" s="3" t="s">
        <v>25</v>
      </c>
      <c r="H335" s="3" t="s">
        <v>25</v>
      </c>
      <c r="I335" s="6">
        <v>44501</v>
      </c>
      <c r="J335" s="4">
        <v>0</v>
      </c>
      <c r="K335" s="4">
        <v>0</v>
      </c>
      <c r="L335" s="4">
        <v>0.47399999999999998</v>
      </c>
      <c r="M335" s="4">
        <v>0.18959999999999999</v>
      </c>
      <c r="N335" s="4">
        <v>0.47399999999999998</v>
      </c>
      <c r="O335" s="4">
        <v>0.18959999999999999</v>
      </c>
      <c r="P335" s="4">
        <v>0</v>
      </c>
      <c r="Q335" s="3" t="s">
        <v>26</v>
      </c>
      <c r="R335" s="3">
        <v>0</v>
      </c>
      <c r="S335" s="4">
        <v>0</v>
      </c>
      <c r="T335" s="4">
        <v>9</v>
      </c>
      <c r="U335" s="4">
        <v>56</v>
      </c>
      <c r="V335" s="4">
        <f>IF(ISERROR(VLOOKUP($S$335,'TAR FIN'!$A$1:$O$85,15,0)),0,VLOOKUP($S$335,'TAR FIN'!$A$1:$O$85,15,0))</f>
        <v>0</v>
      </c>
      <c r="W335" s="4">
        <f>IF(ISERROR(VLOOKUP($T$335,'TAR FIN'!$A$1:$O$85,15,0)),0,VLOOKUP($T$335,'TAR FIN'!$A$1:$O$85,15,0))</f>
        <v>697.32</v>
      </c>
      <c r="X335" s="4">
        <f>IF(ISERROR(VLOOKUP($U$335,'TAR FIN'!$A$1:$O$85,15,0)),0,VLOOKUP($U$335,'TAR FIN'!$A$1:$O$85,15,0))</f>
        <v>203.57</v>
      </c>
      <c r="Y335" s="4"/>
      <c r="Z335" s="4">
        <f ca="1">('TUSD BE'!$AM$33+'TUSD BF'!$AM$33+'TUSD CVA'!$AM$33)*(1-CUSTOS!$M$38)</f>
        <v>911.35112319392283</v>
      </c>
      <c r="AA335" s="4">
        <f>('TE BE'!$AA$24+'TE BF'!$AA$24+'TE CVA'!$AA$24)*(1-CUSTOS!$M$38)</f>
        <v>245.15495345670945</v>
      </c>
      <c r="AB335" s="4">
        <f>$K$335*$V$335</f>
        <v>0</v>
      </c>
      <c r="AC335" s="4">
        <f>$M$335*$W$335</f>
        <v>132.211872</v>
      </c>
      <c r="AD335" s="4">
        <f>$O$335*$X$335</f>
        <v>38.596871999999998</v>
      </c>
      <c r="AE335" s="4">
        <f>$K$335*$Y$335</f>
        <v>0</v>
      </c>
      <c r="AF335" s="4">
        <f ca="1">$M$335*$Z$335</f>
        <v>172.79217295756777</v>
      </c>
      <c r="AG335" s="4">
        <f>$O$335*$AA$335</f>
        <v>46.481379175392107</v>
      </c>
    </row>
    <row r="336" spans="1:33" ht="11.25" customHeight="1" x14ac:dyDescent="0.25">
      <c r="A336" s="3" t="s">
        <v>28</v>
      </c>
      <c r="B336" s="3" t="s">
        <v>43</v>
      </c>
      <c r="C336" s="3" t="s">
        <v>23</v>
      </c>
      <c r="D336" s="3" t="s">
        <v>44</v>
      </c>
      <c r="E336" s="3" t="s">
        <v>52</v>
      </c>
      <c r="F336" s="3" t="s">
        <v>54</v>
      </c>
      <c r="G336" s="3" t="s">
        <v>25</v>
      </c>
      <c r="H336" s="3" t="s">
        <v>25</v>
      </c>
      <c r="I336" s="6">
        <v>44531</v>
      </c>
      <c r="J336" s="4">
        <v>0</v>
      </c>
      <c r="K336" s="4">
        <v>0</v>
      </c>
      <c r="L336" s="4">
        <v>0.78900000000000003</v>
      </c>
      <c r="M336" s="4">
        <v>0.31559999999999999</v>
      </c>
      <c r="N336" s="4">
        <v>0.78900000000000003</v>
      </c>
      <c r="O336" s="4">
        <v>0.31559999999999999</v>
      </c>
      <c r="P336" s="4">
        <v>0</v>
      </c>
      <c r="Q336" s="3" t="s">
        <v>26</v>
      </c>
      <c r="R336" s="3">
        <v>0</v>
      </c>
      <c r="S336" s="4">
        <v>0</v>
      </c>
      <c r="T336" s="4">
        <v>9</v>
      </c>
      <c r="U336" s="4">
        <v>56</v>
      </c>
      <c r="V336" s="4">
        <f>IF(ISERROR(VLOOKUP($S$336,'TAR FIN'!$A$1:$O$85,15,0)),0,VLOOKUP($S$336,'TAR FIN'!$A$1:$O$85,15,0))</f>
        <v>0</v>
      </c>
      <c r="W336" s="4">
        <f>IF(ISERROR(VLOOKUP($T$336,'TAR FIN'!$A$1:$O$85,15,0)),0,VLOOKUP($T$336,'TAR FIN'!$A$1:$O$85,15,0))</f>
        <v>697.32</v>
      </c>
      <c r="X336" s="4">
        <f>IF(ISERROR(VLOOKUP($U$336,'TAR FIN'!$A$1:$O$85,15,0)),0,VLOOKUP($U$336,'TAR FIN'!$A$1:$O$85,15,0))</f>
        <v>203.57</v>
      </c>
      <c r="Y336" s="4"/>
      <c r="Z336" s="4">
        <f ca="1">('TUSD BE'!$AM$33+'TUSD BF'!$AM$33+'TUSD CVA'!$AM$33)*(1-CUSTOS!$M$38)</f>
        <v>911.35112319392283</v>
      </c>
      <c r="AA336" s="4">
        <f>('TE BE'!$AA$24+'TE BF'!$AA$24+'TE CVA'!$AA$24)*(1-CUSTOS!$M$38)</f>
        <v>245.15495345670945</v>
      </c>
      <c r="AB336" s="4">
        <f>$K$336*$V$336</f>
        <v>0</v>
      </c>
      <c r="AC336" s="4">
        <f>$M$336*$W$336</f>
        <v>220.07419200000001</v>
      </c>
      <c r="AD336" s="4">
        <f>$O$336*$X$336</f>
        <v>64.246691999999996</v>
      </c>
      <c r="AE336" s="4">
        <f>$K$336*$Y$336</f>
        <v>0</v>
      </c>
      <c r="AF336" s="4">
        <f ca="1">$M$336*$Z$336</f>
        <v>287.62241448000202</v>
      </c>
      <c r="AG336" s="4">
        <f>$O$336*$AA$336</f>
        <v>77.370903310937507</v>
      </c>
    </row>
    <row r="337" spans="1:33" ht="11.25" customHeight="1" x14ac:dyDescent="0.25">
      <c r="A337" s="3" t="s">
        <v>28</v>
      </c>
      <c r="B337" s="3" t="s">
        <v>43</v>
      </c>
      <c r="C337" s="3" t="s">
        <v>23</v>
      </c>
      <c r="D337" s="3" t="s">
        <v>44</v>
      </c>
      <c r="E337" s="3" t="s">
        <v>52</v>
      </c>
      <c r="F337" s="3" t="s">
        <v>54</v>
      </c>
      <c r="G337" s="3" t="s">
        <v>25</v>
      </c>
      <c r="H337" s="3" t="s">
        <v>25</v>
      </c>
      <c r="I337" s="6">
        <v>44562</v>
      </c>
      <c r="J337" s="4">
        <v>0</v>
      </c>
      <c r="K337" s="4">
        <v>0</v>
      </c>
      <c r="L337" s="4">
        <v>3.746</v>
      </c>
      <c r="M337" s="4">
        <v>1.4984</v>
      </c>
      <c r="N337" s="4">
        <v>3.746</v>
      </c>
      <c r="O337" s="4">
        <v>1.4984</v>
      </c>
      <c r="P337" s="4">
        <v>0</v>
      </c>
      <c r="Q337" s="3" t="s">
        <v>26</v>
      </c>
      <c r="R337" s="3">
        <v>0</v>
      </c>
      <c r="S337" s="4">
        <v>0</v>
      </c>
      <c r="T337" s="4">
        <v>9</v>
      </c>
      <c r="U337" s="4">
        <v>56</v>
      </c>
      <c r="V337" s="4">
        <f>IF(ISERROR(VLOOKUP($S$337,'TAR FIN'!$A$1:$O$85,15,0)),0,VLOOKUP($S$337,'TAR FIN'!$A$1:$O$85,15,0))</f>
        <v>0</v>
      </c>
      <c r="W337" s="4">
        <f>IF(ISERROR(VLOOKUP($T$337,'TAR FIN'!$A$1:$O$85,15,0)),0,VLOOKUP($T$337,'TAR FIN'!$A$1:$O$85,15,0))</f>
        <v>697.32</v>
      </c>
      <c r="X337" s="4">
        <f>IF(ISERROR(VLOOKUP($U$337,'TAR FIN'!$A$1:$O$85,15,0)),0,VLOOKUP($U$337,'TAR FIN'!$A$1:$O$85,15,0))</f>
        <v>203.57</v>
      </c>
      <c r="Y337" s="4"/>
      <c r="Z337" s="4">
        <f ca="1">('TUSD BE'!$AM$33+'TUSD BF'!$AM$33+'TUSD CVA'!$AM$33)*(1-CUSTOS!$M$38)</f>
        <v>911.35112319392283</v>
      </c>
      <c r="AA337" s="4">
        <f>('TE BE'!$AA$24+'TE BF'!$AA$24+'TE CVA'!$AA$24)*(1-CUSTOS!$M$38)</f>
        <v>245.15495345670945</v>
      </c>
      <c r="AB337" s="4">
        <f>$K$337*$V$337</f>
        <v>0</v>
      </c>
      <c r="AC337" s="4">
        <f>$M$337*$W$337</f>
        <v>1044.864288</v>
      </c>
      <c r="AD337" s="4">
        <f>$O$337*$X$337</f>
        <v>305.02928800000001</v>
      </c>
      <c r="AE337" s="4">
        <f>$K$337*$Y$337</f>
        <v>0</v>
      </c>
      <c r="AF337" s="4">
        <f ca="1">$M$337*$Z$337</f>
        <v>1365.568522993774</v>
      </c>
      <c r="AG337" s="4">
        <f>$O$337*$AA$337</f>
        <v>367.34018225953344</v>
      </c>
    </row>
    <row r="338" spans="1:33" ht="11.25" customHeight="1" x14ac:dyDescent="0.25">
      <c r="A338" s="3" t="s">
        <v>28</v>
      </c>
      <c r="B338" s="3" t="s">
        <v>43</v>
      </c>
      <c r="C338" s="3" t="s">
        <v>23</v>
      </c>
      <c r="D338" s="3" t="s">
        <v>44</v>
      </c>
      <c r="E338" s="3" t="s">
        <v>52</v>
      </c>
      <c r="F338" s="3" t="s">
        <v>54</v>
      </c>
      <c r="G338" s="3" t="s">
        <v>25</v>
      </c>
      <c r="H338" s="3" t="s">
        <v>25</v>
      </c>
      <c r="I338" s="6">
        <v>44593</v>
      </c>
      <c r="J338" s="4">
        <v>0</v>
      </c>
      <c r="K338" s="4">
        <v>0</v>
      </c>
      <c r="L338" s="4">
        <v>3.93</v>
      </c>
      <c r="M338" s="4">
        <v>1.5720000000000001</v>
      </c>
      <c r="N338" s="4">
        <v>3.93</v>
      </c>
      <c r="O338" s="4">
        <v>1.5720000000000001</v>
      </c>
      <c r="P338" s="4">
        <v>0</v>
      </c>
      <c r="Q338" s="3" t="s">
        <v>26</v>
      </c>
      <c r="R338" s="3">
        <v>0</v>
      </c>
      <c r="S338" s="4">
        <v>0</v>
      </c>
      <c r="T338" s="4">
        <v>9</v>
      </c>
      <c r="U338" s="4">
        <v>56</v>
      </c>
      <c r="V338" s="4">
        <f>IF(ISERROR(VLOOKUP($S$338,'TAR FIN'!$A$1:$O$85,15,0)),0,VLOOKUP($S$338,'TAR FIN'!$A$1:$O$85,15,0))</f>
        <v>0</v>
      </c>
      <c r="W338" s="4">
        <f>IF(ISERROR(VLOOKUP($T$338,'TAR FIN'!$A$1:$O$85,15,0)),0,VLOOKUP($T$338,'TAR FIN'!$A$1:$O$85,15,0))</f>
        <v>697.32</v>
      </c>
      <c r="X338" s="4">
        <f>IF(ISERROR(VLOOKUP($U$338,'TAR FIN'!$A$1:$O$85,15,0)),0,VLOOKUP($U$338,'TAR FIN'!$A$1:$O$85,15,0))</f>
        <v>203.57</v>
      </c>
      <c r="Y338" s="4"/>
      <c r="Z338" s="4">
        <f ca="1">('TUSD BE'!$AM$33+'TUSD BF'!$AM$33+'TUSD CVA'!$AM$33)*(1-CUSTOS!$M$38)</f>
        <v>911.35112319392283</v>
      </c>
      <c r="AA338" s="4">
        <f>('TE BE'!$AA$24+'TE BF'!$AA$24+'TE CVA'!$AA$24)*(1-CUSTOS!$M$38)</f>
        <v>245.15495345670945</v>
      </c>
      <c r="AB338" s="4">
        <f>$K$338*$V$338</f>
        <v>0</v>
      </c>
      <c r="AC338" s="4">
        <f>$M$338*$W$338</f>
        <v>1096.18704</v>
      </c>
      <c r="AD338" s="4">
        <f>$O$338*$X$338</f>
        <v>320.01204000000001</v>
      </c>
      <c r="AE338" s="4">
        <f>$K$338*$Y$338</f>
        <v>0</v>
      </c>
      <c r="AF338" s="4">
        <f ca="1">$M$338*$Z$338</f>
        <v>1432.6439656608468</v>
      </c>
      <c r="AG338" s="4">
        <f>$O$338*$AA$338</f>
        <v>385.38358683394728</v>
      </c>
    </row>
    <row r="339" spans="1:33" ht="11.25" customHeight="1" x14ac:dyDescent="0.25">
      <c r="A339" s="3" t="s">
        <v>21</v>
      </c>
      <c r="B339" s="3" t="s">
        <v>43</v>
      </c>
      <c r="C339" s="3" t="s">
        <v>23</v>
      </c>
      <c r="D339" s="3" t="s">
        <v>44</v>
      </c>
      <c r="E339" s="3" t="s">
        <v>25</v>
      </c>
      <c r="F339" s="3" t="s">
        <v>25</v>
      </c>
      <c r="G339" s="3" t="s">
        <v>25</v>
      </c>
      <c r="H339" s="3" t="s">
        <v>25</v>
      </c>
      <c r="I339" s="6">
        <v>44287</v>
      </c>
      <c r="J339" s="4">
        <v>0</v>
      </c>
      <c r="K339" s="4">
        <v>0</v>
      </c>
      <c r="L339" s="4">
        <v>315.08999999999997</v>
      </c>
      <c r="M339" s="4">
        <v>315.08999999999997</v>
      </c>
      <c r="N339" s="4">
        <v>315.08999999999997</v>
      </c>
      <c r="O339" s="4">
        <v>315.08999999999997</v>
      </c>
      <c r="P339" s="4">
        <v>577</v>
      </c>
      <c r="Q339" s="3" t="s">
        <v>26</v>
      </c>
      <c r="R339" s="3">
        <v>0</v>
      </c>
      <c r="S339" s="4">
        <v>0</v>
      </c>
      <c r="T339" s="4">
        <v>9</v>
      </c>
      <c r="U339" s="4">
        <v>56</v>
      </c>
      <c r="V339" s="4">
        <f>IF(ISERROR(VLOOKUP($S$339,'TAR FIN'!$A$1:$O$85,15,0)),0,VLOOKUP($S$339,'TAR FIN'!$A$1:$O$85,15,0))</f>
        <v>0</v>
      </c>
      <c r="W339" s="4">
        <f>IF(ISERROR(VLOOKUP($T$339,'TAR FIN'!$A$1:$O$85,15,0)),0,VLOOKUP($T$339,'TAR FIN'!$A$1:$O$85,15,0))</f>
        <v>697.32</v>
      </c>
      <c r="X339" s="4">
        <f>IF(ISERROR(VLOOKUP($U$339,'TAR FIN'!$A$1:$O$85,15,0)),0,VLOOKUP($U$339,'TAR FIN'!$A$1:$O$85,15,0))</f>
        <v>203.57</v>
      </c>
      <c r="Y339" s="4"/>
      <c r="Z339" s="4">
        <f ca="1">('TUSD BE'!$AM$33+'TUSD BF'!$AM$33+'TUSD CVA'!$AM$33)*(1-CUSTOS!$M$38)</f>
        <v>911.35112319392283</v>
      </c>
      <c r="AA339" s="4">
        <f>('TE BE'!$AA$24+'TE BF'!$AA$24+'TE CVA'!$AA$24)*(1-CUSTOS!$M$38)</f>
        <v>245.15495345670945</v>
      </c>
      <c r="AB339" s="4">
        <f>$K$339*$V$339</f>
        <v>0</v>
      </c>
      <c r="AC339" s="4">
        <f>$M$339*$W$339</f>
        <v>219718.5588</v>
      </c>
      <c r="AD339" s="4">
        <f>$O$339*$X$339</f>
        <v>64142.871299999992</v>
      </c>
      <c r="AE339" s="4">
        <f>$K$339*$Y$339</f>
        <v>0</v>
      </c>
      <c r="AF339" s="4">
        <f ca="1">$M$339*$Z$339</f>
        <v>287157.62540717312</v>
      </c>
      <c r="AG339" s="4">
        <f>$O$339*$AA$339</f>
        <v>77245.874284674574</v>
      </c>
    </row>
    <row r="340" spans="1:33" ht="11.25" customHeight="1" x14ac:dyDescent="0.25">
      <c r="A340" s="3" t="s">
        <v>27</v>
      </c>
      <c r="B340" s="3" t="s">
        <v>43</v>
      </c>
      <c r="C340" s="3" t="s">
        <v>23</v>
      </c>
      <c r="D340" s="3" t="s">
        <v>44</v>
      </c>
      <c r="E340" s="3" t="s">
        <v>25</v>
      </c>
      <c r="F340" s="3" t="s">
        <v>25</v>
      </c>
      <c r="G340" s="3" t="s">
        <v>25</v>
      </c>
      <c r="H340" s="3" t="s">
        <v>25</v>
      </c>
      <c r="I340" s="6">
        <v>44287</v>
      </c>
      <c r="J340" s="4">
        <v>0</v>
      </c>
      <c r="K340" s="4">
        <v>0</v>
      </c>
      <c r="L340" s="4">
        <v>-1.155</v>
      </c>
      <c r="M340" s="4">
        <v>-1.155</v>
      </c>
      <c r="N340" s="4">
        <v>-1.155</v>
      </c>
      <c r="O340" s="4">
        <v>-1.155</v>
      </c>
      <c r="P340" s="4">
        <v>0</v>
      </c>
      <c r="Q340" s="3" t="s">
        <v>26</v>
      </c>
      <c r="R340" s="3">
        <v>0</v>
      </c>
      <c r="S340" s="4">
        <v>0</v>
      </c>
      <c r="T340" s="4">
        <v>9</v>
      </c>
      <c r="U340" s="4">
        <v>56</v>
      </c>
      <c r="V340" s="4">
        <f>IF(ISERROR(VLOOKUP($S$340,'TAR FIN'!$A$1:$O$85,15,0)),0,VLOOKUP($S$340,'TAR FIN'!$A$1:$O$85,15,0))</f>
        <v>0</v>
      </c>
      <c r="W340" s="4">
        <f>IF(ISERROR(VLOOKUP($T$340,'TAR FIN'!$A$1:$O$85,15,0)),0,VLOOKUP($T$340,'TAR FIN'!$A$1:$O$85,15,0))</f>
        <v>697.32</v>
      </c>
      <c r="X340" s="4">
        <f>IF(ISERROR(VLOOKUP($U$340,'TAR FIN'!$A$1:$O$85,15,0)),0,VLOOKUP($U$340,'TAR FIN'!$A$1:$O$85,15,0))</f>
        <v>203.57</v>
      </c>
      <c r="Y340" s="4"/>
      <c r="Z340" s="4">
        <f ca="1">('TUSD BE'!$AM$33+'TUSD BF'!$AM$33+'TUSD CVA'!$AM$33)*(1-CUSTOS!$M$38)</f>
        <v>911.35112319392283</v>
      </c>
      <c r="AA340" s="4">
        <f>('TE BE'!$AA$24+'TE BF'!$AA$24+'TE CVA'!$AA$24)*(1-CUSTOS!$M$38)</f>
        <v>245.15495345670945</v>
      </c>
      <c r="AB340" s="4">
        <f>$K$340*$V$340</f>
        <v>0</v>
      </c>
      <c r="AC340" s="4">
        <f>$M$340*$W$340</f>
        <v>-805.40460000000007</v>
      </c>
      <c r="AD340" s="4">
        <f>$O$340*$X$340</f>
        <v>-235.12334999999999</v>
      </c>
      <c r="AE340" s="4">
        <f>$K$340*$Y$340</f>
        <v>0</v>
      </c>
      <c r="AF340" s="4">
        <f ca="1">$M$340*$Z$340</f>
        <v>-1052.6105472889808</v>
      </c>
      <c r="AG340" s="4">
        <f>$O$340*$AA$340</f>
        <v>-283.15397124249944</v>
      </c>
    </row>
    <row r="341" spans="1:33" ht="11.25" customHeight="1" x14ac:dyDescent="0.25">
      <c r="A341" s="3" t="s">
        <v>28</v>
      </c>
      <c r="B341" s="3" t="s">
        <v>43</v>
      </c>
      <c r="C341" s="3" t="s">
        <v>23</v>
      </c>
      <c r="D341" s="3" t="s">
        <v>44</v>
      </c>
      <c r="E341" s="3" t="s">
        <v>25</v>
      </c>
      <c r="F341" s="3" t="s">
        <v>25</v>
      </c>
      <c r="G341" s="3" t="s">
        <v>25</v>
      </c>
      <c r="H341" s="3" t="s">
        <v>25</v>
      </c>
      <c r="I341" s="6">
        <v>44287</v>
      </c>
      <c r="J341" s="4">
        <v>0</v>
      </c>
      <c r="K341" s="4">
        <v>0</v>
      </c>
      <c r="L341" s="4">
        <v>20.838999999999999</v>
      </c>
      <c r="M341" s="4">
        <v>20.838999999999999</v>
      </c>
      <c r="N341" s="4">
        <v>20.838999999999999</v>
      </c>
      <c r="O341" s="4">
        <v>20.838999999999999</v>
      </c>
      <c r="P341" s="4">
        <v>24</v>
      </c>
      <c r="Q341" s="3" t="s">
        <v>26</v>
      </c>
      <c r="R341" s="3">
        <v>0</v>
      </c>
      <c r="S341" s="4">
        <v>0</v>
      </c>
      <c r="T341" s="4">
        <v>9</v>
      </c>
      <c r="U341" s="4">
        <v>56</v>
      </c>
      <c r="V341" s="4">
        <f>IF(ISERROR(VLOOKUP($S$341,'TAR FIN'!$A$1:$O$85,15,0)),0,VLOOKUP($S$341,'TAR FIN'!$A$1:$O$85,15,0))</f>
        <v>0</v>
      </c>
      <c r="W341" s="4">
        <f>IF(ISERROR(VLOOKUP($T$341,'TAR FIN'!$A$1:$O$85,15,0)),0,VLOOKUP($T$341,'TAR FIN'!$A$1:$O$85,15,0))</f>
        <v>697.32</v>
      </c>
      <c r="X341" s="4">
        <f>IF(ISERROR(VLOOKUP($U$341,'TAR FIN'!$A$1:$O$85,15,0)),0,VLOOKUP($U$341,'TAR FIN'!$A$1:$O$85,15,0))</f>
        <v>203.57</v>
      </c>
      <c r="Y341" s="4"/>
      <c r="Z341" s="4">
        <f ca="1">('TUSD BE'!$AM$33+'TUSD BF'!$AM$33+'TUSD CVA'!$AM$33)*(1-CUSTOS!$M$38)</f>
        <v>911.35112319392283</v>
      </c>
      <c r="AA341" s="4">
        <f>('TE BE'!$AA$24+'TE BF'!$AA$24+'TE CVA'!$AA$24)*(1-CUSTOS!$M$38)</f>
        <v>245.15495345670945</v>
      </c>
      <c r="AB341" s="4">
        <f>$K$341*$V$341</f>
        <v>0</v>
      </c>
      <c r="AC341" s="4">
        <f>$M$341*$W$341</f>
        <v>14531.45148</v>
      </c>
      <c r="AD341" s="4">
        <f>$O$341*$X$341</f>
        <v>4242.1952299999994</v>
      </c>
      <c r="AE341" s="4">
        <f>$K$341*$Y$341</f>
        <v>0</v>
      </c>
      <c r="AF341" s="4">
        <f ca="1">$M$341*$Z$341</f>
        <v>18991.646056238158</v>
      </c>
      <c r="AG341" s="4">
        <f>$O$341*$AA$341</f>
        <v>5108.7840750843679</v>
      </c>
    </row>
    <row r="342" spans="1:33" ht="11.25" customHeight="1" x14ac:dyDescent="0.25">
      <c r="A342" s="3" t="s">
        <v>21</v>
      </c>
      <c r="B342" s="3" t="s">
        <v>43</v>
      </c>
      <c r="C342" s="3" t="s">
        <v>23</v>
      </c>
      <c r="D342" s="3" t="s">
        <v>44</v>
      </c>
      <c r="E342" s="3" t="s">
        <v>25</v>
      </c>
      <c r="F342" s="3" t="s">
        <v>25</v>
      </c>
      <c r="G342" s="3" t="s">
        <v>25</v>
      </c>
      <c r="H342" s="3" t="s">
        <v>25</v>
      </c>
      <c r="I342" s="6">
        <v>44317</v>
      </c>
      <c r="J342" s="4">
        <v>0</v>
      </c>
      <c r="K342" s="4">
        <v>0</v>
      </c>
      <c r="L342" s="4">
        <v>258.86500000000001</v>
      </c>
      <c r="M342" s="4">
        <v>258.86500000000001</v>
      </c>
      <c r="N342" s="4">
        <v>258.86500000000001</v>
      </c>
      <c r="O342" s="4">
        <v>258.86500000000001</v>
      </c>
      <c r="P342" s="4">
        <v>571</v>
      </c>
      <c r="Q342" s="3" t="s">
        <v>26</v>
      </c>
      <c r="R342" s="3">
        <v>0</v>
      </c>
      <c r="S342" s="4">
        <v>0</v>
      </c>
      <c r="T342" s="4">
        <v>9</v>
      </c>
      <c r="U342" s="4">
        <v>56</v>
      </c>
      <c r="V342" s="4">
        <f>IF(ISERROR(VLOOKUP($S$342,'TAR FIN'!$A$1:$O$85,15,0)),0,VLOOKUP($S$342,'TAR FIN'!$A$1:$O$85,15,0))</f>
        <v>0</v>
      </c>
      <c r="W342" s="4">
        <f>IF(ISERROR(VLOOKUP($T$342,'TAR FIN'!$A$1:$O$85,15,0)),0,VLOOKUP($T$342,'TAR FIN'!$A$1:$O$85,15,0))</f>
        <v>697.32</v>
      </c>
      <c r="X342" s="4">
        <f>IF(ISERROR(VLOOKUP($U$342,'TAR FIN'!$A$1:$O$85,15,0)),0,VLOOKUP($U$342,'TAR FIN'!$A$1:$O$85,15,0))</f>
        <v>203.57</v>
      </c>
      <c r="Y342" s="4"/>
      <c r="Z342" s="4">
        <f ca="1">('TUSD BE'!$AM$33+'TUSD BF'!$AM$33+'TUSD CVA'!$AM$33)*(1-CUSTOS!$M$38)</f>
        <v>911.35112319392283</v>
      </c>
      <c r="AA342" s="4">
        <f>('TE BE'!$AA$24+'TE BF'!$AA$24+'TE CVA'!$AA$24)*(1-CUSTOS!$M$38)</f>
        <v>245.15495345670945</v>
      </c>
      <c r="AB342" s="4">
        <f>$K$342*$V$342</f>
        <v>0</v>
      </c>
      <c r="AC342" s="4">
        <f>$M$342*$W$342</f>
        <v>180511.74180000002</v>
      </c>
      <c r="AD342" s="4">
        <f>$O$342*$X$342</f>
        <v>52697.148050000003</v>
      </c>
      <c r="AE342" s="4">
        <f>$K$342*$Y$342</f>
        <v>0</v>
      </c>
      <c r="AF342" s="4">
        <f ca="1">$M$342*$Z$342</f>
        <v>235916.90850559485</v>
      </c>
      <c r="AG342" s="4">
        <f>$O$342*$AA$342</f>
        <v>63462.037026571095</v>
      </c>
    </row>
    <row r="343" spans="1:33" ht="11.25" customHeight="1" x14ac:dyDescent="0.25">
      <c r="A343" s="3" t="s">
        <v>28</v>
      </c>
      <c r="B343" s="3" t="s">
        <v>43</v>
      </c>
      <c r="C343" s="3" t="s">
        <v>23</v>
      </c>
      <c r="D343" s="3" t="s">
        <v>44</v>
      </c>
      <c r="E343" s="3" t="s">
        <v>25</v>
      </c>
      <c r="F343" s="3" t="s">
        <v>25</v>
      </c>
      <c r="G343" s="3" t="s">
        <v>25</v>
      </c>
      <c r="H343" s="3" t="s">
        <v>25</v>
      </c>
      <c r="I343" s="6">
        <v>44317</v>
      </c>
      <c r="J343" s="4">
        <v>0</v>
      </c>
      <c r="K343" s="4">
        <v>0</v>
      </c>
      <c r="L343" s="4">
        <v>24.317</v>
      </c>
      <c r="M343" s="4">
        <v>24.317</v>
      </c>
      <c r="N343" s="4">
        <v>24.317</v>
      </c>
      <c r="O343" s="4">
        <v>24.317</v>
      </c>
      <c r="P343" s="4">
        <v>30</v>
      </c>
      <c r="Q343" s="3" t="s">
        <v>26</v>
      </c>
      <c r="R343" s="3">
        <v>0</v>
      </c>
      <c r="S343" s="4">
        <v>0</v>
      </c>
      <c r="T343" s="4">
        <v>9</v>
      </c>
      <c r="U343" s="4">
        <v>56</v>
      </c>
      <c r="V343" s="4">
        <f>IF(ISERROR(VLOOKUP($S$343,'TAR FIN'!$A$1:$O$85,15,0)),0,VLOOKUP($S$343,'TAR FIN'!$A$1:$O$85,15,0))</f>
        <v>0</v>
      </c>
      <c r="W343" s="4">
        <f>IF(ISERROR(VLOOKUP($T$343,'TAR FIN'!$A$1:$O$85,15,0)),0,VLOOKUP($T$343,'TAR FIN'!$A$1:$O$85,15,0))</f>
        <v>697.32</v>
      </c>
      <c r="X343" s="4">
        <f>IF(ISERROR(VLOOKUP($U$343,'TAR FIN'!$A$1:$O$85,15,0)),0,VLOOKUP($U$343,'TAR FIN'!$A$1:$O$85,15,0))</f>
        <v>203.57</v>
      </c>
      <c r="Y343" s="4"/>
      <c r="Z343" s="4">
        <f ca="1">('TUSD BE'!$AM$33+'TUSD BF'!$AM$33+'TUSD CVA'!$AM$33)*(1-CUSTOS!$M$38)</f>
        <v>911.35112319392283</v>
      </c>
      <c r="AA343" s="4">
        <f>('TE BE'!$AA$24+'TE BF'!$AA$24+'TE CVA'!$AA$24)*(1-CUSTOS!$M$38)</f>
        <v>245.15495345670945</v>
      </c>
      <c r="AB343" s="4">
        <f>$K$343*$V$343</f>
        <v>0</v>
      </c>
      <c r="AC343" s="4">
        <f>$M$343*$W$343</f>
        <v>16956.730440000003</v>
      </c>
      <c r="AD343" s="4">
        <f>$O$343*$X$343</f>
        <v>4950.2116900000001</v>
      </c>
      <c r="AE343" s="4">
        <f>$K$343*$Y$343</f>
        <v>0</v>
      </c>
      <c r="AF343" s="4">
        <f ca="1">$M$343*$Z$343</f>
        <v>22161.325262706621</v>
      </c>
      <c r="AG343" s="4">
        <f>$O$343*$AA$343</f>
        <v>5961.4330032068037</v>
      </c>
    </row>
    <row r="344" spans="1:33" ht="11.25" customHeight="1" x14ac:dyDescent="0.25">
      <c r="A344" s="3" t="s">
        <v>21</v>
      </c>
      <c r="B344" s="3" t="s">
        <v>43</v>
      </c>
      <c r="C344" s="3" t="s">
        <v>23</v>
      </c>
      <c r="D344" s="3" t="s">
        <v>44</v>
      </c>
      <c r="E344" s="3" t="s">
        <v>25</v>
      </c>
      <c r="F344" s="3" t="s">
        <v>25</v>
      </c>
      <c r="G344" s="3" t="s">
        <v>25</v>
      </c>
      <c r="H344" s="3" t="s">
        <v>25</v>
      </c>
      <c r="I344" s="6">
        <v>44348</v>
      </c>
      <c r="J344" s="4">
        <v>0</v>
      </c>
      <c r="K344" s="4">
        <v>0</v>
      </c>
      <c r="L344" s="4">
        <v>244.72399999999999</v>
      </c>
      <c r="M344" s="4">
        <v>244.72399999999999</v>
      </c>
      <c r="N344" s="4">
        <v>244.72399999999999</v>
      </c>
      <c r="O344" s="4">
        <v>244.72399999999999</v>
      </c>
      <c r="P344" s="4">
        <v>574</v>
      </c>
      <c r="Q344" s="3" t="s">
        <v>26</v>
      </c>
      <c r="R344" s="3">
        <v>0</v>
      </c>
      <c r="S344" s="4">
        <v>0</v>
      </c>
      <c r="T344" s="4">
        <v>9</v>
      </c>
      <c r="U344" s="4">
        <v>56</v>
      </c>
      <c r="V344" s="4">
        <f>IF(ISERROR(VLOOKUP($S$344,'TAR FIN'!$A$1:$O$85,15,0)),0,VLOOKUP($S$344,'TAR FIN'!$A$1:$O$85,15,0))</f>
        <v>0</v>
      </c>
      <c r="W344" s="4">
        <f>IF(ISERROR(VLOOKUP($T$344,'TAR FIN'!$A$1:$O$85,15,0)),0,VLOOKUP($T$344,'TAR FIN'!$A$1:$O$85,15,0))</f>
        <v>697.32</v>
      </c>
      <c r="X344" s="4">
        <f>IF(ISERROR(VLOOKUP($U$344,'TAR FIN'!$A$1:$O$85,15,0)),0,VLOOKUP($U$344,'TAR FIN'!$A$1:$O$85,15,0))</f>
        <v>203.57</v>
      </c>
      <c r="Y344" s="4"/>
      <c r="Z344" s="4">
        <f ca="1">('TUSD BE'!$AM$33+'TUSD BF'!$AM$33+'TUSD CVA'!$AM$33)*(1-CUSTOS!$M$38)</f>
        <v>911.35112319392283</v>
      </c>
      <c r="AA344" s="4">
        <f>('TE BE'!$AA$24+'TE BF'!$AA$24+'TE CVA'!$AA$24)*(1-CUSTOS!$M$38)</f>
        <v>245.15495345670945</v>
      </c>
      <c r="AB344" s="4">
        <f>$K$344*$V$344</f>
        <v>0</v>
      </c>
      <c r="AC344" s="4">
        <f>$M$344*$W$344</f>
        <v>170650.93968000001</v>
      </c>
      <c r="AD344" s="4">
        <f>$O$344*$X$344</f>
        <v>49818.464679999997</v>
      </c>
      <c r="AE344" s="4">
        <f>$K$344*$Y$344</f>
        <v>0</v>
      </c>
      <c r="AF344" s="4">
        <f ca="1">$M$344*$Z$344</f>
        <v>223029.49227250955</v>
      </c>
      <c r="AG344" s="4">
        <f>$O$344*$AA$344</f>
        <v>59995.300829739761</v>
      </c>
    </row>
    <row r="345" spans="1:33" ht="11.25" customHeight="1" x14ac:dyDescent="0.25">
      <c r="A345" s="3" t="s">
        <v>28</v>
      </c>
      <c r="B345" s="3" t="s">
        <v>43</v>
      </c>
      <c r="C345" s="3" t="s">
        <v>23</v>
      </c>
      <c r="D345" s="3" t="s">
        <v>44</v>
      </c>
      <c r="E345" s="3" t="s">
        <v>25</v>
      </c>
      <c r="F345" s="3" t="s">
        <v>25</v>
      </c>
      <c r="G345" s="3" t="s">
        <v>25</v>
      </c>
      <c r="H345" s="3" t="s">
        <v>25</v>
      </c>
      <c r="I345" s="6">
        <v>44348</v>
      </c>
      <c r="J345" s="4">
        <v>0</v>
      </c>
      <c r="K345" s="4">
        <v>0</v>
      </c>
      <c r="L345" s="4">
        <v>24.001999999999999</v>
      </c>
      <c r="M345" s="4">
        <v>24.001999999999999</v>
      </c>
      <c r="N345" s="4">
        <v>24.001999999999999</v>
      </c>
      <c r="O345" s="4">
        <v>24.001999999999999</v>
      </c>
      <c r="P345" s="4">
        <v>29</v>
      </c>
      <c r="Q345" s="3" t="s">
        <v>26</v>
      </c>
      <c r="R345" s="3">
        <v>0</v>
      </c>
      <c r="S345" s="4">
        <v>0</v>
      </c>
      <c r="T345" s="4">
        <v>9</v>
      </c>
      <c r="U345" s="4">
        <v>56</v>
      </c>
      <c r="V345" s="4">
        <f>IF(ISERROR(VLOOKUP($S$345,'TAR FIN'!$A$1:$O$85,15,0)),0,VLOOKUP($S$345,'TAR FIN'!$A$1:$O$85,15,0))</f>
        <v>0</v>
      </c>
      <c r="W345" s="4">
        <f>IF(ISERROR(VLOOKUP($T$345,'TAR FIN'!$A$1:$O$85,15,0)),0,VLOOKUP($T$345,'TAR FIN'!$A$1:$O$85,15,0))</f>
        <v>697.32</v>
      </c>
      <c r="X345" s="4">
        <f>IF(ISERROR(VLOOKUP($U$345,'TAR FIN'!$A$1:$O$85,15,0)),0,VLOOKUP($U$345,'TAR FIN'!$A$1:$O$85,15,0))</f>
        <v>203.57</v>
      </c>
      <c r="Y345" s="4"/>
      <c r="Z345" s="4">
        <f ca="1">('TUSD BE'!$AM$33+'TUSD BF'!$AM$33+'TUSD CVA'!$AM$33)*(1-CUSTOS!$M$38)</f>
        <v>911.35112319392283</v>
      </c>
      <c r="AA345" s="4">
        <f>('TE BE'!$AA$24+'TE BF'!$AA$24+'TE CVA'!$AA$24)*(1-CUSTOS!$M$38)</f>
        <v>245.15495345670945</v>
      </c>
      <c r="AB345" s="4">
        <f>$K$345*$V$345</f>
        <v>0</v>
      </c>
      <c r="AC345" s="4">
        <f>$M$345*$W$345</f>
        <v>16737.074639999999</v>
      </c>
      <c r="AD345" s="4">
        <f>$O$345*$X$345</f>
        <v>4886.0871399999996</v>
      </c>
      <c r="AE345" s="4">
        <f>$K$345*$Y$345</f>
        <v>0</v>
      </c>
      <c r="AF345" s="4">
        <f ca="1">$M$345*$Z$345</f>
        <v>21874.249658900535</v>
      </c>
      <c r="AG345" s="4">
        <f>$O$345*$AA$345</f>
        <v>5884.2091928679401</v>
      </c>
    </row>
    <row r="346" spans="1:33" ht="11.25" customHeight="1" x14ac:dyDescent="0.25">
      <c r="A346" s="3" t="s">
        <v>21</v>
      </c>
      <c r="B346" s="3" t="s">
        <v>43</v>
      </c>
      <c r="C346" s="3" t="s">
        <v>23</v>
      </c>
      <c r="D346" s="3" t="s">
        <v>44</v>
      </c>
      <c r="E346" s="3" t="s">
        <v>25</v>
      </c>
      <c r="F346" s="3" t="s">
        <v>25</v>
      </c>
      <c r="G346" s="3" t="s">
        <v>25</v>
      </c>
      <c r="H346" s="3" t="s">
        <v>25</v>
      </c>
      <c r="I346" s="6">
        <v>44378</v>
      </c>
      <c r="J346" s="4">
        <v>0</v>
      </c>
      <c r="K346" s="4">
        <v>0</v>
      </c>
      <c r="L346" s="4">
        <v>235.14400000000001</v>
      </c>
      <c r="M346" s="4">
        <v>235.14400000000001</v>
      </c>
      <c r="N346" s="4">
        <v>235.14400000000001</v>
      </c>
      <c r="O346" s="4">
        <v>235.14400000000001</v>
      </c>
      <c r="P346" s="4">
        <v>575</v>
      </c>
      <c r="Q346" s="3" t="s">
        <v>26</v>
      </c>
      <c r="R346" s="3">
        <v>0</v>
      </c>
      <c r="S346" s="4">
        <v>0</v>
      </c>
      <c r="T346" s="4">
        <v>9</v>
      </c>
      <c r="U346" s="4">
        <v>56</v>
      </c>
      <c r="V346" s="4">
        <f>IF(ISERROR(VLOOKUP($S$346,'TAR FIN'!$A$1:$O$85,15,0)),0,VLOOKUP($S$346,'TAR FIN'!$A$1:$O$85,15,0))</f>
        <v>0</v>
      </c>
      <c r="W346" s="4">
        <f>IF(ISERROR(VLOOKUP($T$346,'TAR FIN'!$A$1:$O$85,15,0)),0,VLOOKUP($T$346,'TAR FIN'!$A$1:$O$85,15,0))</f>
        <v>697.32</v>
      </c>
      <c r="X346" s="4">
        <f>IF(ISERROR(VLOOKUP($U$346,'TAR FIN'!$A$1:$O$85,15,0)),0,VLOOKUP($U$346,'TAR FIN'!$A$1:$O$85,15,0))</f>
        <v>203.57</v>
      </c>
      <c r="Y346" s="4"/>
      <c r="Z346" s="4">
        <f ca="1">('TUSD BE'!$AM$33+'TUSD BF'!$AM$33+'TUSD CVA'!$AM$33)*(1-CUSTOS!$M$38)</f>
        <v>911.35112319392283</v>
      </c>
      <c r="AA346" s="4">
        <f>('TE BE'!$AA$24+'TE BF'!$AA$24+'TE CVA'!$AA$24)*(1-CUSTOS!$M$38)</f>
        <v>245.15495345670945</v>
      </c>
      <c r="AB346" s="4">
        <f>$K$346*$V$346</f>
        <v>0</v>
      </c>
      <c r="AC346" s="4">
        <f>$M$346*$W$346</f>
        <v>163970.61408000003</v>
      </c>
      <c r="AD346" s="4">
        <f>$O$346*$X$346</f>
        <v>47868.264080000001</v>
      </c>
      <c r="AE346" s="4">
        <f>$K$346*$Y$346</f>
        <v>0</v>
      </c>
      <c r="AF346" s="4">
        <f ca="1">$M$346*$Z$346</f>
        <v>214298.74851231181</v>
      </c>
      <c r="AG346" s="4">
        <f>$O$346*$AA$346</f>
        <v>57646.716375624492</v>
      </c>
    </row>
    <row r="347" spans="1:33" ht="11.25" customHeight="1" x14ac:dyDescent="0.25">
      <c r="A347" s="3" t="s">
        <v>27</v>
      </c>
      <c r="B347" s="3" t="s">
        <v>43</v>
      </c>
      <c r="C347" s="3" t="s">
        <v>23</v>
      </c>
      <c r="D347" s="3" t="s">
        <v>44</v>
      </c>
      <c r="E347" s="3" t="s">
        <v>25</v>
      </c>
      <c r="F347" s="3" t="s">
        <v>25</v>
      </c>
      <c r="G347" s="3" t="s">
        <v>25</v>
      </c>
      <c r="H347" s="3" t="s">
        <v>25</v>
      </c>
      <c r="I347" s="6">
        <v>44378</v>
      </c>
      <c r="J347" s="4">
        <v>0</v>
      </c>
      <c r="K347" s="4">
        <v>0</v>
      </c>
      <c r="L347" s="4">
        <v>-9.6000000000000002E-2</v>
      </c>
      <c r="M347" s="4">
        <v>-9.6000000000000002E-2</v>
      </c>
      <c r="N347" s="4">
        <v>-9.6000000000000002E-2</v>
      </c>
      <c r="O347" s="4">
        <v>-9.6000000000000002E-2</v>
      </c>
      <c r="P347" s="4">
        <v>0</v>
      </c>
      <c r="Q347" s="3" t="s">
        <v>26</v>
      </c>
      <c r="R347" s="3">
        <v>0</v>
      </c>
      <c r="S347" s="4">
        <v>0</v>
      </c>
      <c r="T347" s="4">
        <v>9</v>
      </c>
      <c r="U347" s="4">
        <v>56</v>
      </c>
      <c r="V347" s="4">
        <f>IF(ISERROR(VLOOKUP($S$347,'TAR FIN'!$A$1:$O$85,15,0)),0,VLOOKUP($S$347,'TAR FIN'!$A$1:$O$85,15,0))</f>
        <v>0</v>
      </c>
      <c r="W347" s="4">
        <f>IF(ISERROR(VLOOKUP($T$347,'TAR FIN'!$A$1:$O$85,15,0)),0,VLOOKUP($T$347,'TAR FIN'!$A$1:$O$85,15,0))</f>
        <v>697.32</v>
      </c>
      <c r="X347" s="4">
        <f>IF(ISERROR(VLOOKUP($U$347,'TAR FIN'!$A$1:$O$85,15,0)),0,VLOOKUP($U$347,'TAR FIN'!$A$1:$O$85,15,0))</f>
        <v>203.57</v>
      </c>
      <c r="Y347" s="4"/>
      <c r="Z347" s="4">
        <f ca="1">('TUSD BE'!$AM$33+'TUSD BF'!$AM$33+'TUSD CVA'!$AM$33)*(1-CUSTOS!$M$38)</f>
        <v>911.35112319392283</v>
      </c>
      <c r="AA347" s="4">
        <f>('TE BE'!$AA$24+'TE BF'!$AA$24+'TE CVA'!$AA$24)*(1-CUSTOS!$M$38)</f>
        <v>245.15495345670945</v>
      </c>
      <c r="AB347" s="4">
        <f>$K$347*$V$347</f>
        <v>0</v>
      </c>
      <c r="AC347" s="4">
        <f>$M$347*$W$347</f>
        <v>-66.942720000000008</v>
      </c>
      <c r="AD347" s="4">
        <f>$O$347*$X$347</f>
        <v>-19.542719999999999</v>
      </c>
      <c r="AE347" s="4">
        <f>$K$347*$Y$347</f>
        <v>0</v>
      </c>
      <c r="AF347" s="4">
        <f ca="1">$M$347*$Z$347</f>
        <v>-87.489707826616595</v>
      </c>
      <c r="AG347" s="4">
        <f>$O$347*$AA$347</f>
        <v>-23.534875531844108</v>
      </c>
    </row>
    <row r="348" spans="1:33" ht="11.25" customHeight="1" x14ac:dyDescent="0.25">
      <c r="A348" s="3" t="s">
        <v>28</v>
      </c>
      <c r="B348" s="3" t="s">
        <v>43</v>
      </c>
      <c r="C348" s="3" t="s">
        <v>23</v>
      </c>
      <c r="D348" s="3" t="s">
        <v>44</v>
      </c>
      <c r="E348" s="3" t="s">
        <v>25</v>
      </c>
      <c r="F348" s="3" t="s">
        <v>25</v>
      </c>
      <c r="G348" s="3" t="s">
        <v>25</v>
      </c>
      <c r="H348" s="3" t="s">
        <v>25</v>
      </c>
      <c r="I348" s="6">
        <v>44378</v>
      </c>
      <c r="J348" s="4">
        <v>0</v>
      </c>
      <c r="K348" s="4">
        <v>0</v>
      </c>
      <c r="L348" s="4">
        <v>22.145</v>
      </c>
      <c r="M348" s="4">
        <v>22.145</v>
      </c>
      <c r="N348" s="4">
        <v>22.145</v>
      </c>
      <c r="O348" s="4">
        <v>22.145</v>
      </c>
      <c r="P348" s="4">
        <v>30</v>
      </c>
      <c r="Q348" s="3" t="s">
        <v>26</v>
      </c>
      <c r="R348" s="3">
        <v>0</v>
      </c>
      <c r="S348" s="4">
        <v>0</v>
      </c>
      <c r="T348" s="4">
        <v>9</v>
      </c>
      <c r="U348" s="4">
        <v>56</v>
      </c>
      <c r="V348" s="4">
        <f>IF(ISERROR(VLOOKUP($S$348,'TAR FIN'!$A$1:$O$85,15,0)),0,VLOOKUP($S$348,'TAR FIN'!$A$1:$O$85,15,0))</f>
        <v>0</v>
      </c>
      <c r="W348" s="4">
        <f>IF(ISERROR(VLOOKUP($T$348,'TAR FIN'!$A$1:$O$85,15,0)),0,VLOOKUP($T$348,'TAR FIN'!$A$1:$O$85,15,0))</f>
        <v>697.32</v>
      </c>
      <c r="X348" s="4">
        <f>IF(ISERROR(VLOOKUP($U$348,'TAR FIN'!$A$1:$O$85,15,0)),0,VLOOKUP($U$348,'TAR FIN'!$A$1:$O$85,15,0))</f>
        <v>203.57</v>
      </c>
      <c r="Y348" s="4"/>
      <c r="Z348" s="4">
        <f ca="1">('TUSD BE'!$AM$33+'TUSD BF'!$AM$33+'TUSD CVA'!$AM$33)*(1-CUSTOS!$M$38)</f>
        <v>911.35112319392283</v>
      </c>
      <c r="AA348" s="4">
        <f>('TE BE'!$AA$24+'TE BF'!$AA$24+'TE CVA'!$AA$24)*(1-CUSTOS!$M$38)</f>
        <v>245.15495345670945</v>
      </c>
      <c r="AB348" s="4">
        <f>$K$348*$V$348</f>
        <v>0</v>
      </c>
      <c r="AC348" s="4">
        <f>$M$348*$W$348</f>
        <v>15442.151400000001</v>
      </c>
      <c r="AD348" s="4">
        <f>$O$348*$X$348</f>
        <v>4508.0576499999997</v>
      </c>
      <c r="AE348" s="4">
        <f>$K$348*$Y$348</f>
        <v>0</v>
      </c>
      <c r="AF348" s="4">
        <f ca="1">$M$348*$Z$348</f>
        <v>20181.87062312942</v>
      </c>
      <c r="AG348" s="4">
        <f>$O$348*$AA$348</f>
        <v>5428.9564442988303</v>
      </c>
    </row>
    <row r="349" spans="1:33" ht="11.25" customHeight="1" x14ac:dyDescent="0.25">
      <c r="A349" s="3" t="s">
        <v>21</v>
      </c>
      <c r="B349" s="3" t="s">
        <v>43</v>
      </c>
      <c r="C349" s="3" t="s">
        <v>23</v>
      </c>
      <c r="D349" s="3" t="s">
        <v>44</v>
      </c>
      <c r="E349" s="3" t="s">
        <v>25</v>
      </c>
      <c r="F349" s="3" t="s">
        <v>25</v>
      </c>
      <c r="G349" s="3" t="s">
        <v>25</v>
      </c>
      <c r="H349" s="3" t="s">
        <v>25</v>
      </c>
      <c r="I349" s="6">
        <v>44409</v>
      </c>
      <c r="J349" s="4">
        <v>0</v>
      </c>
      <c r="K349" s="4">
        <v>0</v>
      </c>
      <c r="L349" s="4">
        <v>221.601</v>
      </c>
      <c r="M349" s="4">
        <v>221.601</v>
      </c>
      <c r="N349" s="4">
        <v>221.601</v>
      </c>
      <c r="O349" s="4">
        <v>221.601</v>
      </c>
      <c r="P349" s="4">
        <v>571</v>
      </c>
      <c r="Q349" s="3" t="s">
        <v>26</v>
      </c>
      <c r="R349" s="3">
        <v>0</v>
      </c>
      <c r="S349" s="4">
        <v>0</v>
      </c>
      <c r="T349" s="4">
        <v>9</v>
      </c>
      <c r="U349" s="4">
        <v>56</v>
      </c>
      <c r="V349" s="4">
        <f>IF(ISERROR(VLOOKUP($S$349,'TAR FIN'!$A$1:$O$85,15,0)),0,VLOOKUP($S$349,'TAR FIN'!$A$1:$O$85,15,0))</f>
        <v>0</v>
      </c>
      <c r="W349" s="4">
        <f>IF(ISERROR(VLOOKUP($T$349,'TAR FIN'!$A$1:$O$85,15,0)),0,VLOOKUP($T$349,'TAR FIN'!$A$1:$O$85,15,0))</f>
        <v>697.32</v>
      </c>
      <c r="X349" s="4">
        <f>IF(ISERROR(VLOOKUP($U$349,'TAR FIN'!$A$1:$O$85,15,0)),0,VLOOKUP($U$349,'TAR FIN'!$A$1:$O$85,15,0))</f>
        <v>203.57</v>
      </c>
      <c r="Y349" s="4"/>
      <c r="Z349" s="4">
        <f ca="1">('TUSD BE'!$AM$33+'TUSD BF'!$AM$33+'TUSD CVA'!$AM$33)*(1-CUSTOS!$M$38)</f>
        <v>911.35112319392283</v>
      </c>
      <c r="AA349" s="4">
        <f>('TE BE'!$AA$24+'TE BF'!$AA$24+'TE CVA'!$AA$24)*(1-CUSTOS!$M$38)</f>
        <v>245.15495345670945</v>
      </c>
      <c r="AB349" s="4">
        <f>$K$349*$V$349</f>
        <v>0</v>
      </c>
      <c r="AC349" s="4">
        <f>$M$349*$W$349</f>
        <v>154526.80932</v>
      </c>
      <c r="AD349" s="4">
        <f>$O$349*$X$349</f>
        <v>45111.315569999999</v>
      </c>
      <c r="AE349" s="4">
        <f>$K$349*$Y$349</f>
        <v>0</v>
      </c>
      <c r="AF349" s="4">
        <f ca="1">$M$349*$Z$349</f>
        <v>201956.3202508965</v>
      </c>
      <c r="AG349" s="4">
        <f>$O$349*$AA$349</f>
        <v>54326.582840960269</v>
      </c>
    </row>
    <row r="350" spans="1:33" ht="11.25" customHeight="1" x14ac:dyDescent="0.25">
      <c r="A350" s="3" t="s">
        <v>28</v>
      </c>
      <c r="B350" s="3" t="s">
        <v>43</v>
      </c>
      <c r="C350" s="3" t="s">
        <v>23</v>
      </c>
      <c r="D350" s="3" t="s">
        <v>44</v>
      </c>
      <c r="E350" s="3" t="s">
        <v>25</v>
      </c>
      <c r="F350" s="3" t="s">
        <v>25</v>
      </c>
      <c r="G350" s="3" t="s">
        <v>25</v>
      </c>
      <c r="H350" s="3" t="s">
        <v>25</v>
      </c>
      <c r="I350" s="6">
        <v>44409</v>
      </c>
      <c r="J350" s="4">
        <v>0</v>
      </c>
      <c r="K350" s="4">
        <v>0</v>
      </c>
      <c r="L350" s="4">
        <v>22.946000000000002</v>
      </c>
      <c r="M350" s="4">
        <v>22.946000000000002</v>
      </c>
      <c r="N350" s="4">
        <v>22.946000000000002</v>
      </c>
      <c r="O350" s="4">
        <v>22.946000000000002</v>
      </c>
      <c r="P350" s="4">
        <v>34</v>
      </c>
      <c r="Q350" s="3" t="s">
        <v>26</v>
      </c>
      <c r="R350" s="3">
        <v>0</v>
      </c>
      <c r="S350" s="4">
        <v>0</v>
      </c>
      <c r="T350" s="4">
        <v>9</v>
      </c>
      <c r="U350" s="4">
        <v>56</v>
      </c>
      <c r="V350" s="4">
        <f>IF(ISERROR(VLOOKUP($S$350,'TAR FIN'!$A$1:$O$85,15,0)),0,VLOOKUP($S$350,'TAR FIN'!$A$1:$O$85,15,0))</f>
        <v>0</v>
      </c>
      <c r="W350" s="4">
        <f>IF(ISERROR(VLOOKUP($T$350,'TAR FIN'!$A$1:$O$85,15,0)),0,VLOOKUP($T$350,'TAR FIN'!$A$1:$O$85,15,0))</f>
        <v>697.32</v>
      </c>
      <c r="X350" s="4">
        <f>IF(ISERROR(VLOOKUP($U$350,'TAR FIN'!$A$1:$O$85,15,0)),0,VLOOKUP($U$350,'TAR FIN'!$A$1:$O$85,15,0))</f>
        <v>203.57</v>
      </c>
      <c r="Y350" s="4"/>
      <c r="Z350" s="4">
        <f ca="1">('TUSD BE'!$AM$33+'TUSD BF'!$AM$33+'TUSD CVA'!$AM$33)*(1-CUSTOS!$M$38)</f>
        <v>911.35112319392283</v>
      </c>
      <c r="AA350" s="4">
        <f>('TE BE'!$AA$24+'TE BF'!$AA$24+'TE CVA'!$AA$24)*(1-CUSTOS!$M$38)</f>
        <v>245.15495345670945</v>
      </c>
      <c r="AB350" s="4">
        <f>$K$350*$V$350</f>
        <v>0</v>
      </c>
      <c r="AC350" s="4">
        <f>$M$350*$W$350</f>
        <v>16000.704720000002</v>
      </c>
      <c r="AD350" s="4">
        <f>$O$350*$X$350</f>
        <v>4671.1172200000001</v>
      </c>
      <c r="AE350" s="4">
        <f>$K$350*$Y$350</f>
        <v>0</v>
      </c>
      <c r="AF350" s="4">
        <f ca="1">$M$350*$Z$350</f>
        <v>20911.862872807753</v>
      </c>
      <c r="AG350" s="4">
        <f>$O$350*$AA$350</f>
        <v>5625.3255620176551</v>
      </c>
    </row>
    <row r="351" spans="1:33" ht="11.25" customHeight="1" x14ac:dyDescent="0.25">
      <c r="A351" s="3" t="s">
        <v>21</v>
      </c>
      <c r="B351" s="3" t="s">
        <v>43</v>
      </c>
      <c r="C351" s="3" t="s">
        <v>23</v>
      </c>
      <c r="D351" s="3" t="s">
        <v>44</v>
      </c>
      <c r="E351" s="3" t="s">
        <v>25</v>
      </c>
      <c r="F351" s="3" t="s">
        <v>25</v>
      </c>
      <c r="G351" s="3" t="s">
        <v>25</v>
      </c>
      <c r="H351" s="3" t="s">
        <v>25</v>
      </c>
      <c r="I351" s="6">
        <v>44440</v>
      </c>
      <c r="J351" s="4">
        <v>0</v>
      </c>
      <c r="K351" s="4">
        <v>0</v>
      </c>
      <c r="L351" s="4">
        <v>250.00299999999999</v>
      </c>
      <c r="M351" s="4">
        <v>250.00299999999999</v>
      </c>
      <c r="N351" s="4">
        <v>250.00299999999999</v>
      </c>
      <c r="O351" s="4">
        <v>250.00299999999999</v>
      </c>
      <c r="P351" s="4">
        <v>568</v>
      </c>
      <c r="Q351" s="3" t="s">
        <v>26</v>
      </c>
      <c r="R351" s="3">
        <v>0</v>
      </c>
      <c r="S351" s="4">
        <v>0</v>
      </c>
      <c r="T351" s="4">
        <v>9</v>
      </c>
      <c r="U351" s="4">
        <v>56</v>
      </c>
      <c r="V351" s="4">
        <f>IF(ISERROR(VLOOKUP($S$351,'TAR FIN'!$A$1:$O$85,15,0)),0,VLOOKUP($S$351,'TAR FIN'!$A$1:$O$85,15,0))</f>
        <v>0</v>
      </c>
      <c r="W351" s="4">
        <f>IF(ISERROR(VLOOKUP($T$351,'TAR FIN'!$A$1:$O$85,15,0)),0,VLOOKUP($T$351,'TAR FIN'!$A$1:$O$85,15,0))</f>
        <v>697.32</v>
      </c>
      <c r="X351" s="4">
        <f>IF(ISERROR(VLOOKUP($U$351,'TAR FIN'!$A$1:$O$85,15,0)),0,VLOOKUP($U$351,'TAR FIN'!$A$1:$O$85,15,0))</f>
        <v>203.57</v>
      </c>
      <c r="Y351" s="4"/>
      <c r="Z351" s="4">
        <f ca="1">('TUSD BE'!$AM$33+'TUSD BF'!$AM$33+'TUSD CVA'!$AM$33)*(1-CUSTOS!$M$38)</f>
        <v>911.35112319392283</v>
      </c>
      <c r="AA351" s="4">
        <f>('TE BE'!$AA$24+'TE BF'!$AA$24+'TE CVA'!$AA$24)*(1-CUSTOS!$M$38)</f>
        <v>245.15495345670945</v>
      </c>
      <c r="AB351" s="4">
        <f>$K$351*$V$351</f>
        <v>0</v>
      </c>
      <c r="AC351" s="4">
        <f>$M$351*$W$351</f>
        <v>174332.09195999999</v>
      </c>
      <c r="AD351" s="4">
        <f>$O$351*$X$351</f>
        <v>50893.110709999994</v>
      </c>
      <c r="AE351" s="4">
        <f>$K$351*$Y$351</f>
        <v>0</v>
      </c>
      <c r="AF351" s="4">
        <f ca="1">$M$351*$Z$351</f>
        <v>227840.51485185028</v>
      </c>
      <c r="AG351" s="4">
        <f>$O$351*$AA$351</f>
        <v>61289.473829037728</v>
      </c>
    </row>
    <row r="352" spans="1:33" ht="11.25" customHeight="1" x14ac:dyDescent="0.25">
      <c r="A352" s="3" t="s">
        <v>27</v>
      </c>
      <c r="B352" s="3" t="s">
        <v>43</v>
      </c>
      <c r="C352" s="3" t="s">
        <v>23</v>
      </c>
      <c r="D352" s="3" t="s">
        <v>44</v>
      </c>
      <c r="E352" s="3" t="s">
        <v>25</v>
      </c>
      <c r="F352" s="3" t="s">
        <v>25</v>
      </c>
      <c r="G352" s="3" t="s">
        <v>25</v>
      </c>
      <c r="H352" s="3" t="s">
        <v>25</v>
      </c>
      <c r="I352" s="6">
        <v>44440</v>
      </c>
      <c r="J352" s="4">
        <v>0</v>
      </c>
      <c r="K352" s="4">
        <v>0</v>
      </c>
      <c r="L352" s="4">
        <v>-0.1</v>
      </c>
      <c r="M352" s="4">
        <v>-0.1</v>
      </c>
      <c r="N352" s="4">
        <v>-0.1</v>
      </c>
      <c r="O352" s="4">
        <v>-0.1</v>
      </c>
      <c r="P352" s="4">
        <v>0</v>
      </c>
      <c r="Q352" s="3" t="s">
        <v>26</v>
      </c>
      <c r="R352" s="3">
        <v>0</v>
      </c>
      <c r="S352" s="4">
        <v>0</v>
      </c>
      <c r="T352" s="4">
        <v>9</v>
      </c>
      <c r="U352" s="4">
        <v>56</v>
      </c>
      <c r="V352" s="4">
        <f>IF(ISERROR(VLOOKUP($S$352,'TAR FIN'!$A$1:$O$85,15,0)),0,VLOOKUP($S$352,'TAR FIN'!$A$1:$O$85,15,0))</f>
        <v>0</v>
      </c>
      <c r="W352" s="4">
        <f>IF(ISERROR(VLOOKUP($T$352,'TAR FIN'!$A$1:$O$85,15,0)),0,VLOOKUP($T$352,'TAR FIN'!$A$1:$O$85,15,0))</f>
        <v>697.32</v>
      </c>
      <c r="X352" s="4">
        <f>IF(ISERROR(VLOOKUP($U$352,'TAR FIN'!$A$1:$O$85,15,0)),0,VLOOKUP($U$352,'TAR FIN'!$A$1:$O$85,15,0))</f>
        <v>203.57</v>
      </c>
      <c r="Y352" s="4"/>
      <c r="Z352" s="4">
        <f ca="1">('TUSD BE'!$AM$33+'TUSD BF'!$AM$33+'TUSD CVA'!$AM$33)*(1-CUSTOS!$M$38)</f>
        <v>911.35112319392283</v>
      </c>
      <c r="AA352" s="4">
        <f>('TE BE'!$AA$24+'TE BF'!$AA$24+'TE CVA'!$AA$24)*(1-CUSTOS!$M$38)</f>
        <v>245.15495345670945</v>
      </c>
      <c r="AB352" s="4">
        <f>$K$352*$V$352</f>
        <v>0</v>
      </c>
      <c r="AC352" s="4">
        <f>$M$352*$W$352</f>
        <v>-69.732000000000014</v>
      </c>
      <c r="AD352" s="4">
        <f>$O$352*$X$352</f>
        <v>-20.356999999999999</v>
      </c>
      <c r="AE352" s="4">
        <f>$K$352*$Y$352</f>
        <v>0</v>
      </c>
      <c r="AF352" s="4">
        <f ca="1">$M$352*$Z$352</f>
        <v>-91.135112319392292</v>
      </c>
      <c r="AG352" s="4">
        <f>$O$352*$AA$352</f>
        <v>-24.515495345670946</v>
      </c>
    </row>
    <row r="353" spans="1:33" ht="11.25" customHeight="1" x14ac:dyDescent="0.25">
      <c r="A353" s="3" t="s">
        <v>28</v>
      </c>
      <c r="B353" s="3" t="s">
        <v>43</v>
      </c>
      <c r="C353" s="3" t="s">
        <v>23</v>
      </c>
      <c r="D353" s="3" t="s">
        <v>44</v>
      </c>
      <c r="E353" s="3" t="s">
        <v>25</v>
      </c>
      <c r="F353" s="3" t="s">
        <v>25</v>
      </c>
      <c r="G353" s="3" t="s">
        <v>25</v>
      </c>
      <c r="H353" s="3" t="s">
        <v>25</v>
      </c>
      <c r="I353" s="6">
        <v>44440</v>
      </c>
      <c r="J353" s="4">
        <v>0</v>
      </c>
      <c r="K353" s="4">
        <v>0</v>
      </c>
      <c r="L353" s="4">
        <v>25.404</v>
      </c>
      <c r="M353" s="4">
        <v>25.404</v>
      </c>
      <c r="N353" s="4">
        <v>25.404</v>
      </c>
      <c r="O353" s="4">
        <v>25.404</v>
      </c>
      <c r="P353" s="4">
        <v>34</v>
      </c>
      <c r="Q353" s="3" t="s">
        <v>26</v>
      </c>
      <c r="R353" s="3">
        <v>0</v>
      </c>
      <c r="S353" s="4">
        <v>0</v>
      </c>
      <c r="T353" s="4">
        <v>9</v>
      </c>
      <c r="U353" s="4">
        <v>56</v>
      </c>
      <c r="V353" s="4">
        <f>IF(ISERROR(VLOOKUP($S$353,'TAR FIN'!$A$1:$O$85,15,0)),0,VLOOKUP($S$353,'TAR FIN'!$A$1:$O$85,15,0))</f>
        <v>0</v>
      </c>
      <c r="W353" s="4">
        <f>IF(ISERROR(VLOOKUP($T$353,'TAR FIN'!$A$1:$O$85,15,0)),0,VLOOKUP($T$353,'TAR FIN'!$A$1:$O$85,15,0))</f>
        <v>697.32</v>
      </c>
      <c r="X353" s="4">
        <f>IF(ISERROR(VLOOKUP($U$353,'TAR FIN'!$A$1:$O$85,15,0)),0,VLOOKUP($U$353,'TAR FIN'!$A$1:$O$85,15,0))</f>
        <v>203.57</v>
      </c>
      <c r="Y353" s="4"/>
      <c r="Z353" s="4">
        <f ca="1">('TUSD BE'!$AM$33+'TUSD BF'!$AM$33+'TUSD CVA'!$AM$33)*(1-CUSTOS!$M$38)</f>
        <v>911.35112319392283</v>
      </c>
      <c r="AA353" s="4">
        <f>('TE BE'!$AA$24+'TE BF'!$AA$24+'TE CVA'!$AA$24)*(1-CUSTOS!$M$38)</f>
        <v>245.15495345670945</v>
      </c>
      <c r="AB353" s="4">
        <f>$K$353*$V$353</f>
        <v>0</v>
      </c>
      <c r="AC353" s="4">
        <f>$M$353*$W$353</f>
        <v>17714.717280000001</v>
      </c>
      <c r="AD353" s="4">
        <f>$O$353*$X$353</f>
        <v>5171.4922799999995</v>
      </c>
      <c r="AE353" s="4">
        <f>$K$353*$Y$353</f>
        <v>0</v>
      </c>
      <c r="AF353" s="4">
        <f ca="1">$M$353*$Z$353</f>
        <v>23151.963933618415</v>
      </c>
      <c r="AG353" s="4">
        <f>$O$353*$AA$353</f>
        <v>6227.9164376142471</v>
      </c>
    </row>
    <row r="354" spans="1:33" ht="11.25" customHeight="1" x14ac:dyDescent="0.25">
      <c r="A354" s="3" t="s">
        <v>21</v>
      </c>
      <c r="B354" s="3" t="s">
        <v>43</v>
      </c>
      <c r="C354" s="3" t="s">
        <v>23</v>
      </c>
      <c r="D354" s="3" t="s">
        <v>44</v>
      </c>
      <c r="E354" s="3" t="s">
        <v>25</v>
      </c>
      <c r="F354" s="3" t="s">
        <v>25</v>
      </c>
      <c r="G354" s="3" t="s">
        <v>25</v>
      </c>
      <c r="H354" s="3" t="s">
        <v>25</v>
      </c>
      <c r="I354" s="6">
        <v>44470</v>
      </c>
      <c r="J354" s="4">
        <v>0</v>
      </c>
      <c r="K354" s="4">
        <v>0</v>
      </c>
      <c r="L354" s="4">
        <v>241.17099999999999</v>
      </c>
      <c r="M354" s="4">
        <v>241.17099999999999</v>
      </c>
      <c r="N354" s="4">
        <v>241.17099999999999</v>
      </c>
      <c r="O354" s="4">
        <v>241.17099999999999</v>
      </c>
      <c r="P354" s="4">
        <v>566</v>
      </c>
      <c r="Q354" s="3" t="s">
        <v>26</v>
      </c>
      <c r="R354" s="3">
        <v>0</v>
      </c>
      <c r="S354" s="4">
        <v>0</v>
      </c>
      <c r="T354" s="4">
        <v>9</v>
      </c>
      <c r="U354" s="4">
        <v>56</v>
      </c>
      <c r="V354" s="4">
        <f>IF(ISERROR(VLOOKUP($S$354,'TAR FIN'!$A$1:$O$85,15,0)),0,VLOOKUP($S$354,'TAR FIN'!$A$1:$O$85,15,0))</f>
        <v>0</v>
      </c>
      <c r="W354" s="4">
        <f>IF(ISERROR(VLOOKUP($T$354,'TAR FIN'!$A$1:$O$85,15,0)),0,VLOOKUP($T$354,'TAR FIN'!$A$1:$O$85,15,0))</f>
        <v>697.32</v>
      </c>
      <c r="X354" s="4">
        <f>IF(ISERROR(VLOOKUP($U$354,'TAR FIN'!$A$1:$O$85,15,0)),0,VLOOKUP($U$354,'TAR FIN'!$A$1:$O$85,15,0))</f>
        <v>203.57</v>
      </c>
      <c r="Y354" s="4"/>
      <c r="Z354" s="4">
        <f ca="1">('TUSD BE'!$AM$33+'TUSD BF'!$AM$33+'TUSD CVA'!$AM$33)*(1-CUSTOS!$M$38)</f>
        <v>911.35112319392283</v>
      </c>
      <c r="AA354" s="4">
        <f>('TE BE'!$AA$24+'TE BF'!$AA$24+'TE CVA'!$AA$24)*(1-CUSTOS!$M$38)</f>
        <v>245.15495345670945</v>
      </c>
      <c r="AB354" s="4">
        <f>$K$354*$V$354</f>
        <v>0</v>
      </c>
      <c r="AC354" s="4">
        <f>$M$354*$W$354</f>
        <v>168173.36172000002</v>
      </c>
      <c r="AD354" s="4">
        <f>$O$354*$X$354</f>
        <v>49095.180469999999</v>
      </c>
      <c r="AE354" s="4">
        <f>$K$354*$Y$354</f>
        <v>0</v>
      </c>
      <c r="AF354" s="4">
        <f ca="1">$M$354*$Z$354</f>
        <v>219791.46173180157</v>
      </c>
      <c r="AG354" s="4">
        <f>$O$354*$AA$354</f>
        <v>59124.265280108069</v>
      </c>
    </row>
    <row r="355" spans="1:33" ht="11.25" customHeight="1" x14ac:dyDescent="0.25">
      <c r="A355" s="3" t="s">
        <v>28</v>
      </c>
      <c r="B355" s="3" t="s">
        <v>43</v>
      </c>
      <c r="C355" s="3" t="s">
        <v>23</v>
      </c>
      <c r="D355" s="3" t="s">
        <v>44</v>
      </c>
      <c r="E355" s="3" t="s">
        <v>25</v>
      </c>
      <c r="F355" s="3" t="s">
        <v>25</v>
      </c>
      <c r="G355" s="3" t="s">
        <v>25</v>
      </c>
      <c r="H355" s="3" t="s">
        <v>25</v>
      </c>
      <c r="I355" s="6">
        <v>44470</v>
      </c>
      <c r="J355" s="4">
        <v>0</v>
      </c>
      <c r="K355" s="4">
        <v>0</v>
      </c>
      <c r="L355" s="4">
        <v>24.452999999999999</v>
      </c>
      <c r="M355" s="4">
        <v>24.452999999999999</v>
      </c>
      <c r="N355" s="4">
        <v>24.452999999999999</v>
      </c>
      <c r="O355" s="4">
        <v>24.452999999999999</v>
      </c>
      <c r="P355" s="4">
        <v>37</v>
      </c>
      <c r="Q355" s="3" t="s">
        <v>26</v>
      </c>
      <c r="R355" s="3">
        <v>0</v>
      </c>
      <c r="S355" s="4">
        <v>0</v>
      </c>
      <c r="T355" s="4">
        <v>9</v>
      </c>
      <c r="U355" s="4">
        <v>56</v>
      </c>
      <c r="V355" s="4">
        <f>IF(ISERROR(VLOOKUP($S$355,'TAR FIN'!$A$1:$O$85,15,0)),0,VLOOKUP($S$355,'TAR FIN'!$A$1:$O$85,15,0))</f>
        <v>0</v>
      </c>
      <c r="W355" s="4">
        <f>IF(ISERROR(VLOOKUP($T$355,'TAR FIN'!$A$1:$O$85,15,0)),0,VLOOKUP($T$355,'TAR FIN'!$A$1:$O$85,15,0))</f>
        <v>697.32</v>
      </c>
      <c r="X355" s="4">
        <f>IF(ISERROR(VLOOKUP($U$355,'TAR FIN'!$A$1:$O$85,15,0)),0,VLOOKUP($U$355,'TAR FIN'!$A$1:$O$85,15,0))</f>
        <v>203.57</v>
      </c>
      <c r="Y355" s="4"/>
      <c r="Z355" s="4">
        <f ca="1">('TUSD BE'!$AM$33+'TUSD BF'!$AM$33+'TUSD CVA'!$AM$33)*(1-CUSTOS!$M$38)</f>
        <v>911.35112319392283</v>
      </c>
      <c r="AA355" s="4">
        <f>('TE BE'!$AA$24+'TE BF'!$AA$24+'TE CVA'!$AA$24)*(1-CUSTOS!$M$38)</f>
        <v>245.15495345670945</v>
      </c>
      <c r="AB355" s="4">
        <f>$K$355*$V$355</f>
        <v>0</v>
      </c>
      <c r="AC355" s="4">
        <f>$M$355*$W$355</f>
        <v>17051.56596</v>
      </c>
      <c r="AD355" s="4">
        <f>$O$355*$X$355</f>
        <v>4977.8972100000001</v>
      </c>
      <c r="AE355" s="4">
        <f>$K$355*$Y$355</f>
        <v>0</v>
      </c>
      <c r="AF355" s="4">
        <f ca="1">$M$355*$Z$355</f>
        <v>22285.269015460995</v>
      </c>
      <c r="AG355" s="4">
        <f>$O$355*$AA$355</f>
        <v>5994.7740768769163</v>
      </c>
    </row>
    <row r="356" spans="1:33" ht="11.25" customHeight="1" x14ac:dyDescent="0.25">
      <c r="A356" s="3" t="s">
        <v>21</v>
      </c>
      <c r="B356" s="3" t="s">
        <v>43</v>
      </c>
      <c r="C356" s="3" t="s">
        <v>23</v>
      </c>
      <c r="D356" s="3" t="s">
        <v>44</v>
      </c>
      <c r="E356" s="3" t="s">
        <v>25</v>
      </c>
      <c r="F356" s="3" t="s">
        <v>25</v>
      </c>
      <c r="G356" s="3" t="s">
        <v>25</v>
      </c>
      <c r="H356" s="3" t="s">
        <v>25</v>
      </c>
      <c r="I356" s="6">
        <v>44501</v>
      </c>
      <c r="J356" s="4">
        <v>0</v>
      </c>
      <c r="K356" s="4">
        <v>0</v>
      </c>
      <c r="L356" s="4">
        <v>229.04900000000001</v>
      </c>
      <c r="M356" s="4">
        <v>229.04900000000001</v>
      </c>
      <c r="N356" s="4">
        <v>229.04900000000001</v>
      </c>
      <c r="O356" s="4">
        <v>229.04900000000001</v>
      </c>
      <c r="P356" s="4">
        <v>559</v>
      </c>
      <c r="Q356" s="3" t="s">
        <v>26</v>
      </c>
      <c r="R356" s="3">
        <v>0</v>
      </c>
      <c r="S356" s="4">
        <v>0</v>
      </c>
      <c r="T356" s="4">
        <v>9</v>
      </c>
      <c r="U356" s="4">
        <v>56</v>
      </c>
      <c r="V356" s="4">
        <f>IF(ISERROR(VLOOKUP($S$356,'TAR FIN'!$A$1:$O$85,15,0)),0,VLOOKUP($S$356,'TAR FIN'!$A$1:$O$85,15,0))</f>
        <v>0</v>
      </c>
      <c r="W356" s="4">
        <f>IF(ISERROR(VLOOKUP($T$356,'TAR FIN'!$A$1:$O$85,15,0)),0,VLOOKUP($T$356,'TAR FIN'!$A$1:$O$85,15,0))</f>
        <v>697.32</v>
      </c>
      <c r="X356" s="4">
        <f>IF(ISERROR(VLOOKUP($U$356,'TAR FIN'!$A$1:$O$85,15,0)),0,VLOOKUP($U$356,'TAR FIN'!$A$1:$O$85,15,0))</f>
        <v>203.57</v>
      </c>
      <c r="Y356" s="4"/>
      <c r="Z356" s="4">
        <f ca="1">('TUSD BE'!$AM$33+'TUSD BF'!$AM$33+'TUSD CVA'!$AM$33)*(1-CUSTOS!$M$38)</f>
        <v>911.35112319392283</v>
      </c>
      <c r="AA356" s="4">
        <f>('TE BE'!$AA$24+'TE BF'!$AA$24+'TE CVA'!$AA$24)*(1-CUSTOS!$M$38)</f>
        <v>245.15495345670945</v>
      </c>
      <c r="AB356" s="4">
        <f>$K$356*$V$356</f>
        <v>0</v>
      </c>
      <c r="AC356" s="4">
        <f>$M$356*$W$356</f>
        <v>159720.44868000003</v>
      </c>
      <c r="AD356" s="4">
        <f>$O$356*$X$356</f>
        <v>46627.504930000003</v>
      </c>
      <c r="AE356" s="4">
        <f>$K$356*$Y$356</f>
        <v>0</v>
      </c>
      <c r="AF356" s="4">
        <f ca="1">$M$356*$Z$356</f>
        <v>208744.06341644484</v>
      </c>
      <c r="AG356" s="4">
        <f>$O$356*$AA$356</f>
        <v>56152.496934305847</v>
      </c>
    </row>
    <row r="357" spans="1:33" ht="11.25" customHeight="1" x14ac:dyDescent="0.25">
      <c r="A357" s="3" t="s">
        <v>28</v>
      </c>
      <c r="B357" s="3" t="s">
        <v>43</v>
      </c>
      <c r="C357" s="3" t="s">
        <v>23</v>
      </c>
      <c r="D357" s="3" t="s">
        <v>44</v>
      </c>
      <c r="E357" s="3" t="s">
        <v>25</v>
      </c>
      <c r="F357" s="3" t="s">
        <v>25</v>
      </c>
      <c r="G357" s="3" t="s">
        <v>25</v>
      </c>
      <c r="H357" s="3" t="s">
        <v>25</v>
      </c>
      <c r="I357" s="6">
        <v>44501</v>
      </c>
      <c r="J357" s="4">
        <v>0</v>
      </c>
      <c r="K357" s="4">
        <v>0</v>
      </c>
      <c r="L357" s="4">
        <v>28.51</v>
      </c>
      <c r="M357" s="4">
        <v>28.51</v>
      </c>
      <c r="N357" s="4">
        <v>28.51</v>
      </c>
      <c r="O357" s="4">
        <v>28.51</v>
      </c>
      <c r="P357" s="4">
        <v>38</v>
      </c>
      <c r="Q357" s="3" t="s">
        <v>26</v>
      </c>
      <c r="R357" s="3">
        <v>0</v>
      </c>
      <c r="S357" s="4">
        <v>0</v>
      </c>
      <c r="T357" s="4">
        <v>9</v>
      </c>
      <c r="U357" s="4">
        <v>56</v>
      </c>
      <c r="V357" s="4">
        <f>IF(ISERROR(VLOOKUP($S$357,'TAR FIN'!$A$1:$O$85,15,0)),0,VLOOKUP($S$357,'TAR FIN'!$A$1:$O$85,15,0))</f>
        <v>0</v>
      </c>
      <c r="W357" s="4">
        <f>IF(ISERROR(VLOOKUP($T$357,'TAR FIN'!$A$1:$O$85,15,0)),0,VLOOKUP($T$357,'TAR FIN'!$A$1:$O$85,15,0))</f>
        <v>697.32</v>
      </c>
      <c r="X357" s="4">
        <f>IF(ISERROR(VLOOKUP($U$357,'TAR FIN'!$A$1:$O$85,15,0)),0,VLOOKUP($U$357,'TAR FIN'!$A$1:$O$85,15,0))</f>
        <v>203.57</v>
      </c>
      <c r="Y357" s="4"/>
      <c r="Z357" s="4">
        <f ca="1">('TUSD BE'!$AM$33+'TUSD BF'!$AM$33+'TUSD CVA'!$AM$33)*(1-CUSTOS!$M$38)</f>
        <v>911.35112319392283</v>
      </c>
      <c r="AA357" s="4">
        <f>('TE BE'!$AA$24+'TE BF'!$AA$24+'TE CVA'!$AA$24)*(1-CUSTOS!$M$38)</f>
        <v>245.15495345670945</v>
      </c>
      <c r="AB357" s="4">
        <f>$K$357*$V$357</f>
        <v>0</v>
      </c>
      <c r="AC357" s="4">
        <f>$M$357*$W$357</f>
        <v>19880.593200000003</v>
      </c>
      <c r="AD357" s="4">
        <f>$O$357*$X$357</f>
        <v>5803.7807000000003</v>
      </c>
      <c r="AE357" s="4">
        <f>$K$357*$Y$357</f>
        <v>0</v>
      </c>
      <c r="AF357" s="4">
        <f ca="1">$M$357*$Z$357</f>
        <v>25982.620522258741</v>
      </c>
      <c r="AG357" s="4">
        <f>$O$357*$AA$357</f>
        <v>6989.3677230507865</v>
      </c>
    </row>
    <row r="358" spans="1:33" ht="11.25" customHeight="1" x14ac:dyDescent="0.25">
      <c r="A358" s="3" t="s">
        <v>21</v>
      </c>
      <c r="B358" s="3" t="s">
        <v>43</v>
      </c>
      <c r="C358" s="3" t="s">
        <v>23</v>
      </c>
      <c r="D358" s="3" t="s">
        <v>44</v>
      </c>
      <c r="E358" s="3" t="s">
        <v>25</v>
      </c>
      <c r="F358" s="3" t="s">
        <v>25</v>
      </c>
      <c r="G358" s="3" t="s">
        <v>25</v>
      </c>
      <c r="H358" s="3" t="s">
        <v>25</v>
      </c>
      <c r="I358" s="6">
        <v>44531</v>
      </c>
      <c r="J358" s="4">
        <v>0</v>
      </c>
      <c r="K358" s="4">
        <v>0</v>
      </c>
      <c r="L358" s="4">
        <v>233.387</v>
      </c>
      <c r="M358" s="4">
        <v>233.387</v>
      </c>
      <c r="N358" s="4">
        <v>233.387</v>
      </c>
      <c r="O358" s="4">
        <v>233.387</v>
      </c>
      <c r="P358" s="4">
        <v>545</v>
      </c>
      <c r="Q358" s="3" t="s">
        <v>26</v>
      </c>
      <c r="R358" s="3">
        <v>0</v>
      </c>
      <c r="S358" s="4">
        <v>0</v>
      </c>
      <c r="T358" s="4">
        <v>9</v>
      </c>
      <c r="U358" s="4">
        <v>56</v>
      </c>
      <c r="V358" s="4">
        <f>IF(ISERROR(VLOOKUP($S$358,'TAR FIN'!$A$1:$O$85,15,0)),0,VLOOKUP($S$358,'TAR FIN'!$A$1:$O$85,15,0))</f>
        <v>0</v>
      </c>
      <c r="W358" s="4">
        <f>IF(ISERROR(VLOOKUP($T$358,'TAR FIN'!$A$1:$O$85,15,0)),0,VLOOKUP($T$358,'TAR FIN'!$A$1:$O$85,15,0))</f>
        <v>697.32</v>
      </c>
      <c r="X358" s="4">
        <f>IF(ISERROR(VLOOKUP($U$358,'TAR FIN'!$A$1:$O$85,15,0)),0,VLOOKUP($U$358,'TAR FIN'!$A$1:$O$85,15,0))</f>
        <v>203.57</v>
      </c>
      <c r="Y358" s="4"/>
      <c r="Z358" s="4">
        <f ca="1">('TUSD BE'!$AM$33+'TUSD BF'!$AM$33+'TUSD CVA'!$AM$33)*(1-CUSTOS!$M$38)</f>
        <v>911.35112319392283</v>
      </c>
      <c r="AA358" s="4">
        <f>('TE BE'!$AA$24+'TE BF'!$AA$24+'TE CVA'!$AA$24)*(1-CUSTOS!$M$38)</f>
        <v>245.15495345670945</v>
      </c>
      <c r="AB358" s="4">
        <f>$K$358*$V$358</f>
        <v>0</v>
      </c>
      <c r="AC358" s="4">
        <f>$M$358*$W$358</f>
        <v>162745.42284000001</v>
      </c>
      <c r="AD358" s="4">
        <f>$O$358*$X$358</f>
        <v>47510.591589999996</v>
      </c>
      <c r="AE358" s="4">
        <f>$K$358*$Y$358</f>
        <v>0</v>
      </c>
      <c r="AF358" s="4">
        <f ca="1">$M$358*$Z$358</f>
        <v>212697.50458886006</v>
      </c>
      <c r="AG358" s="4">
        <f>$O$358*$AA$358</f>
        <v>57215.979122401048</v>
      </c>
    </row>
    <row r="359" spans="1:33" ht="11.25" customHeight="1" x14ac:dyDescent="0.25">
      <c r="A359" s="3" t="s">
        <v>27</v>
      </c>
      <c r="B359" s="3" t="s">
        <v>43</v>
      </c>
      <c r="C359" s="3" t="s">
        <v>23</v>
      </c>
      <c r="D359" s="3" t="s">
        <v>44</v>
      </c>
      <c r="E359" s="3" t="s">
        <v>25</v>
      </c>
      <c r="F359" s="3" t="s">
        <v>25</v>
      </c>
      <c r="G359" s="3" t="s">
        <v>25</v>
      </c>
      <c r="H359" s="3" t="s">
        <v>25</v>
      </c>
      <c r="I359" s="6">
        <v>44531</v>
      </c>
      <c r="J359" s="4">
        <v>0</v>
      </c>
      <c r="K359" s="4">
        <v>0</v>
      </c>
      <c r="L359" s="4">
        <v>-1.0740000000000001</v>
      </c>
      <c r="M359" s="4">
        <v>-1.0740000000000001</v>
      </c>
      <c r="N359" s="4">
        <v>-1.0740000000000001</v>
      </c>
      <c r="O359" s="4">
        <v>-1.0740000000000001</v>
      </c>
      <c r="P359" s="4">
        <v>0</v>
      </c>
      <c r="Q359" s="3" t="s">
        <v>26</v>
      </c>
      <c r="R359" s="3">
        <v>0</v>
      </c>
      <c r="S359" s="4">
        <v>0</v>
      </c>
      <c r="T359" s="4">
        <v>9</v>
      </c>
      <c r="U359" s="4">
        <v>56</v>
      </c>
      <c r="V359" s="4">
        <f>IF(ISERROR(VLOOKUP($S$359,'TAR FIN'!$A$1:$O$85,15,0)),0,VLOOKUP($S$359,'TAR FIN'!$A$1:$O$85,15,0))</f>
        <v>0</v>
      </c>
      <c r="W359" s="4">
        <f>IF(ISERROR(VLOOKUP($T$359,'TAR FIN'!$A$1:$O$85,15,0)),0,VLOOKUP($T$359,'TAR FIN'!$A$1:$O$85,15,0))</f>
        <v>697.32</v>
      </c>
      <c r="X359" s="4">
        <f>IF(ISERROR(VLOOKUP($U$359,'TAR FIN'!$A$1:$O$85,15,0)),0,VLOOKUP($U$359,'TAR FIN'!$A$1:$O$85,15,0))</f>
        <v>203.57</v>
      </c>
      <c r="Y359" s="4"/>
      <c r="Z359" s="4">
        <f ca="1">('TUSD BE'!$AM$33+'TUSD BF'!$AM$33+'TUSD CVA'!$AM$33)*(1-CUSTOS!$M$38)</f>
        <v>911.35112319392283</v>
      </c>
      <c r="AA359" s="4">
        <f>('TE BE'!$AA$24+'TE BF'!$AA$24+'TE CVA'!$AA$24)*(1-CUSTOS!$M$38)</f>
        <v>245.15495345670945</v>
      </c>
      <c r="AB359" s="4">
        <f>$K$359*$V$359</f>
        <v>0</v>
      </c>
      <c r="AC359" s="4">
        <f>$M$359*$W$359</f>
        <v>-748.92168000000015</v>
      </c>
      <c r="AD359" s="4">
        <f>$O$359*$X$359</f>
        <v>-218.63418000000001</v>
      </c>
      <c r="AE359" s="4">
        <f>$K$359*$Y$359</f>
        <v>0</v>
      </c>
      <c r="AF359" s="4">
        <f ca="1">$M$359*$Z$359</f>
        <v>-978.79110631027322</v>
      </c>
      <c r="AG359" s="4">
        <f>$O$359*$AA$359</f>
        <v>-263.29642001250596</v>
      </c>
    </row>
    <row r="360" spans="1:33" ht="11.25" customHeight="1" x14ac:dyDescent="0.25">
      <c r="A360" s="3" t="s">
        <v>28</v>
      </c>
      <c r="B360" s="3" t="s">
        <v>43</v>
      </c>
      <c r="C360" s="3" t="s">
        <v>23</v>
      </c>
      <c r="D360" s="3" t="s">
        <v>44</v>
      </c>
      <c r="E360" s="3" t="s">
        <v>25</v>
      </c>
      <c r="F360" s="3" t="s">
        <v>25</v>
      </c>
      <c r="G360" s="3" t="s">
        <v>25</v>
      </c>
      <c r="H360" s="3" t="s">
        <v>25</v>
      </c>
      <c r="I360" s="6">
        <v>44531</v>
      </c>
      <c r="J360" s="4">
        <v>0</v>
      </c>
      <c r="K360" s="4">
        <v>0</v>
      </c>
      <c r="L360" s="4">
        <v>22.131</v>
      </c>
      <c r="M360" s="4">
        <v>22.131</v>
      </c>
      <c r="N360" s="4">
        <v>22.131</v>
      </c>
      <c r="O360" s="4">
        <v>22.131</v>
      </c>
      <c r="P360" s="4">
        <v>37</v>
      </c>
      <c r="Q360" s="3" t="s">
        <v>26</v>
      </c>
      <c r="R360" s="3">
        <v>0</v>
      </c>
      <c r="S360" s="4">
        <v>0</v>
      </c>
      <c r="T360" s="4">
        <v>9</v>
      </c>
      <c r="U360" s="4">
        <v>56</v>
      </c>
      <c r="V360" s="4">
        <f>IF(ISERROR(VLOOKUP($S$360,'TAR FIN'!$A$1:$O$85,15,0)),0,VLOOKUP($S$360,'TAR FIN'!$A$1:$O$85,15,0))</f>
        <v>0</v>
      </c>
      <c r="W360" s="4">
        <f>IF(ISERROR(VLOOKUP($T$360,'TAR FIN'!$A$1:$O$85,15,0)),0,VLOOKUP($T$360,'TAR FIN'!$A$1:$O$85,15,0))</f>
        <v>697.32</v>
      </c>
      <c r="X360" s="4">
        <f>IF(ISERROR(VLOOKUP($U$360,'TAR FIN'!$A$1:$O$85,15,0)),0,VLOOKUP($U$360,'TAR FIN'!$A$1:$O$85,15,0))</f>
        <v>203.57</v>
      </c>
      <c r="Y360" s="4"/>
      <c r="Z360" s="4">
        <f ca="1">('TUSD BE'!$AM$33+'TUSD BF'!$AM$33+'TUSD CVA'!$AM$33)*(1-CUSTOS!$M$38)</f>
        <v>911.35112319392283</v>
      </c>
      <c r="AA360" s="4">
        <f>('TE BE'!$AA$24+'TE BF'!$AA$24+'TE CVA'!$AA$24)*(1-CUSTOS!$M$38)</f>
        <v>245.15495345670945</v>
      </c>
      <c r="AB360" s="4">
        <f>$K$360*$V$360</f>
        <v>0</v>
      </c>
      <c r="AC360" s="4">
        <f>$M$360*$W$360</f>
        <v>15432.388920000001</v>
      </c>
      <c r="AD360" s="4">
        <f>$O$360*$X$360</f>
        <v>4505.2076699999998</v>
      </c>
      <c r="AE360" s="4">
        <f>$K$360*$Y$360</f>
        <v>0</v>
      </c>
      <c r="AF360" s="4">
        <f ca="1">$M$360*$Z$360</f>
        <v>20169.111707404707</v>
      </c>
      <c r="AG360" s="4">
        <f>$O$360*$AA$360</f>
        <v>5425.5242749504368</v>
      </c>
    </row>
    <row r="361" spans="1:33" ht="11.25" customHeight="1" x14ac:dyDescent="0.25">
      <c r="A361" s="3" t="s">
        <v>21</v>
      </c>
      <c r="B361" s="3" t="s">
        <v>43</v>
      </c>
      <c r="C361" s="3" t="s">
        <v>23</v>
      </c>
      <c r="D361" s="3" t="s">
        <v>44</v>
      </c>
      <c r="E361" s="3" t="s">
        <v>25</v>
      </c>
      <c r="F361" s="3" t="s">
        <v>25</v>
      </c>
      <c r="G361" s="3" t="s">
        <v>25</v>
      </c>
      <c r="H361" s="3" t="s">
        <v>25</v>
      </c>
      <c r="I361" s="6">
        <v>44562</v>
      </c>
      <c r="J361" s="4">
        <v>0</v>
      </c>
      <c r="K361" s="4">
        <v>0</v>
      </c>
      <c r="L361" s="4">
        <v>252.148</v>
      </c>
      <c r="M361" s="4">
        <v>252.148</v>
      </c>
      <c r="N361" s="4">
        <v>252.148</v>
      </c>
      <c r="O361" s="4">
        <v>252.148</v>
      </c>
      <c r="P361" s="4">
        <v>534</v>
      </c>
      <c r="Q361" s="3" t="s">
        <v>26</v>
      </c>
      <c r="R361" s="3">
        <v>0</v>
      </c>
      <c r="S361" s="4">
        <v>0</v>
      </c>
      <c r="T361" s="4">
        <v>9</v>
      </c>
      <c r="U361" s="4">
        <v>56</v>
      </c>
      <c r="V361" s="4">
        <f>IF(ISERROR(VLOOKUP($S$361,'TAR FIN'!$A$1:$O$85,15,0)),0,VLOOKUP($S$361,'TAR FIN'!$A$1:$O$85,15,0))</f>
        <v>0</v>
      </c>
      <c r="W361" s="4">
        <f>IF(ISERROR(VLOOKUP($T$361,'TAR FIN'!$A$1:$O$85,15,0)),0,VLOOKUP($T$361,'TAR FIN'!$A$1:$O$85,15,0))</f>
        <v>697.32</v>
      </c>
      <c r="X361" s="4">
        <f>IF(ISERROR(VLOOKUP($U$361,'TAR FIN'!$A$1:$O$85,15,0)),0,VLOOKUP($U$361,'TAR FIN'!$A$1:$O$85,15,0))</f>
        <v>203.57</v>
      </c>
      <c r="Y361" s="4"/>
      <c r="Z361" s="4">
        <f ca="1">('TUSD BE'!$AM$33+'TUSD BF'!$AM$33+'TUSD CVA'!$AM$33)*(1-CUSTOS!$M$38)</f>
        <v>911.35112319392283</v>
      </c>
      <c r="AA361" s="4">
        <f>('TE BE'!$AA$24+'TE BF'!$AA$24+'TE CVA'!$AA$24)*(1-CUSTOS!$M$38)</f>
        <v>245.15495345670945</v>
      </c>
      <c r="AB361" s="4">
        <f>$K$361*$V$361</f>
        <v>0</v>
      </c>
      <c r="AC361" s="4">
        <f>$M$361*$W$361</f>
        <v>175827.84336</v>
      </c>
      <c r="AD361" s="4">
        <f>$O$361*$X$361</f>
        <v>51329.768359999995</v>
      </c>
      <c r="AE361" s="4">
        <f>$K$361*$Y$361</f>
        <v>0</v>
      </c>
      <c r="AF361" s="4">
        <f ca="1">$M$361*$Z$361</f>
        <v>229795.36301110126</v>
      </c>
      <c r="AG361" s="4">
        <f>$O$361*$AA$361</f>
        <v>61815.331204202375</v>
      </c>
    </row>
    <row r="362" spans="1:33" ht="11.25" customHeight="1" x14ac:dyDescent="0.25">
      <c r="A362" s="3" t="s">
        <v>28</v>
      </c>
      <c r="B362" s="3" t="s">
        <v>43</v>
      </c>
      <c r="C362" s="3" t="s">
        <v>23</v>
      </c>
      <c r="D362" s="3" t="s">
        <v>44</v>
      </c>
      <c r="E362" s="3" t="s">
        <v>25</v>
      </c>
      <c r="F362" s="3" t="s">
        <v>25</v>
      </c>
      <c r="G362" s="3" t="s">
        <v>25</v>
      </c>
      <c r="H362" s="3" t="s">
        <v>25</v>
      </c>
      <c r="I362" s="6">
        <v>44562</v>
      </c>
      <c r="J362" s="4">
        <v>0</v>
      </c>
      <c r="K362" s="4">
        <v>0</v>
      </c>
      <c r="L362" s="4">
        <v>25.52</v>
      </c>
      <c r="M362" s="4">
        <v>25.52</v>
      </c>
      <c r="N362" s="4">
        <v>25.52</v>
      </c>
      <c r="O362" s="4">
        <v>25.52</v>
      </c>
      <c r="P362" s="4">
        <v>33</v>
      </c>
      <c r="Q362" s="3" t="s">
        <v>26</v>
      </c>
      <c r="R362" s="3">
        <v>0</v>
      </c>
      <c r="S362" s="4">
        <v>0</v>
      </c>
      <c r="T362" s="4">
        <v>9</v>
      </c>
      <c r="U362" s="4">
        <v>56</v>
      </c>
      <c r="V362" s="4">
        <f>IF(ISERROR(VLOOKUP($S$362,'TAR FIN'!$A$1:$O$85,15,0)),0,VLOOKUP($S$362,'TAR FIN'!$A$1:$O$85,15,0))</f>
        <v>0</v>
      </c>
      <c r="W362" s="4">
        <f>IF(ISERROR(VLOOKUP($T$362,'TAR FIN'!$A$1:$O$85,15,0)),0,VLOOKUP($T$362,'TAR FIN'!$A$1:$O$85,15,0))</f>
        <v>697.32</v>
      </c>
      <c r="X362" s="4">
        <f>IF(ISERROR(VLOOKUP($U$362,'TAR FIN'!$A$1:$O$85,15,0)),0,VLOOKUP($U$362,'TAR FIN'!$A$1:$O$85,15,0))</f>
        <v>203.57</v>
      </c>
      <c r="Y362" s="4"/>
      <c r="Z362" s="4">
        <f ca="1">('TUSD BE'!$AM$33+'TUSD BF'!$AM$33+'TUSD CVA'!$AM$33)*(1-CUSTOS!$M$38)</f>
        <v>911.35112319392283</v>
      </c>
      <c r="AA362" s="4">
        <f>('TE BE'!$AA$24+'TE BF'!$AA$24+'TE CVA'!$AA$24)*(1-CUSTOS!$M$38)</f>
        <v>245.15495345670945</v>
      </c>
      <c r="AB362" s="4">
        <f>$K$362*$V$362</f>
        <v>0</v>
      </c>
      <c r="AC362" s="4">
        <f>$M$362*$W$362</f>
        <v>17795.606400000001</v>
      </c>
      <c r="AD362" s="4">
        <f>$O$362*$X$362</f>
        <v>5195.1063999999997</v>
      </c>
      <c r="AE362" s="4">
        <f>$K$362*$Y$362</f>
        <v>0</v>
      </c>
      <c r="AF362" s="4">
        <f ca="1">$M$362*$Z$362</f>
        <v>23257.680663908912</v>
      </c>
      <c r="AG362" s="4">
        <f>$O$362*$AA$362</f>
        <v>6256.3544122152252</v>
      </c>
    </row>
    <row r="363" spans="1:33" ht="11.25" customHeight="1" x14ac:dyDescent="0.25">
      <c r="A363" s="3" t="s">
        <v>28</v>
      </c>
      <c r="B363" s="3" t="s">
        <v>43</v>
      </c>
      <c r="C363" s="3" t="s">
        <v>23</v>
      </c>
      <c r="D363" s="3" t="s">
        <v>44</v>
      </c>
      <c r="E363" s="3" t="s">
        <v>25</v>
      </c>
      <c r="F363" s="3" t="s">
        <v>25</v>
      </c>
      <c r="G363" s="3" t="s">
        <v>25</v>
      </c>
      <c r="H363" s="3" t="s">
        <v>25</v>
      </c>
      <c r="I363" s="6">
        <v>44562</v>
      </c>
      <c r="J363" s="4">
        <v>0</v>
      </c>
      <c r="K363" s="4">
        <v>0</v>
      </c>
      <c r="L363" s="4">
        <v>0.41</v>
      </c>
      <c r="M363" s="4">
        <v>0.41</v>
      </c>
      <c r="N363" s="4">
        <v>0.41</v>
      </c>
      <c r="O363" s="4">
        <v>0.41</v>
      </c>
      <c r="P363" s="4">
        <v>1</v>
      </c>
      <c r="Q363" s="3" t="s">
        <v>26</v>
      </c>
      <c r="R363" s="3">
        <v>0</v>
      </c>
      <c r="S363" s="4">
        <v>0</v>
      </c>
      <c r="T363" s="4">
        <v>9</v>
      </c>
      <c r="U363" s="4">
        <v>56</v>
      </c>
      <c r="V363" s="4">
        <f>IF(ISERROR(VLOOKUP($S$363,'TAR FIN'!$A$1:$O$85,15,0)),0,VLOOKUP($S$363,'TAR FIN'!$A$1:$O$85,15,0))</f>
        <v>0</v>
      </c>
      <c r="W363" s="4">
        <f>IF(ISERROR(VLOOKUP($T$363,'TAR FIN'!$A$1:$O$85,15,0)),0,VLOOKUP($T$363,'TAR FIN'!$A$1:$O$85,15,0))</f>
        <v>697.32</v>
      </c>
      <c r="X363" s="4">
        <f>IF(ISERROR(VLOOKUP($U$363,'TAR FIN'!$A$1:$O$85,15,0)),0,VLOOKUP($U$363,'TAR FIN'!$A$1:$O$85,15,0))</f>
        <v>203.57</v>
      </c>
      <c r="Y363" s="4"/>
      <c r="Z363" s="4">
        <f ca="1">('TUSD BE'!$AM$33+'TUSD BF'!$AM$33+'TUSD CVA'!$AM$33)*(1-CUSTOS!$M$38)</f>
        <v>911.35112319392283</v>
      </c>
      <c r="AA363" s="4">
        <f>('TE BE'!$AA$24+'TE BF'!$AA$24+'TE CVA'!$AA$24)*(1-CUSTOS!$M$38)</f>
        <v>245.15495345670945</v>
      </c>
      <c r="AB363" s="4">
        <f>$K$363*$V$363</f>
        <v>0</v>
      </c>
      <c r="AC363" s="4">
        <f>$M$363*$W$363</f>
        <v>285.90120000000002</v>
      </c>
      <c r="AD363" s="4">
        <f>$O$363*$X$363</f>
        <v>83.463699999999989</v>
      </c>
      <c r="AE363" s="4">
        <f>$K$363*$Y$363</f>
        <v>0</v>
      </c>
      <c r="AF363" s="4">
        <f ca="1">$M$363*$Z$363</f>
        <v>373.65396050950835</v>
      </c>
      <c r="AG363" s="4">
        <f>$O$363*$AA$363</f>
        <v>100.51353091725086</v>
      </c>
    </row>
    <row r="364" spans="1:33" ht="11.25" customHeight="1" x14ac:dyDescent="0.25">
      <c r="A364" s="3" t="s">
        <v>21</v>
      </c>
      <c r="B364" s="3" t="s">
        <v>43</v>
      </c>
      <c r="C364" s="3" t="s">
        <v>23</v>
      </c>
      <c r="D364" s="3" t="s">
        <v>44</v>
      </c>
      <c r="E364" s="3" t="s">
        <v>25</v>
      </c>
      <c r="F364" s="3" t="s">
        <v>25</v>
      </c>
      <c r="G364" s="3" t="s">
        <v>25</v>
      </c>
      <c r="H364" s="3" t="s">
        <v>25</v>
      </c>
      <c r="I364" s="6">
        <v>44593</v>
      </c>
      <c r="J364" s="4">
        <v>0</v>
      </c>
      <c r="K364" s="4">
        <v>0</v>
      </c>
      <c r="L364" s="4">
        <v>244.285</v>
      </c>
      <c r="M364" s="4">
        <v>244.285</v>
      </c>
      <c r="N364" s="4">
        <v>244.285</v>
      </c>
      <c r="O364" s="4">
        <v>244.285</v>
      </c>
      <c r="P364" s="4">
        <v>531</v>
      </c>
      <c r="Q364" s="3" t="s">
        <v>26</v>
      </c>
      <c r="R364" s="3">
        <v>0</v>
      </c>
      <c r="S364" s="4">
        <v>0</v>
      </c>
      <c r="T364" s="4">
        <v>9</v>
      </c>
      <c r="U364" s="4">
        <v>56</v>
      </c>
      <c r="V364" s="4">
        <f>IF(ISERROR(VLOOKUP($S$364,'TAR FIN'!$A$1:$O$85,15,0)),0,VLOOKUP($S$364,'TAR FIN'!$A$1:$O$85,15,0))</f>
        <v>0</v>
      </c>
      <c r="W364" s="4">
        <f>IF(ISERROR(VLOOKUP($T$364,'TAR FIN'!$A$1:$O$85,15,0)),0,VLOOKUP($T$364,'TAR FIN'!$A$1:$O$85,15,0))</f>
        <v>697.32</v>
      </c>
      <c r="X364" s="4">
        <f>IF(ISERROR(VLOOKUP($U$364,'TAR FIN'!$A$1:$O$85,15,0)),0,VLOOKUP($U$364,'TAR FIN'!$A$1:$O$85,15,0))</f>
        <v>203.57</v>
      </c>
      <c r="Y364" s="4"/>
      <c r="Z364" s="4">
        <f ca="1">('TUSD BE'!$AM$33+'TUSD BF'!$AM$33+'TUSD CVA'!$AM$33)*(1-CUSTOS!$M$38)</f>
        <v>911.35112319392283</v>
      </c>
      <c r="AA364" s="4">
        <f>('TE BE'!$AA$24+'TE BF'!$AA$24+'TE CVA'!$AA$24)*(1-CUSTOS!$M$38)</f>
        <v>245.15495345670945</v>
      </c>
      <c r="AB364" s="4">
        <f>$K$364*$V$364</f>
        <v>0</v>
      </c>
      <c r="AC364" s="4">
        <f>$M$364*$W$364</f>
        <v>170344.8162</v>
      </c>
      <c r="AD364" s="4">
        <f>$O$364*$X$364</f>
        <v>49729.097450000001</v>
      </c>
      <c r="AE364" s="4">
        <f>$K$364*$Y$364</f>
        <v>0</v>
      </c>
      <c r="AF364" s="4">
        <f ca="1">$M$364*$Z$364</f>
        <v>222629.40912942743</v>
      </c>
      <c r="AG364" s="4">
        <f>$O$364*$AA$364</f>
        <v>59887.677805172265</v>
      </c>
    </row>
    <row r="365" spans="1:33" ht="11.25" customHeight="1" x14ac:dyDescent="0.25">
      <c r="A365" s="3" t="s">
        <v>27</v>
      </c>
      <c r="B365" s="3" t="s">
        <v>43</v>
      </c>
      <c r="C365" s="3" t="s">
        <v>23</v>
      </c>
      <c r="D365" s="3" t="s">
        <v>44</v>
      </c>
      <c r="E365" s="3" t="s">
        <v>25</v>
      </c>
      <c r="F365" s="3" t="s">
        <v>25</v>
      </c>
      <c r="G365" s="3" t="s">
        <v>25</v>
      </c>
      <c r="H365" s="3" t="s">
        <v>25</v>
      </c>
      <c r="I365" s="6">
        <v>44593</v>
      </c>
      <c r="J365" s="4">
        <v>0</v>
      </c>
      <c r="K365" s="4">
        <v>0</v>
      </c>
      <c r="L365" s="4">
        <v>-0.28000000000000003</v>
      </c>
      <c r="M365" s="4">
        <v>-0.28000000000000003</v>
      </c>
      <c r="N365" s="4">
        <v>-0.28000000000000003</v>
      </c>
      <c r="O365" s="4">
        <v>-0.28000000000000003</v>
      </c>
      <c r="P365" s="4">
        <v>0</v>
      </c>
      <c r="Q365" s="3" t="s">
        <v>26</v>
      </c>
      <c r="R365" s="3">
        <v>0</v>
      </c>
      <c r="S365" s="4">
        <v>0</v>
      </c>
      <c r="T365" s="4">
        <v>9</v>
      </c>
      <c r="U365" s="4">
        <v>56</v>
      </c>
      <c r="V365" s="4">
        <f>IF(ISERROR(VLOOKUP($S$365,'TAR FIN'!$A$1:$O$85,15,0)),0,VLOOKUP($S$365,'TAR FIN'!$A$1:$O$85,15,0))</f>
        <v>0</v>
      </c>
      <c r="W365" s="4">
        <f>IF(ISERROR(VLOOKUP($T$365,'TAR FIN'!$A$1:$O$85,15,0)),0,VLOOKUP($T$365,'TAR FIN'!$A$1:$O$85,15,0))</f>
        <v>697.32</v>
      </c>
      <c r="X365" s="4">
        <f>IF(ISERROR(VLOOKUP($U$365,'TAR FIN'!$A$1:$O$85,15,0)),0,VLOOKUP($U$365,'TAR FIN'!$A$1:$O$85,15,0))</f>
        <v>203.57</v>
      </c>
      <c r="Y365" s="4"/>
      <c r="Z365" s="4">
        <f ca="1">('TUSD BE'!$AM$33+'TUSD BF'!$AM$33+'TUSD CVA'!$AM$33)*(1-CUSTOS!$M$38)</f>
        <v>911.35112319392283</v>
      </c>
      <c r="AA365" s="4">
        <f>('TE BE'!$AA$24+'TE BF'!$AA$24+'TE CVA'!$AA$24)*(1-CUSTOS!$M$38)</f>
        <v>245.15495345670945</v>
      </c>
      <c r="AB365" s="4">
        <f>$K$365*$V$365</f>
        <v>0</v>
      </c>
      <c r="AC365" s="4">
        <f>$M$365*$W$365</f>
        <v>-195.24960000000004</v>
      </c>
      <c r="AD365" s="4">
        <f>$O$365*$X$365</f>
        <v>-56.999600000000001</v>
      </c>
      <c r="AE365" s="4">
        <f>$K$365*$Y$365</f>
        <v>0</v>
      </c>
      <c r="AF365" s="4">
        <f ca="1">$M$365*$Z$365</f>
        <v>-255.17831449429841</v>
      </c>
      <c r="AG365" s="4">
        <f>$O$365*$AA$365</f>
        <v>-68.643386967878655</v>
      </c>
    </row>
    <row r="366" spans="1:33" ht="11.25" customHeight="1" x14ac:dyDescent="0.25">
      <c r="A366" s="3" t="s">
        <v>28</v>
      </c>
      <c r="B366" s="3" t="s">
        <v>43</v>
      </c>
      <c r="C366" s="3" t="s">
        <v>23</v>
      </c>
      <c r="D366" s="3" t="s">
        <v>44</v>
      </c>
      <c r="E366" s="3" t="s">
        <v>25</v>
      </c>
      <c r="F366" s="3" t="s">
        <v>25</v>
      </c>
      <c r="G366" s="3" t="s">
        <v>25</v>
      </c>
      <c r="H366" s="3" t="s">
        <v>25</v>
      </c>
      <c r="I366" s="6">
        <v>44593</v>
      </c>
      <c r="J366" s="4">
        <v>0</v>
      </c>
      <c r="K366" s="4">
        <v>0</v>
      </c>
      <c r="L366" s="4">
        <v>27.195</v>
      </c>
      <c r="M366" s="4">
        <v>27.195</v>
      </c>
      <c r="N366" s="4">
        <v>27.195</v>
      </c>
      <c r="O366" s="4">
        <v>27.195</v>
      </c>
      <c r="P366" s="4">
        <v>38</v>
      </c>
      <c r="Q366" s="3" t="s">
        <v>26</v>
      </c>
      <c r="R366" s="3">
        <v>0</v>
      </c>
      <c r="S366" s="4">
        <v>0</v>
      </c>
      <c r="T366" s="4">
        <v>9</v>
      </c>
      <c r="U366" s="4">
        <v>56</v>
      </c>
      <c r="V366" s="4">
        <f>IF(ISERROR(VLOOKUP($S$366,'TAR FIN'!$A$1:$O$85,15,0)),0,VLOOKUP($S$366,'TAR FIN'!$A$1:$O$85,15,0))</f>
        <v>0</v>
      </c>
      <c r="W366" s="4">
        <f>IF(ISERROR(VLOOKUP($T$366,'TAR FIN'!$A$1:$O$85,15,0)),0,VLOOKUP($T$366,'TAR FIN'!$A$1:$O$85,15,0))</f>
        <v>697.32</v>
      </c>
      <c r="X366" s="4">
        <f>IF(ISERROR(VLOOKUP($U$366,'TAR FIN'!$A$1:$O$85,15,0)),0,VLOOKUP($U$366,'TAR FIN'!$A$1:$O$85,15,0))</f>
        <v>203.57</v>
      </c>
      <c r="Y366" s="4"/>
      <c r="Z366" s="4">
        <f ca="1">('TUSD BE'!$AM$33+'TUSD BF'!$AM$33+'TUSD CVA'!$AM$33)*(1-CUSTOS!$M$38)</f>
        <v>911.35112319392283</v>
      </c>
      <c r="AA366" s="4">
        <f>('TE BE'!$AA$24+'TE BF'!$AA$24+'TE CVA'!$AA$24)*(1-CUSTOS!$M$38)</f>
        <v>245.15495345670945</v>
      </c>
      <c r="AB366" s="4">
        <f>$K$366*$V$366</f>
        <v>0</v>
      </c>
      <c r="AC366" s="4">
        <f>$M$366*$W$366</f>
        <v>18963.617400000003</v>
      </c>
      <c r="AD366" s="4">
        <f>$O$366*$X$366</f>
        <v>5536.0861500000001</v>
      </c>
      <c r="AE366" s="4">
        <f>$K$366*$Y$366</f>
        <v>0</v>
      </c>
      <c r="AF366" s="4">
        <f ca="1">$M$366*$Z$366</f>
        <v>24784.193795258732</v>
      </c>
      <c r="AG366" s="4">
        <f>$O$366*$AA$366</f>
        <v>6666.9889592552136</v>
      </c>
    </row>
    <row r="367" spans="1:33" ht="11.25" customHeight="1" x14ac:dyDescent="0.25">
      <c r="A367" s="3" t="s">
        <v>21</v>
      </c>
      <c r="B367" s="3" t="s">
        <v>43</v>
      </c>
      <c r="C367" s="3" t="s">
        <v>23</v>
      </c>
      <c r="D367" s="3" t="s">
        <v>44</v>
      </c>
      <c r="E367" s="3" t="s">
        <v>25</v>
      </c>
      <c r="F367" s="3" t="s">
        <v>25</v>
      </c>
      <c r="G367" s="3" t="s">
        <v>25</v>
      </c>
      <c r="H367" s="3" t="s">
        <v>25</v>
      </c>
      <c r="I367" s="6">
        <v>44621</v>
      </c>
      <c r="J367" s="4">
        <v>0</v>
      </c>
      <c r="K367" s="4">
        <v>0</v>
      </c>
      <c r="L367" s="4">
        <v>235.93100000000001</v>
      </c>
      <c r="M367" s="4">
        <v>235.93100000000001</v>
      </c>
      <c r="N367" s="4">
        <v>235.93100000000001</v>
      </c>
      <c r="O367" s="4">
        <v>235.93100000000001</v>
      </c>
      <c r="P367" s="4">
        <v>524</v>
      </c>
      <c r="Q367" s="3" t="s">
        <v>26</v>
      </c>
      <c r="R367" s="3">
        <v>0</v>
      </c>
      <c r="S367" s="4">
        <v>0</v>
      </c>
      <c r="T367" s="4">
        <v>9</v>
      </c>
      <c r="U367" s="4">
        <v>56</v>
      </c>
      <c r="V367" s="4">
        <f>IF(ISERROR(VLOOKUP($S$367,'TAR FIN'!$A$1:$O$85,15,0)),0,VLOOKUP($S$367,'TAR FIN'!$A$1:$O$85,15,0))</f>
        <v>0</v>
      </c>
      <c r="W367" s="4">
        <f>IF(ISERROR(VLOOKUP($T$367,'TAR FIN'!$A$1:$O$85,15,0)),0,VLOOKUP($T$367,'TAR FIN'!$A$1:$O$85,15,0))</f>
        <v>697.32</v>
      </c>
      <c r="X367" s="4">
        <f>IF(ISERROR(VLOOKUP($U$367,'TAR FIN'!$A$1:$O$85,15,0)),0,VLOOKUP($U$367,'TAR FIN'!$A$1:$O$85,15,0))</f>
        <v>203.57</v>
      </c>
      <c r="Y367" s="4"/>
      <c r="Z367" s="4">
        <f ca="1">('TUSD BE'!$AM$33+'TUSD BF'!$AM$33+'TUSD CVA'!$AM$33)*(1-CUSTOS!$M$38)</f>
        <v>911.35112319392283</v>
      </c>
      <c r="AA367" s="4">
        <f>('TE BE'!$AA$24+'TE BF'!$AA$24+'TE CVA'!$AA$24)*(1-CUSTOS!$M$38)</f>
        <v>245.15495345670945</v>
      </c>
      <c r="AB367" s="4">
        <f>$K$367*$V$367</f>
        <v>0</v>
      </c>
      <c r="AC367" s="4">
        <f>$M$367*$W$367</f>
        <v>164519.40492000003</v>
      </c>
      <c r="AD367" s="4">
        <f>$O$367*$X$367</f>
        <v>48028.473669999999</v>
      </c>
      <c r="AE367" s="4">
        <f>$K$367*$Y$367</f>
        <v>0</v>
      </c>
      <c r="AF367" s="4">
        <f ca="1">$M$367*$Z$367</f>
        <v>215015.98184626541</v>
      </c>
      <c r="AG367" s="4">
        <f>$O$367*$AA$367</f>
        <v>57839.65332399492</v>
      </c>
    </row>
    <row r="368" spans="1:33" ht="11.25" customHeight="1" x14ac:dyDescent="0.25">
      <c r="A368" s="3" t="s">
        <v>27</v>
      </c>
      <c r="B368" s="3" t="s">
        <v>43</v>
      </c>
      <c r="C368" s="3" t="s">
        <v>23</v>
      </c>
      <c r="D368" s="3" t="s">
        <v>44</v>
      </c>
      <c r="E368" s="3" t="s">
        <v>25</v>
      </c>
      <c r="F368" s="3" t="s">
        <v>25</v>
      </c>
      <c r="G368" s="3" t="s">
        <v>25</v>
      </c>
      <c r="H368" s="3" t="s">
        <v>25</v>
      </c>
      <c r="I368" s="6">
        <v>44621</v>
      </c>
      <c r="J368" s="4">
        <v>0</v>
      </c>
      <c r="K368" s="4">
        <v>0</v>
      </c>
      <c r="L368" s="4">
        <v>-0.3</v>
      </c>
      <c r="M368" s="4">
        <v>-0.3</v>
      </c>
      <c r="N368" s="4">
        <v>-0.3</v>
      </c>
      <c r="O368" s="4">
        <v>-0.3</v>
      </c>
      <c r="P368" s="4">
        <v>0</v>
      </c>
      <c r="Q368" s="3" t="s">
        <v>26</v>
      </c>
      <c r="R368" s="3">
        <v>0</v>
      </c>
      <c r="S368" s="4">
        <v>0</v>
      </c>
      <c r="T368" s="4">
        <v>9</v>
      </c>
      <c r="U368" s="4">
        <v>56</v>
      </c>
      <c r="V368" s="4">
        <f>IF(ISERROR(VLOOKUP($S$368,'TAR FIN'!$A$1:$O$85,15,0)),0,VLOOKUP($S$368,'TAR FIN'!$A$1:$O$85,15,0))</f>
        <v>0</v>
      </c>
      <c r="W368" s="4">
        <f>IF(ISERROR(VLOOKUP($T$368,'TAR FIN'!$A$1:$O$85,15,0)),0,VLOOKUP($T$368,'TAR FIN'!$A$1:$O$85,15,0))</f>
        <v>697.32</v>
      </c>
      <c r="X368" s="4">
        <f>IF(ISERROR(VLOOKUP($U$368,'TAR FIN'!$A$1:$O$85,15,0)),0,VLOOKUP($U$368,'TAR FIN'!$A$1:$O$85,15,0))</f>
        <v>203.57</v>
      </c>
      <c r="Y368" s="4"/>
      <c r="Z368" s="4">
        <f ca="1">('TUSD BE'!$AM$33+'TUSD BF'!$AM$33+'TUSD CVA'!$AM$33)*(1-CUSTOS!$M$38)</f>
        <v>911.35112319392283</v>
      </c>
      <c r="AA368" s="4">
        <f>('TE BE'!$AA$24+'TE BF'!$AA$24+'TE CVA'!$AA$24)*(1-CUSTOS!$M$38)</f>
        <v>245.15495345670945</v>
      </c>
      <c r="AB368" s="4">
        <f>$K$368*$V$368</f>
        <v>0</v>
      </c>
      <c r="AC368" s="4">
        <f>$M$368*$W$368</f>
        <v>-209.196</v>
      </c>
      <c r="AD368" s="4">
        <f>$O$368*$X$368</f>
        <v>-61.070999999999998</v>
      </c>
      <c r="AE368" s="4">
        <f>$K$368*$Y$368</f>
        <v>0</v>
      </c>
      <c r="AF368" s="4">
        <f ca="1">$M$368*$Z$368</f>
        <v>-273.40533695817686</v>
      </c>
      <c r="AG368" s="4">
        <f>$O$368*$AA$368</f>
        <v>-73.546486037012826</v>
      </c>
    </row>
    <row r="369" spans="1:33" ht="11.25" customHeight="1" x14ac:dyDescent="0.25">
      <c r="A369" s="3" t="s">
        <v>28</v>
      </c>
      <c r="B369" s="3" t="s">
        <v>43</v>
      </c>
      <c r="C369" s="3" t="s">
        <v>23</v>
      </c>
      <c r="D369" s="3" t="s">
        <v>44</v>
      </c>
      <c r="E369" s="3" t="s">
        <v>25</v>
      </c>
      <c r="F369" s="3" t="s">
        <v>25</v>
      </c>
      <c r="G369" s="3" t="s">
        <v>25</v>
      </c>
      <c r="H369" s="3" t="s">
        <v>25</v>
      </c>
      <c r="I369" s="6">
        <v>44621</v>
      </c>
      <c r="J369" s="4">
        <v>0</v>
      </c>
      <c r="K369" s="4">
        <v>0</v>
      </c>
      <c r="L369" s="4">
        <v>34.454999999999998</v>
      </c>
      <c r="M369" s="4">
        <v>34.454999999999998</v>
      </c>
      <c r="N369" s="4">
        <v>34.454999999999998</v>
      </c>
      <c r="O369" s="4">
        <v>34.454999999999998</v>
      </c>
      <c r="P369" s="4">
        <v>40</v>
      </c>
      <c r="Q369" s="3" t="s">
        <v>26</v>
      </c>
      <c r="R369" s="3">
        <v>0</v>
      </c>
      <c r="S369" s="4">
        <v>0</v>
      </c>
      <c r="T369" s="4">
        <v>9</v>
      </c>
      <c r="U369" s="4">
        <v>56</v>
      </c>
      <c r="V369" s="4">
        <f>IF(ISERROR(VLOOKUP($S$369,'TAR FIN'!$A$1:$O$85,15,0)),0,VLOOKUP($S$369,'TAR FIN'!$A$1:$O$85,15,0))</f>
        <v>0</v>
      </c>
      <c r="W369" s="4">
        <f>IF(ISERROR(VLOOKUP($T$369,'TAR FIN'!$A$1:$O$85,15,0)),0,VLOOKUP($T$369,'TAR FIN'!$A$1:$O$85,15,0))</f>
        <v>697.32</v>
      </c>
      <c r="X369" s="4">
        <f>IF(ISERROR(VLOOKUP($U$369,'TAR FIN'!$A$1:$O$85,15,0)),0,VLOOKUP($U$369,'TAR FIN'!$A$1:$O$85,15,0))</f>
        <v>203.57</v>
      </c>
      <c r="Y369" s="4"/>
      <c r="Z369" s="4">
        <f ca="1">('TUSD BE'!$AM$33+'TUSD BF'!$AM$33+'TUSD CVA'!$AM$33)*(1-CUSTOS!$M$38)</f>
        <v>911.35112319392283</v>
      </c>
      <c r="AA369" s="4">
        <f>('TE BE'!$AA$24+'TE BF'!$AA$24+'TE CVA'!$AA$24)*(1-CUSTOS!$M$38)</f>
        <v>245.15495345670945</v>
      </c>
      <c r="AB369" s="4">
        <f>$K$369*$V$369</f>
        <v>0</v>
      </c>
      <c r="AC369" s="4">
        <f>$M$369*$W$369</f>
        <v>24026.160599999999</v>
      </c>
      <c r="AD369" s="4">
        <f>$O$369*$X$369</f>
        <v>7014.0043499999992</v>
      </c>
      <c r="AE369" s="4">
        <f>$K$369*$Y$369</f>
        <v>0</v>
      </c>
      <c r="AF369" s="4">
        <f ca="1">$M$369*$Z$369</f>
        <v>31400.602949646611</v>
      </c>
      <c r="AG369" s="4">
        <f>$O$369*$AA$369</f>
        <v>8446.8139213509239</v>
      </c>
    </row>
    <row r="370" spans="1:33" ht="11.25" customHeight="1" x14ac:dyDescent="0.25">
      <c r="A370" s="3" t="s">
        <v>21</v>
      </c>
      <c r="B370" s="3" t="s">
        <v>39</v>
      </c>
      <c r="C370" s="3" t="s">
        <v>23</v>
      </c>
      <c r="D370" s="3" t="s">
        <v>42</v>
      </c>
      <c r="E370" s="3" t="s">
        <v>25</v>
      </c>
      <c r="F370" s="3" t="s">
        <v>25</v>
      </c>
      <c r="G370" s="3" t="s">
        <v>25</v>
      </c>
      <c r="H370" s="3" t="s">
        <v>25</v>
      </c>
      <c r="I370" s="6">
        <v>44287</v>
      </c>
      <c r="J370" s="4">
        <v>0</v>
      </c>
      <c r="K370" s="4">
        <v>0</v>
      </c>
      <c r="L370" s="4">
        <v>288.08100000000002</v>
      </c>
      <c r="M370" s="4">
        <v>288.08100000000002</v>
      </c>
      <c r="N370" s="4">
        <v>288.08100000000002</v>
      </c>
      <c r="O370" s="4">
        <v>288.08100000000002</v>
      </c>
      <c r="P370" s="4">
        <v>652</v>
      </c>
      <c r="Q370" s="3" t="s">
        <v>26</v>
      </c>
      <c r="R370" s="3">
        <v>0</v>
      </c>
      <c r="S370" s="4">
        <v>0</v>
      </c>
      <c r="T370" s="4">
        <v>39</v>
      </c>
      <c r="U370" s="4">
        <v>73</v>
      </c>
      <c r="V370" s="4">
        <f>IF(ISERROR(VLOOKUP($S$370,'TAR FIN'!$A$1:$O$85,15,0)),0,VLOOKUP($S$370,'TAR FIN'!$A$1:$O$85,15,0))</f>
        <v>0</v>
      </c>
      <c r="W370" s="4">
        <f>IF(ISERROR(VLOOKUP($T$370,'TAR FIN'!$A$1:$O$85,15,0)),0,VLOOKUP($T$370,'TAR FIN'!$A$1:$O$85,15,0))</f>
        <v>792.41</v>
      </c>
      <c r="X370" s="4">
        <f>IF(ISERROR(VLOOKUP($U$370,'TAR FIN'!$A$1:$O$85,15,0)),0,VLOOKUP($U$370,'TAR FIN'!$A$1:$O$85,15,0))</f>
        <v>231.33</v>
      </c>
      <c r="Y370" s="4"/>
      <c r="Z370" s="4">
        <f ca="1">('TUSD BE'!$AM$48+'TUSD BF'!$AM$48+'TUSD CVA'!$AM$48)*1</f>
        <v>969.52247148289666</v>
      </c>
      <c r="AA370" s="4">
        <f>('TE BE'!$AA$39+'TE BF'!$AA$39+'TE CVA'!$AA$39)*1</f>
        <v>260.80314197522284</v>
      </c>
      <c r="AB370" s="4">
        <f>$K$370*$V$370</f>
        <v>0</v>
      </c>
      <c r="AC370" s="4">
        <f>$M$370*$W$370</f>
        <v>228278.26521000001</v>
      </c>
      <c r="AD370" s="4">
        <f>$O$370*$X$370</f>
        <v>66641.777730000002</v>
      </c>
      <c r="AE370" s="4">
        <f>$K$370*$Y$370</f>
        <v>0</v>
      </c>
      <c r="AF370" s="4">
        <f ca="1">$M$370*$Z$370</f>
        <v>279301.00310726435</v>
      </c>
      <c r="AG370" s="4">
        <f>$O$370*$AA$370</f>
        <v>75132.429943364172</v>
      </c>
    </row>
    <row r="371" spans="1:33" ht="11.25" customHeight="1" x14ac:dyDescent="0.25">
      <c r="A371" s="3" t="s">
        <v>27</v>
      </c>
      <c r="B371" s="3" t="s">
        <v>39</v>
      </c>
      <c r="C371" s="3" t="s">
        <v>23</v>
      </c>
      <c r="D371" s="3" t="s">
        <v>42</v>
      </c>
      <c r="E371" s="3" t="s">
        <v>25</v>
      </c>
      <c r="F371" s="3" t="s">
        <v>25</v>
      </c>
      <c r="G371" s="3" t="s">
        <v>25</v>
      </c>
      <c r="H371" s="3" t="s">
        <v>25</v>
      </c>
      <c r="I371" s="6">
        <v>44287</v>
      </c>
      <c r="J371" s="4">
        <v>0</v>
      </c>
      <c r="K371" s="4">
        <v>0</v>
      </c>
      <c r="L371" s="4">
        <v>-0.47899999999999998</v>
      </c>
      <c r="M371" s="4">
        <v>-0.47899999999999998</v>
      </c>
      <c r="N371" s="4">
        <v>-0.47899999999999998</v>
      </c>
      <c r="O371" s="4">
        <v>-0.47899999999999998</v>
      </c>
      <c r="P371" s="4">
        <v>0</v>
      </c>
      <c r="Q371" s="3" t="s">
        <v>26</v>
      </c>
      <c r="R371" s="3">
        <v>0</v>
      </c>
      <c r="S371" s="4">
        <v>0</v>
      </c>
      <c r="T371" s="4">
        <v>39</v>
      </c>
      <c r="U371" s="4">
        <v>73</v>
      </c>
      <c r="V371" s="4">
        <f>IF(ISERROR(VLOOKUP($S$371,'TAR FIN'!$A$1:$O$85,15,0)),0,VLOOKUP($S$371,'TAR FIN'!$A$1:$O$85,15,0))</f>
        <v>0</v>
      </c>
      <c r="W371" s="4">
        <f>IF(ISERROR(VLOOKUP($T$371,'TAR FIN'!$A$1:$O$85,15,0)),0,VLOOKUP($T$371,'TAR FIN'!$A$1:$O$85,15,0))</f>
        <v>792.41</v>
      </c>
      <c r="X371" s="4">
        <f>IF(ISERROR(VLOOKUP($U$371,'TAR FIN'!$A$1:$O$85,15,0)),0,VLOOKUP($U$371,'TAR FIN'!$A$1:$O$85,15,0))</f>
        <v>231.33</v>
      </c>
      <c r="Y371" s="4"/>
      <c r="Z371" s="4">
        <f ca="1">('TUSD BE'!$AM$48+'TUSD BF'!$AM$48+'TUSD CVA'!$AM$48)*1</f>
        <v>969.52247148289666</v>
      </c>
      <c r="AA371" s="4">
        <f>('TE BE'!$AA$39+'TE BF'!$AA$39+'TE CVA'!$AA$39)*1</f>
        <v>260.80314197522284</v>
      </c>
      <c r="AB371" s="4">
        <f>$K$371*$V$371</f>
        <v>0</v>
      </c>
      <c r="AC371" s="4">
        <f>$M$371*$W$371</f>
        <v>-379.56438999999995</v>
      </c>
      <c r="AD371" s="4">
        <f>$O$371*$X$371</f>
        <v>-110.80707</v>
      </c>
      <c r="AE371" s="4">
        <f>$K$371*$Y$371</f>
        <v>0</v>
      </c>
      <c r="AF371" s="4">
        <f ca="1">$M$371*$Z$371</f>
        <v>-464.40126384030748</v>
      </c>
      <c r="AG371" s="4">
        <f>$O$371*$AA$371</f>
        <v>-124.92470500613173</v>
      </c>
    </row>
    <row r="372" spans="1:33" ht="11.25" customHeight="1" x14ac:dyDescent="0.25">
      <c r="A372" s="3" t="s">
        <v>28</v>
      </c>
      <c r="B372" s="3" t="s">
        <v>39</v>
      </c>
      <c r="C372" s="3" t="s">
        <v>23</v>
      </c>
      <c r="D372" s="3" t="s">
        <v>42</v>
      </c>
      <c r="E372" s="3" t="s">
        <v>25</v>
      </c>
      <c r="F372" s="3" t="s">
        <v>25</v>
      </c>
      <c r="G372" s="3" t="s">
        <v>25</v>
      </c>
      <c r="H372" s="3" t="s">
        <v>25</v>
      </c>
      <c r="I372" s="6">
        <v>44287</v>
      </c>
      <c r="J372" s="4">
        <v>0</v>
      </c>
      <c r="K372" s="4">
        <v>0</v>
      </c>
      <c r="L372" s="4">
        <v>2.069</v>
      </c>
      <c r="M372" s="4">
        <v>2.069</v>
      </c>
      <c r="N372" s="4">
        <v>2.069</v>
      </c>
      <c r="O372" s="4">
        <v>2.069</v>
      </c>
      <c r="P372" s="4">
        <v>6</v>
      </c>
      <c r="Q372" s="3" t="s">
        <v>26</v>
      </c>
      <c r="R372" s="3">
        <v>0</v>
      </c>
      <c r="S372" s="4">
        <v>0</v>
      </c>
      <c r="T372" s="4">
        <v>39</v>
      </c>
      <c r="U372" s="4">
        <v>73</v>
      </c>
      <c r="V372" s="4">
        <f>IF(ISERROR(VLOOKUP($S$372,'TAR FIN'!$A$1:$O$85,15,0)),0,VLOOKUP($S$372,'TAR FIN'!$A$1:$O$85,15,0))</f>
        <v>0</v>
      </c>
      <c r="W372" s="4">
        <f>IF(ISERROR(VLOOKUP($T$372,'TAR FIN'!$A$1:$O$85,15,0)),0,VLOOKUP($T$372,'TAR FIN'!$A$1:$O$85,15,0))</f>
        <v>792.41</v>
      </c>
      <c r="X372" s="4">
        <f>IF(ISERROR(VLOOKUP($U$372,'TAR FIN'!$A$1:$O$85,15,0)),0,VLOOKUP($U$372,'TAR FIN'!$A$1:$O$85,15,0))</f>
        <v>231.33</v>
      </c>
      <c r="Y372" s="4"/>
      <c r="Z372" s="4">
        <f ca="1">('TUSD BE'!$AM$48+'TUSD BF'!$AM$48+'TUSD CVA'!$AM$48)*1</f>
        <v>969.52247148289666</v>
      </c>
      <c r="AA372" s="4">
        <f>('TE BE'!$AA$39+'TE BF'!$AA$39+'TE CVA'!$AA$39)*1</f>
        <v>260.80314197522284</v>
      </c>
      <c r="AB372" s="4">
        <f>$K$372*$V$372</f>
        <v>0</v>
      </c>
      <c r="AC372" s="4">
        <f>$M$372*$W$372</f>
        <v>1639.4962899999998</v>
      </c>
      <c r="AD372" s="4">
        <f>$O$372*$X$372</f>
        <v>478.62177000000003</v>
      </c>
      <c r="AE372" s="4">
        <f>$K$372*$Y$372</f>
        <v>0</v>
      </c>
      <c r="AF372" s="4">
        <f ca="1">$M$372*$Z$372</f>
        <v>2005.9419934981131</v>
      </c>
      <c r="AG372" s="4">
        <f>$O$372*$AA$372</f>
        <v>539.60170074673601</v>
      </c>
    </row>
    <row r="373" spans="1:33" ht="11.25" customHeight="1" x14ac:dyDescent="0.25">
      <c r="A373" s="3" t="s">
        <v>21</v>
      </c>
      <c r="B373" s="3" t="s">
        <v>39</v>
      </c>
      <c r="C373" s="3" t="s">
        <v>23</v>
      </c>
      <c r="D373" s="3" t="s">
        <v>42</v>
      </c>
      <c r="E373" s="3" t="s">
        <v>25</v>
      </c>
      <c r="F373" s="3" t="s">
        <v>25</v>
      </c>
      <c r="G373" s="3" t="s">
        <v>25</v>
      </c>
      <c r="H373" s="3" t="s">
        <v>25</v>
      </c>
      <c r="I373" s="6">
        <v>44317</v>
      </c>
      <c r="J373" s="4">
        <v>0</v>
      </c>
      <c r="K373" s="4">
        <v>0</v>
      </c>
      <c r="L373" s="4">
        <v>256.959</v>
      </c>
      <c r="M373" s="4">
        <v>256.959</v>
      </c>
      <c r="N373" s="4">
        <v>256.959</v>
      </c>
      <c r="O373" s="4">
        <v>256.959</v>
      </c>
      <c r="P373" s="4">
        <v>656</v>
      </c>
      <c r="Q373" s="3" t="s">
        <v>26</v>
      </c>
      <c r="R373" s="3">
        <v>0</v>
      </c>
      <c r="S373" s="4">
        <v>0</v>
      </c>
      <c r="T373" s="4">
        <v>39</v>
      </c>
      <c r="U373" s="4">
        <v>73</v>
      </c>
      <c r="V373" s="4">
        <f>IF(ISERROR(VLOOKUP($S$373,'TAR FIN'!$A$1:$O$85,15,0)),0,VLOOKUP($S$373,'TAR FIN'!$A$1:$O$85,15,0))</f>
        <v>0</v>
      </c>
      <c r="W373" s="4">
        <f>IF(ISERROR(VLOOKUP($T$373,'TAR FIN'!$A$1:$O$85,15,0)),0,VLOOKUP($T$373,'TAR FIN'!$A$1:$O$85,15,0))</f>
        <v>792.41</v>
      </c>
      <c r="X373" s="4">
        <f>IF(ISERROR(VLOOKUP($U$373,'TAR FIN'!$A$1:$O$85,15,0)),0,VLOOKUP($U$373,'TAR FIN'!$A$1:$O$85,15,0))</f>
        <v>231.33</v>
      </c>
      <c r="Y373" s="4"/>
      <c r="Z373" s="4">
        <f ca="1">('TUSD BE'!$AM$48+'TUSD BF'!$AM$48+'TUSD CVA'!$AM$48)*1</f>
        <v>969.52247148289666</v>
      </c>
      <c r="AA373" s="4">
        <f>('TE BE'!$AA$39+'TE BF'!$AA$39+'TE CVA'!$AA$39)*1</f>
        <v>260.80314197522284</v>
      </c>
      <c r="AB373" s="4">
        <f>$K$373*$V$373</f>
        <v>0</v>
      </c>
      <c r="AC373" s="4">
        <f>$M$373*$W$373</f>
        <v>203616.88118999999</v>
      </c>
      <c r="AD373" s="4">
        <f>$O$373*$X$373</f>
        <v>59442.325470000003</v>
      </c>
      <c r="AE373" s="4">
        <f>$K$373*$Y$373</f>
        <v>0</v>
      </c>
      <c r="AF373" s="4">
        <f ca="1">$M$373*$Z$373</f>
        <v>249127.52474977364</v>
      </c>
      <c r="AG373" s="4">
        <f>$O$373*$AA$373</f>
        <v>67015.714558811291</v>
      </c>
    </row>
    <row r="374" spans="1:33" ht="11.25" customHeight="1" x14ac:dyDescent="0.25">
      <c r="A374" s="3" t="s">
        <v>28</v>
      </c>
      <c r="B374" s="3" t="s">
        <v>39</v>
      </c>
      <c r="C374" s="3" t="s">
        <v>23</v>
      </c>
      <c r="D374" s="3" t="s">
        <v>42</v>
      </c>
      <c r="E374" s="3" t="s">
        <v>25</v>
      </c>
      <c r="F374" s="3" t="s">
        <v>25</v>
      </c>
      <c r="G374" s="3" t="s">
        <v>25</v>
      </c>
      <c r="H374" s="3" t="s">
        <v>25</v>
      </c>
      <c r="I374" s="6">
        <v>44317</v>
      </c>
      <c r="J374" s="4">
        <v>0</v>
      </c>
      <c r="K374" s="4">
        <v>0</v>
      </c>
      <c r="L374" s="4">
        <v>2.9409999999999998</v>
      </c>
      <c r="M374" s="4">
        <v>2.9409999999999998</v>
      </c>
      <c r="N374" s="4">
        <v>2.9409999999999998</v>
      </c>
      <c r="O374" s="4">
        <v>2.9409999999999998</v>
      </c>
      <c r="P374" s="4">
        <v>7</v>
      </c>
      <c r="Q374" s="3" t="s">
        <v>26</v>
      </c>
      <c r="R374" s="3">
        <v>0</v>
      </c>
      <c r="S374" s="4">
        <v>0</v>
      </c>
      <c r="T374" s="4">
        <v>39</v>
      </c>
      <c r="U374" s="4">
        <v>73</v>
      </c>
      <c r="V374" s="4">
        <f>IF(ISERROR(VLOOKUP($S$374,'TAR FIN'!$A$1:$O$85,15,0)),0,VLOOKUP($S$374,'TAR FIN'!$A$1:$O$85,15,0))</f>
        <v>0</v>
      </c>
      <c r="W374" s="4">
        <f>IF(ISERROR(VLOOKUP($T$374,'TAR FIN'!$A$1:$O$85,15,0)),0,VLOOKUP($T$374,'TAR FIN'!$A$1:$O$85,15,0))</f>
        <v>792.41</v>
      </c>
      <c r="X374" s="4">
        <f>IF(ISERROR(VLOOKUP($U$374,'TAR FIN'!$A$1:$O$85,15,0)),0,VLOOKUP($U$374,'TAR FIN'!$A$1:$O$85,15,0))</f>
        <v>231.33</v>
      </c>
      <c r="Y374" s="4"/>
      <c r="Z374" s="4">
        <f ca="1">('TUSD BE'!$AM$48+'TUSD BF'!$AM$48+'TUSD CVA'!$AM$48)*1</f>
        <v>969.52247148289666</v>
      </c>
      <c r="AA374" s="4">
        <f>('TE BE'!$AA$39+'TE BF'!$AA$39+'TE CVA'!$AA$39)*1</f>
        <v>260.80314197522284</v>
      </c>
      <c r="AB374" s="4">
        <f>$K$374*$V$374</f>
        <v>0</v>
      </c>
      <c r="AC374" s="4">
        <f>$M$374*$W$374</f>
        <v>2330.4778099999999</v>
      </c>
      <c r="AD374" s="4">
        <f>$O$374*$X$374</f>
        <v>680.34153000000003</v>
      </c>
      <c r="AE374" s="4">
        <f>$K$374*$Y$374</f>
        <v>0</v>
      </c>
      <c r="AF374" s="4">
        <f ca="1">$M$374*$Z$374</f>
        <v>2851.365588631199</v>
      </c>
      <c r="AG374" s="4">
        <f>$O$374*$AA$374</f>
        <v>767.02204054913034</v>
      </c>
    </row>
    <row r="375" spans="1:33" ht="11.25" customHeight="1" x14ac:dyDescent="0.25">
      <c r="A375" s="3" t="s">
        <v>21</v>
      </c>
      <c r="B375" s="3" t="s">
        <v>39</v>
      </c>
      <c r="C375" s="3" t="s">
        <v>23</v>
      </c>
      <c r="D375" s="3" t="s">
        <v>42</v>
      </c>
      <c r="E375" s="3" t="s">
        <v>25</v>
      </c>
      <c r="F375" s="3" t="s">
        <v>25</v>
      </c>
      <c r="G375" s="3" t="s">
        <v>25</v>
      </c>
      <c r="H375" s="3" t="s">
        <v>25</v>
      </c>
      <c r="I375" s="6">
        <v>44348</v>
      </c>
      <c r="J375" s="4">
        <v>0</v>
      </c>
      <c r="K375" s="4">
        <v>0</v>
      </c>
      <c r="L375" s="4">
        <v>262.52999999999997</v>
      </c>
      <c r="M375" s="4">
        <v>262.52999999999997</v>
      </c>
      <c r="N375" s="4">
        <v>262.52999999999997</v>
      </c>
      <c r="O375" s="4">
        <v>262.52999999999997</v>
      </c>
      <c r="P375" s="4">
        <v>660</v>
      </c>
      <c r="Q375" s="3" t="s">
        <v>26</v>
      </c>
      <c r="R375" s="3">
        <v>0</v>
      </c>
      <c r="S375" s="4">
        <v>0</v>
      </c>
      <c r="T375" s="4">
        <v>39</v>
      </c>
      <c r="U375" s="4">
        <v>73</v>
      </c>
      <c r="V375" s="4">
        <f>IF(ISERROR(VLOOKUP($S$375,'TAR FIN'!$A$1:$O$85,15,0)),0,VLOOKUP($S$375,'TAR FIN'!$A$1:$O$85,15,0))</f>
        <v>0</v>
      </c>
      <c r="W375" s="4">
        <f>IF(ISERROR(VLOOKUP($T$375,'TAR FIN'!$A$1:$O$85,15,0)),0,VLOOKUP($T$375,'TAR FIN'!$A$1:$O$85,15,0))</f>
        <v>792.41</v>
      </c>
      <c r="X375" s="4">
        <f>IF(ISERROR(VLOOKUP($U$375,'TAR FIN'!$A$1:$O$85,15,0)),0,VLOOKUP($U$375,'TAR FIN'!$A$1:$O$85,15,0))</f>
        <v>231.33</v>
      </c>
      <c r="Y375" s="4"/>
      <c r="Z375" s="4">
        <f ca="1">('TUSD BE'!$AM$48+'TUSD BF'!$AM$48+'TUSD CVA'!$AM$48)*1</f>
        <v>969.52247148289666</v>
      </c>
      <c r="AA375" s="4">
        <f>('TE BE'!$AA$39+'TE BF'!$AA$39+'TE CVA'!$AA$39)*1</f>
        <v>260.80314197522284</v>
      </c>
      <c r="AB375" s="4">
        <f>$K$375*$V$375</f>
        <v>0</v>
      </c>
      <c r="AC375" s="4">
        <f>$M$375*$W$375</f>
        <v>208031.39729999998</v>
      </c>
      <c r="AD375" s="4">
        <f>$O$375*$X$375</f>
        <v>60731.064899999998</v>
      </c>
      <c r="AE375" s="4">
        <f>$K$375*$Y$375</f>
        <v>0</v>
      </c>
      <c r="AF375" s="4">
        <f ca="1">$M$375*$Z$375</f>
        <v>254528.73443840485</v>
      </c>
      <c r="AG375" s="4">
        <f>$O$375*$AA$375</f>
        <v>68468.648862755246</v>
      </c>
    </row>
    <row r="376" spans="1:33" ht="11.25" customHeight="1" x14ac:dyDescent="0.25">
      <c r="A376" s="3" t="s">
        <v>28</v>
      </c>
      <c r="B376" s="3" t="s">
        <v>39</v>
      </c>
      <c r="C376" s="3" t="s">
        <v>23</v>
      </c>
      <c r="D376" s="3" t="s">
        <v>42</v>
      </c>
      <c r="E376" s="3" t="s">
        <v>25</v>
      </c>
      <c r="F376" s="3" t="s">
        <v>25</v>
      </c>
      <c r="G376" s="3" t="s">
        <v>25</v>
      </c>
      <c r="H376" s="3" t="s">
        <v>25</v>
      </c>
      <c r="I376" s="6">
        <v>44348</v>
      </c>
      <c r="J376" s="4">
        <v>0</v>
      </c>
      <c r="K376" s="4">
        <v>0</v>
      </c>
      <c r="L376" s="4">
        <v>3.2669999999999999</v>
      </c>
      <c r="M376" s="4">
        <v>3.2669999999999999</v>
      </c>
      <c r="N376" s="4">
        <v>3.2669999999999999</v>
      </c>
      <c r="O376" s="4">
        <v>3.2669999999999999</v>
      </c>
      <c r="P376" s="4">
        <v>7</v>
      </c>
      <c r="Q376" s="3" t="s">
        <v>26</v>
      </c>
      <c r="R376" s="3">
        <v>0</v>
      </c>
      <c r="S376" s="4">
        <v>0</v>
      </c>
      <c r="T376" s="4">
        <v>39</v>
      </c>
      <c r="U376" s="4">
        <v>73</v>
      </c>
      <c r="V376" s="4">
        <f>IF(ISERROR(VLOOKUP($S$376,'TAR FIN'!$A$1:$O$85,15,0)),0,VLOOKUP($S$376,'TAR FIN'!$A$1:$O$85,15,0))</f>
        <v>0</v>
      </c>
      <c r="W376" s="4">
        <f>IF(ISERROR(VLOOKUP($T$376,'TAR FIN'!$A$1:$O$85,15,0)),0,VLOOKUP($T$376,'TAR FIN'!$A$1:$O$85,15,0))</f>
        <v>792.41</v>
      </c>
      <c r="X376" s="4">
        <f>IF(ISERROR(VLOOKUP($U$376,'TAR FIN'!$A$1:$O$85,15,0)),0,VLOOKUP($U$376,'TAR FIN'!$A$1:$O$85,15,0))</f>
        <v>231.33</v>
      </c>
      <c r="Y376" s="4"/>
      <c r="Z376" s="4">
        <f ca="1">('TUSD BE'!$AM$48+'TUSD BF'!$AM$48+'TUSD CVA'!$AM$48)*1</f>
        <v>969.52247148289666</v>
      </c>
      <c r="AA376" s="4">
        <f>('TE BE'!$AA$39+'TE BF'!$AA$39+'TE CVA'!$AA$39)*1</f>
        <v>260.80314197522284</v>
      </c>
      <c r="AB376" s="4">
        <f>$K$376*$V$376</f>
        <v>0</v>
      </c>
      <c r="AC376" s="4">
        <f>$M$376*$W$376</f>
        <v>2588.8034699999998</v>
      </c>
      <c r="AD376" s="4">
        <f>$O$376*$X$376</f>
        <v>755.75511000000006</v>
      </c>
      <c r="AE376" s="4">
        <f>$K$376*$Y$376</f>
        <v>0</v>
      </c>
      <c r="AF376" s="4">
        <f ca="1">$M$376*$Z$376</f>
        <v>3167.4299143346234</v>
      </c>
      <c r="AG376" s="4">
        <f>$O$376*$AA$376</f>
        <v>852.04386483305302</v>
      </c>
    </row>
    <row r="377" spans="1:33" ht="11.25" customHeight="1" x14ac:dyDescent="0.25">
      <c r="A377" s="3" t="s">
        <v>21</v>
      </c>
      <c r="B377" s="3" t="s">
        <v>39</v>
      </c>
      <c r="C377" s="3" t="s">
        <v>23</v>
      </c>
      <c r="D377" s="3" t="s">
        <v>42</v>
      </c>
      <c r="E377" s="3" t="s">
        <v>25</v>
      </c>
      <c r="F377" s="3" t="s">
        <v>25</v>
      </c>
      <c r="G377" s="3" t="s">
        <v>25</v>
      </c>
      <c r="H377" s="3" t="s">
        <v>25</v>
      </c>
      <c r="I377" s="6">
        <v>44378</v>
      </c>
      <c r="J377" s="4">
        <v>0</v>
      </c>
      <c r="K377" s="4">
        <v>0</v>
      </c>
      <c r="L377" s="4">
        <v>237.82300000000001</v>
      </c>
      <c r="M377" s="4">
        <v>237.82300000000001</v>
      </c>
      <c r="N377" s="4">
        <v>237.82300000000001</v>
      </c>
      <c r="O377" s="4">
        <v>237.82300000000001</v>
      </c>
      <c r="P377" s="4">
        <v>665</v>
      </c>
      <c r="Q377" s="3" t="s">
        <v>26</v>
      </c>
      <c r="R377" s="3">
        <v>0</v>
      </c>
      <c r="S377" s="4">
        <v>0</v>
      </c>
      <c r="T377" s="4">
        <v>39</v>
      </c>
      <c r="U377" s="4">
        <v>73</v>
      </c>
      <c r="V377" s="4">
        <f>IF(ISERROR(VLOOKUP($S$377,'TAR FIN'!$A$1:$O$85,15,0)),0,VLOOKUP($S$377,'TAR FIN'!$A$1:$O$85,15,0))</f>
        <v>0</v>
      </c>
      <c r="W377" s="4">
        <f>IF(ISERROR(VLOOKUP($T$377,'TAR FIN'!$A$1:$O$85,15,0)),0,VLOOKUP($T$377,'TAR FIN'!$A$1:$O$85,15,0))</f>
        <v>792.41</v>
      </c>
      <c r="X377" s="4">
        <f>IF(ISERROR(VLOOKUP($U$377,'TAR FIN'!$A$1:$O$85,15,0)),0,VLOOKUP($U$377,'TAR FIN'!$A$1:$O$85,15,0))</f>
        <v>231.33</v>
      </c>
      <c r="Y377" s="4"/>
      <c r="Z377" s="4">
        <f ca="1">('TUSD BE'!$AM$48+'TUSD BF'!$AM$48+'TUSD CVA'!$AM$48)*1</f>
        <v>969.52247148289666</v>
      </c>
      <c r="AA377" s="4">
        <f>('TE BE'!$AA$39+'TE BF'!$AA$39+'TE CVA'!$AA$39)*1</f>
        <v>260.80314197522284</v>
      </c>
      <c r="AB377" s="4">
        <f>$K$377*$V$377</f>
        <v>0</v>
      </c>
      <c r="AC377" s="4">
        <f>$M$377*$W$377</f>
        <v>188453.32342999999</v>
      </c>
      <c r="AD377" s="4">
        <f>$O$377*$X$377</f>
        <v>55015.594590000008</v>
      </c>
      <c r="AE377" s="4">
        <f>$K$377*$Y$377</f>
        <v>0</v>
      </c>
      <c r="AF377" s="4">
        <f ca="1">$M$377*$Z$377</f>
        <v>230574.74273547693</v>
      </c>
      <c r="AG377" s="4">
        <f>$O$377*$AA$377</f>
        <v>62024.985633973425</v>
      </c>
    </row>
    <row r="378" spans="1:33" ht="11.25" customHeight="1" x14ac:dyDescent="0.25">
      <c r="A378" s="3" t="s">
        <v>27</v>
      </c>
      <c r="B378" s="3" t="s">
        <v>39</v>
      </c>
      <c r="C378" s="3" t="s">
        <v>23</v>
      </c>
      <c r="D378" s="3" t="s">
        <v>42</v>
      </c>
      <c r="E378" s="3" t="s">
        <v>25</v>
      </c>
      <c r="F378" s="3" t="s">
        <v>25</v>
      </c>
      <c r="G378" s="3" t="s">
        <v>25</v>
      </c>
      <c r="H378" s="3" t="s">
        <v>25</v>
      </c>
      <c r="I378" s="6">
        <v>44378</v>
      </c>
      <c r="J378" s="4">
        <v>0</v>
      </c>
      <c r="K378" s="4">
        <v>0</v>
      </c>
      <c r="L378" s="4">
        <v>0.36</v>
      </c>
      <c r="M378" s="4">
        <v>0.36</v>
      </c>
      <c r="N378" s="4">
        <v>0.36</v>
      </c>
      <c r="O378" s="4">
        <v>0.36</v>
      </c>
      <c r="P378" s="4">
        <v>0</v>
      </c>
      <c r="Q378" s="3" t="s">
        <v>26</v>
      </c>
      <c r="R378" s="3">
        <v>0</v>
      </c>
      <c r="S378" s="4">
        <v>0</v>
      </c>
      <c r="T378" s="4">
        <v>39</v>
      </c>
      <c r="U378" s="4">
        <v>73</v>
      </c>
      <c r="V378" s="4">
        <f>IF(ISERROR(VLOOKUP($S$378,'TAR FIN'!$A$1:$O$85,15,0)),0,VLOOKUP($S$378,'TAR FIN'!$A$1:$O$85,15,0))</f>
        <v>0</v>
      </c>
      <c r="W378" s="4">
        <f>IF(ISERROR(VLOOKUP($T$378,'TAR FIN'!$A$1:$O$85,15,0)),0,VLOOKUP($T$378,'TAR FIN'!$A$1:$O$85,15,0))</f>
        <v>792.41</v>
      </c>
      <c r="X378" s="4">
        <f>IF(ISERROR(VLOOKUP($U$378,'TAR FIN'!$A$1:$O$85,15,0)),0,VLOOKUP($U$378,'TAR FIN'!$A$1:$O$85,15,0))</f>
        <v>231.33</v>
      </c>
      <c r="Y378" s="4"/>
      <c r="Z378" s="4">
        <f ca="1">('TUSD BE'!$AM$48+'TUSD BF'!$AM$48+'TUSD CVA'!$AM$48)*1</f>
        <v>969.52247148289666</v>
      </c>
      <c r="AA378" s="4">
        <f>('TE BE'!$AA$39+'TE BF'!$AA$39+'TE CVA'!$AA$39)*1</f>
        <v>260.80314197522284</v>
      </c>
      <c r="AB378" s="4">
        <f>$K$378*$V$378</f>
        <v>0</v>
      </c>
      <c r="AC378" s="4">
        <f>$M$378*$W$378</f>
        <v>285.26759999999996</v>
      </c>
      <c r="AD378" s="4">
        <f>$O$378*$X$378</f>
        <v>83.278800000000004</v>
      </c>
      <c r="AE378" s="4">
        <f>$K$378*$Y$378</f>
        <v>0</v>
      </c>
      <c r="AF378" s="4">
        <f ca="1">$M$378*$Z$378</f>
        <v>349.02808973384276</v>
      </c>
      <c r="AG378" s="4">
        <f>$O$378*$AA$378</f>
        <v>93.889131111080218</v>
      </c>
    </row>
    <row r="379" spans="1:33" ht="11.25" customHeight="1" x14ac:dyDescent="0.25">
      <c r="A379" s="3" t="s">
        <v>28</v>
      </c>
      <c r="B379" s="3" t="s">
        <v>39</v>
      </c>
      <c r="C379" s="3" t="s">
        <v>23</v>
      </c>
      <c r="D379" s="3" t="s">
        <v>42</v>
      </c>
      <c r="E379" s="3" t="s">
        <v>25</v>
      </c>
      <c r="F379" s="3" t="s">
        <v>25</v>
      </c>
      <c r="G379" s="3" t="s">
        <v>25</v>
      </c>
      <c r="H379" s="3" t="s">
        <v>25</v>
      </c>
      <c r="I379" s="6">
        <v>44378</v>
      </c>
      <c r="J379" s="4">
        <v>0</v>
      </c>
      <c r="K379" s="4">
        <v>0</v>
      </c>
      <c r="L379" s="4">
        <v>3.0489999999999999</v>
      </c>
      <c r="M379" s="4">
        <v>3.0489999999999999</v>
      </c>
      <c r="N379" s="4">
        <v>3.0489999999999999</v>
      </c>
      <c r="O379" s="4">
        <v>3.0489999999999999</v>
      </c>
      <c r="P379" s="4">
        <v>7</v>
      </c>
      <c r="Q379" s="3" t="s">
        <v>26</v>
      </c>
      <c r="R379" s="3">
        <v>0</v>
      </c>
      <c r="S379" s="4">
        <v>0</v>
      </c>
      <c r="T379" s="4">
        <v>39</v>
      </c>
      <c r="U379" s="4">
        <v>73</v>
      </c>
      <c r="V379" s="4">
        <f>IF(ISERROR(VLOOKUP($S$379,'TAR FIN'!$A$1:$O$85,15,0)),0,VLOOKUP($S$379,'TAR FIN'!$A$1:$O$85,15,0))</f>
        <v>0</v>
      </c>
      <c r="W379" s="4">
        <f>IF(ISERROR(VLOOKUP($T$379,'TAR FIN'!$A$1:$O$85,15,0)),0,VLOOKUP($T$379,'TAR FIN'!$A$1:$O$85,15,0))</f>
        <v>792.41</v>
      </c>
      <c r="X379" s="4">
        <f>IF(ISERROR(VLOOKUP($U$379,'TAR FIN'!$A$1:$O$85,15,0)),0,VLOOKUP($U$379,'TAR FIN'!$A$1:$O$85,15,0))</f>
        <v>231.33</v>
      </c>
      <c r="Y379" s="4"/>
      <c r="Z379" s="4">
        <f ca="1">('TUSD BE'!$AM$48+'TUSD BF'!$AM$48+'TUSD CVA'!$AM$48)*1</f>
        <v>969.52247148289666</v>
      </c>
      <c r="AA379" s="4">
        <f>('TE BE'!$AA$39+'TE BF'!$AA$39+'TE CVA'!$AA$39)*1</f>
        <v>260.80314197522284</v>
      </c>
      <c r="AB379" s="4">
        <f>$K$379*$V$379</f>
        <v>0</v>
      </c>
      <c r="AC379" s="4">
        <f>$M$379*$W$379</f>
        <v>2416.05809</v>
      </c>
      <c r="AD379" s="4">
        <f>$O$379*$X$379</f>
        <v>705.32517000000007</v>
      </c>
      <c r="AE379" s="4">
        <f>$K$379*$Y$379</f>
        <v>0</v>
      </c>
      <c r="AF379" s="4">
        <f ca="1">$M$379*$Z$379</f>
        <v>2956.0740155513517</v>
      </c>
      <c r="AG379" s="4">
        <f>$O$379*$AA$379</f>
        <v>795.18877988245447</v>
      </c>
    </row>
    <row r="380" spans="1:33" ht="11.25" customHeight="1" x14ac:dyDescent="0.25">
      <c r="A380" s="3" t="s">
        <v>21</v>
      </c>
      <c r="B380" s="3" t="s">
        <v>39</v>
      </c>
      <c r="C380" s="3" t="s">
        <v>23</v>
      </c>
      <c r="D380" s="3" t="s">
        <v>42</v>
      </c>
      <c r="E380" s="3" t="s">
        <v>25</v>
      </c>
      <c r="F380" s="3" t="s">
        <v>25</v>
      </c>
      <c r="G380" s="3" t="s">
        <v>25</v>
      </c>
      <c r="H380" s="3" t="s">
        <v>25</v>
      </c>
      <c r="I380" s="6">
        <v>44409</v>
      </c>
      <c r="J380" s="4">
        <v>0</v>
      </c>
      <c r="K380" s="4">
        <v>0</v>
      </c>
      <c r="L380" s="4">
        <v>254.83600000000001</v>
      </c>
      <c r="M380" s="4">
        <v>254.83600000000001</v>
      </c>
      <c r="N380" s="4">
        <v>254.83600000000001</v>
      </c>
      <c r="O380" s="4">
        <v>254.83600000000001</v>
      </c>
      <c r="P380" s="4">
        <v>664</v>
      </c>
      <c r="Q380" s="3" t="s">
        <v>26</v>
      </c>
      <c r="R380" s="3">
        <v>0</v>
      </c>
      <c r="S380" s="4">
        <v>0</v>
      </c>
      <c r="T380" s="4">
        <v>39</v>
      </c>
      <c r="U380" s="4">
        <v>73</v>
      </c>
      <c r="V380" s="4">
        <f>IF(ISERROR(VLOOKUP($S$380,'TAR FIN'!$A$1:$O$85,15,0)),0,VLOOKUP($S$380,'TAR FIN'!$A$1:$O$85,15,0))</f>
        <v>0</v>
      </c>
      <c r="W380" s="4">
        <f>IF(ISERROR(VLOOKUP($T$380,'TAR FIN'!$A$1:$O$85,15,0)),0,VLOOKUP($T$380,'TAR FIN'!$A$1:$O$85,15,0))</f>
        <v>792.41</v>
      </c>
      <c r="X380" s="4">
        <f>IF(ISERROR(VLOOKUP($U$380,'TAR FIN'!$A$1:$O$85,15,0)),0,VLOOKUP($U$380,'TAR FIN'!$A$1:$O$85,15,0))</f>
        <v>231.33</v>
      </c>
      <c r="Y380" s="4"/>
      <c r="Z380" s="4">
        <f ca="1">('TUSD BE'!$AM$48+'TUSD BF'!$AM$48+'TUSD CVA'!$AM$48)*1</f>
        <v>969.52247148289666</v>
      </c>
      <c r="AA380" s="4">
        <f>('TE BE'!$AA$39+'TE BF'!$AA$39+'TE CVA'!$AA$39)*1</f>
        <v>260.80314197522284</v>
      </c>
      <c r="AB380" s="4">
        <f>$K$380*$V$380</f>
        <v>0</v>
      </c>
      <c r="AC380" s="4">
        <f>$M$380*$W$380</f>
        <v>201934.59476000001</v>
      </c>
      <c r="AD380" s="4">
        <f>$O$380*$X$380</f>
        <v>58951.211880000003</v>
      </c>
      <c r="AE380" s="4">
        <f>$K$380*$Y$380</f>
        <v>0</v>
      </c>
      <c r="AF380" s="4">
        <f ca="1">$M$380*$Z$380</f>
        <v>247069.22854281546</v>
      </c>
      <c r="AG380" s="4">
        <f>$O$380*$AA$380</f>
        <v>66462.029488397893</v>
      </c>
    </row>
    <row r="381" spans="1:33" ht="11.25" customHeight="1" x14ac:dyDescent="0.25">
      <c r="A381" s="3" t="s">
        <v>28</v>
      </c>
      <c r="B381" s="3" t="s">
        <v>39</v>
      </c>
      <c r="C381" s="3" t="s">
        <v>23</v>
      </c>
      <c r="D381" s="3" t="s">
        <v>42</v>
      </c>
      <c r="E381" s="3" t="s">
        <v>25</v>
      </c>
      <c r="F381" s="3" t="s">
        <v>25</v>
      </c>
      <c r="G381" s="3" t="s">
        <v>25</v>
      </c>
      <c r="H381" s="3" t="s">
        <v>25</v>
      </c>
      <c r="I381" s="6">
        <v>44409</v>
      </c>
      <c r="J381" s="4">
        <v>0</v>
      </c>
      <c r="K381" s="4">
        <v>0</v>
      </c>
      <c r="L381" s="4">
        <v>2.7719999999999998</v>
      </c>
      <c r="M381" s="4">
        <v>2.7719999999999998</v>
      </c>
      <c r="N381" s="4">
        <v>2.7719999999999998</v>
      </c>
      <c r="O381" s="4">
        <v>2.7719999999999998</v>
      </c>
      <c r="P381" s="4">
        <v>7</v>
      </c>
      <c r="Q381" s="3" t="s">
        <v>26</v>
      </c>
      <c r="R381" s="3">
        <v>0</v>
      </c>
      <c r="S381" s="4">
        <v>0</v>
      </c>
      <c r="T381" s="4">
        <v>39</v>
      </c>
      <c r="U381" s="4">
        <v>73</v>
      </c>
      <c r="V381" s="4">
        <f>IF(ISERROR(VLOOKUP($S$381,'TAR FIN'!$A$1:$O$85,15,0)),0,VLOOKUP($S$381,'TAR FIN'!$A$1:$O$85,15,0))</f>
        <v>0</v>
      </c>
      <c r="W381" s="4">
        <f>IF(ISERROR(VLOOKUP($T$381,'TAR FIN'!$A$1:$O$85,15,0)),0,VLOOKUP($T$381,'TAR FIN'!$A$1:$O$85,15,0))</f>
        <v>792.41</v>
      </c>
      <c r="X381" s="4">
        <f>IF(ISERROR(VLOOKUP($U$381,'TAR FIN'!$A$1:$O$85,15,0)),0,VLOOKUP($U$381,'TAR FIN'!$A$1:$O$85,15,0))</f>
        <v>231.33</v>
      </c>
      <c r="Y381" s="4"/>
      <c r="Z381" s="4">
        <f ca="1">('TUSD BE'!$AM$48+'TUSD BF'!$AM$48+'TUSD CVA'!$AM$48)*1</f>
        <v>969.52247148289666</v>
      </c>
      <c r="AA381" s="4">
        <f>('TE BE'!$AA$39+'TE BF'!$AA$39+'TE CVA'!$AA$39)*1</f>
        <v>260.80314197522284</v>
      </c>
      <c r="AB381" s="4">
        <f>$K$381*$V$381</f>
        <v>0</v>
      </c>
      <c r="AC381" s="4">
        <f>$M$381*$W$381</f>
        <v>2196.5605199999995</v>
      </c>
      <c r="AD381" s="4">
        <f>$O$381*$X$381</f>
        <v>641.24675999999999</v>
      </c>
      <c r="AE381" s="4">
        <f>$K$381*$Y$381</f>
        <v>0</v>
      </c>
      <c r="AF381" s="4">
        <f ca="1">$M$381*$Z$381</f>
        <v>2687.5162909505893</v>
      </c>
      <c r="AG381" s="4">
        <f>$O$381*$AA$381</f>
        <v>722.94630955531761</v>
      </c>
    </row>
    <row r="382" spans="1:33" ht="11.25" customHeight="1" x14ac:dyDescent="0.25">
      <c r="A382" s="3" t="s">
        <v>21</v>
      </c>
      <c r="B382" s="3" t="s">
        <v>39</v>
      </c>
      <c r="C382" s="3" t="s">
        <v>23</v>
      </c>
      <c r="D382" s="3" t="s">
        <v>42</v>
      </c>
      <c r="E382" s="3" t="s">
        <v>25</v>
      </c>
      <c r="F382" s="3" t="s">
        <v>25</v>
      </c>
      <c r="G382" s="3" t="s">
        <v>25</v>
      </c>
      <c r="H382" s="3" t="s">
        <v>25</v>
      </c>
      <c r="I382" s="6">
        <v>44440</v>
      </c>
      <c r="J382" s="4">
        <v>0</v>
      </c>
      <c r="K382" s="4">
        <v>0</v>
      </c>
      <c r="L382" s="4">
        <v>280.89600000000002</v>
      </c>
      <c r="M382" s="4">
        <v>280.89600000000002</v>
      </c>
      <c r="N382" s="4">
        <v>280.89600000000002</v>
      </c>
      <c r="O382" s="4">
        <v>280.89600000000002</v>
      </c>
      <c r="P382" s="4">
        <v>662</v>
      </c>
      <c r="Q382" s="3" t="s">
        <v>26</v>
      </c>
      <c r="R382" s="3">
        <v>0</v>
      </c>
      <c r="S382" s="4">
        <v>0</v>
      </c>
      <c r="T382" s="4">
        <v>39</v>
      </c>
      <c r="U382" s="4">
        <v>73</v>
      </c>
      <c r="V382" s="4">
        <f>IF(ISERROR(VLOOKUP($S$382,'TAR FIN'!$A$1:$O$85,15,0)),0,VLOOKUP($S$382,'TAR FIN'!$A$1:$O$85,15,0))</f>
        <v>0</v>
      </c>
      <c r="W382" s="4">
        <f>IF(ISERROR(VLOOKUP($T$382,'TAR FIN'!$A$1:$O$85,15,0)),0,VLOOKUP($T$382,'TAR FIN'!$A$1:$O$85,15,0))</f>
        <v>792.41</v>
      </c>
      <c r="X382" s="4">
        <f>IF(ISERROR(VLOOKUP($U$382,'TAR FIN'!$A$1:$O$85,15,0)),0,VLOOKUP($U$382,'TAR FIN'!$A$1:$O$85,15,0))</f>
        <v>231.33</v>
      </c>
      <c r="Y382" s="4"/>
      <c r="Z382" s="4">
        <f ca="1">('TUSD BE'!$AM$48+'TUSD BF'!$AM$48+'TUSD CVA'!$AM$48)*1</f>
        <v>969.52247148289666</v>
      </c>
      <c r="AA382" s="4">
        <f>('TE BE'!$AA$39+'TE BF'!$AA$39+'TE CVA'!$AA$39)*1</f>
        <v>260.80314197522284</v>
      </c>
      <c r="AB382" s="4">
        <f>$K$382*$V$382</f>
        <v>0</v>
      </c>
      <c r="AC382" s="4">
        <f>$M$382*$W$382</f>
        <v>222584.79936</v>
      </c>
      <c r="AD382" s="4">
        <f>$O$382*$X$382</f>
        <v>64979.671680000007</v>
      </c>
      <c r="AE382" s="4">
        <f>$K$382*$Y$382</f>
        <v>0</v>
      </c>
      <c r="AF382" s="4">
        <f ca="1">$M$382*$Z$382</f>
        <v>272334.98414965975</v>
      </c>
      <c r="AG382" s="4">
        <f>$O$382*$AA$382</f>
        <v>73258.559368272196</v>
      </c>
    </row>
    <row r="383" spans="1:33" ht="11.25" customHeight="1" x14ac:dyDescent="0.25">
      <c r="A383" s="3" t="s">
        <v>28</v>
      </c>
      <c r="B383" s="3" t="s">
        <v>39</v>
      </c>
      <c r="C383" s="3" t="s">
        <v>23</v>
      </c>
      <c r="D383" s="3" t="s">
        <v>42</v>
      </c>
      <c r="E383" s="3" t="s">
        <v>25</v>
      </c>
      <c r="F383" s="3" t="s">
        <v>25</v>
      </c>
      <c r="G383" s="3" t="s">
        <v>25</v>
      </c>
      <c r="H383" s="3" t="s">
        <v>25</v>
      </c>
      <c r="I383" s="6">
        <v>44440</v>
      </c>
      <c r="J383" s="4">
        <v>0</v>
      </c>
      <c r="K383" s="4">
        <v>0</v>
      </c>
      <c r="L383" s="4">
        <v>4.492</v>
      </c>
      <c r="M383" s="4">
        <v>4.492</v>
      </c>
      <c r="N383" s="4">
        <v>4.492</v>
      </c>
      <c r="O383" s="4">
        <v>4.492</v>
      </c>
      <c r="P383" s="4">
        <v>8</v>
      </c>
      <c r="Q383" s="3" t="s">
        <v>26</v>
      </c>
      <c r="R383" s="3">
        <v>0</v>
      </c>
      <c r="S383" s="4">
        <v>0</v>
      </c>
      <c r="T383" s="4">
        <v>39</v>
      </c>
      <c r="U383" s="4">
        <v>73</v>
      </c>
      <c r="V383" s="4">
        <f>IF(ISERROR(VLOOKUP($S$383,'TAR FIN'!$A$1:$O$85,15,0)),0,VLOOKUP($S$383,'TAR FIN'!$A$1:$O$85,15,0))</f>
        <v>0</v>
      </c>
      <c r="W383" s="4">
        <f>IF(ISERROR(VLOOKUP($T$383,'TAR FIN'!$A$1:$O$85,15,0)),0,VLOOKUP($T$383,'TAR FIN'!$A$1:$O$85,15,0))</f>
        <v>792.41</v>
      </c>
      <c r="X383" s="4">
        <f>IF(ISERROR(VLOOKUP($U$383,'TAR FIN'!$A$1:$O$85,15,0)),0,VLOOKUP($U$383,'TAR FIN'!$A$1:$O$85,15,0))</f>
        <v>231.33</v>
      </c>
      <c r="Y383" s="4"/>
      <c r="Z383" s="4">
        <f ca="1">('TUSD BE'!$AM$48+'TUSD BF'!$AM$48+'TUSD CVA'!$AM$48)*1</f>
        <v>969.52247148289666</v>
      </c>
      <c r="AA383" s="4">
        <f>('TE BE'!$AA$39+'TE BF'!$AA$39+'TE CVA'!$AA$39)*1</f>
        <v>260.80314197522284</v>
      </c>
      <c r="AB383" s="4">
        <f>$K$383*$V$383</f>
        <v>0</v>
      </c>
      <c r="AC383" s="4">
        <f>$M$383*$W$383</f>
        <v>3559.5057199999997</v>
      </c>
      <c r="AD383" s="4">
        <f>$O$383*$X$383</f>
        <v>1039.13436</v>
      </c>
      <c r="AE383" s="4">
        <f>$K$383*$Y$383</f>
        <v>0</v>
      </c>
      <c r="AF383" s="4">
        <f ca="1">$M$383*$Z$383</f>
        <v>4355.0949419011722</v>
      </c>
      <c r="AG383" s="4">
        <f>$O$383*$AA$383</f>
        <v>1171.5277137527009</v>
      </c>
    </row>
    <row r="384" spans="1:33" ht="11.25" customHeight="1" x14ac:dyDescent="0.25">
      <c r="A384" s="3" t="s">
        <v>21</v>
      </c>
      <c r="B384" s="3" t="s">
        <v>39</v>
      </c>
      <c r="C384" s="3" t="s">
        <v>23</v>
      </c>
      <c r="D384" s="3" t="s">
        <v>42</v>
      </c>
      <c r="E384" s="3" t="s">
        <v>25</v>
      </c>
      <c r="F384" s="3" t="s">
        <v>25</v>
      </c>
      <c r="G384" s="3" t="s">
        <v>25</v>
      </c>
      <c r="H384" s="3" t="s">
        <v>25</v>
      </c>
      <c r="I384" s="6">
        <v>44470</v>
      </c>
      <c r="J384" s="4">
        <v>0</v>
      </c>
      <c r="K384" s="4">
        <v>0</v>
      </c>
      <c r="L384" s="4">
        <v>272.7</v>
      </c>
      <c r="M384" s="4">
        <v>272.7</v>
      </c>
      <c r="N384" s="4">
        <v>272.7</v>
      </c>
      <c r="O384" s="4">
        <v>272.7</v>
      </c>
      <c r="P384" s="4">
        <v>663</v>
      </c>
      <c r="Q384" s="3" t="s">
        <v>26</v>
      </c>
      <c r="R384" s="3">
        <v>0</v>
      </c>
      <c r="S384" s="4">
        <v>0</v>
      </c>
      <c r="T384" s="4">
        <v>39</v>
      </c>
      <c r="U384" s="4">
        <v>73</v>
      </c>
      <c r="V384" s="4">
        <f>IF(ISERROR(VLOOKUP($S$384,'TAR FIN'!$A$1:$O$85,15,0)),0,VLOOKUP($S$384,'TAR FIN'!$A$1:$O$85,15,0))</f>
        <v>0</v>
      </c>
      <c r="W384" s="4">
        <f>IF(ISERROR(VLOOKUP($T$384,'TAR FIN'!$A$1:$O$85,15,0)),0,VLOOKUP($T$384,'TAR FIN'!$A$1:$O$85,15,0))</f>
        <v>792.41</v>
      </c>
      <c r="X384" s="4">
        <f>IF(ISERROR(VLOOKUP($U$384,'TAR FIN'!$A$1:$O$85,15,0)),0,VLOOKUP($U$384,'TAR FIN'!$A$1:$O$85,15,0))</f>
        <v>231.33</v>
      </c>
      <c r="Y384" s="4"/>
      <c r="Z384" s="4">
        <f ca="1">('TUSD BE'!$AM$48+'TUSD BF'!$AM$48+'TUSD CVA'!$AM$48)*1</f>
        <v>969.52247148289666</v>
      </c>
      <c r="AA384" s="4">
        <f>('TE BE'!$AA$39+'TE BF'!$AA$39+'TE CVA'!$AA$39)*1</f>
        <v>260.80314197522284</v>
      </c>
      <c r="AB384" s="4">
        <f>$K$384*$V$384</f>
        <v>0</v>
      </c>
      <c r="AC384" s="4">
        <f>$M$384*$W$384</f>
        <v>216090.20699999999</v>
      </c>
      <c r="AD384" s="4">
        <f>$O$384*$X$384</f>
        <v>63083.690999999999</v>
      </c>
      <c r="AE384" s="4">
        <f>$K$384*$Y$384</f>
        <v>0</v>
      </c>
      <c r="AF384" s="4">
        <f ca="1">$M$384*$Z$384</f>
        <v>264388.77797338594</v>
      </c>
      <c r="AG384" s="4">
        <f>$O$384*$AA$384</f>
        <v>71121.01681664327</v>
      </c>
    </row>
    <row r="385" spans="1:33" ht="11.25" customHeight="1" x14ac:dyDescent="0.25">
      <c r="A385" s="3" t="s">
        <v>27</v>
      </c>
      <c r="B385" s="3" t="s">
        <v>39</v>
      </c>
      <c r="C385" s="3" t="s">
        <v>23</v>
      </c>
      <c r="D385" s="3" t="s">
        <v>42</v>
      </c>
      <c r="E385" s="3" t="s">
        <v>25</v>
      </c>
      <c r="F385" s="3" t="s">
        <v>25</v>
      </c>
      <c r="G385" s="3" t="s">
        <v>25</v>
      </c>
      <c r="H385" s="3" t="s">
        <v>25</v>
      </c>
      <c r="I385" s="6">
        <v>44470</v>
      </c>
      <c r="J385" s="4">
        <v>0</v>
      </c>
      <c r="K385" s="4">
        <v>0</v>
      </c>
      <c r="L385" s="4">
        <v>-0.56799999999999995</v>
      </c>
      <c r="M385" s="4">
        <v>-0.56799999999999995</v>
      </c>
      <c r="N385" s="4">
        <v>-0.56799999999999995</v>
      </c>
      <c r="O385" s="4">
        <v>-0.56799999999999995</v>
      </c>
      <c r="P385" s="4">
        <v>0</v>
      </c>
      <c r="Q385" s="3" t="s">
        <v>26</v>
      </c>
      <c r="R385" s="3">
        <v>0</v>
      </c>
      <c r="S385" s="4">
        <v>0</v>
      </c>
      <c r="T385" s="4">
        <v>39</v>
      </c>
      <c r="U385" s="4">
        <v>73</v>
      </c>
      <c r="V385" s="4">
        <f>IF(ISERROR(VLOOKUP($S$385,'TAR FIN'!$A$1:$O$85,15,0)),0,VLOOKUP($S$385,'TAR FIN'!$A$1:$O$85,15,0))</f>
        <v>0</v>
      </c>
      <c r="W385" s="4">
        <f>IF(ISERROR(VLOOKUP($T$385,'TAR FIN'!$A$1:$O$85,15,0)),0,VLOOKUP($T$385,'TAR FIN'!$A$1:$O$85,15,0))</f>
        <v>792.41</v>
      </c>
      <c r="X385" s="4">
        <f>IF(ISERROR(VLOOKUP($U$385,'TAR FIN'!$A$1:$O$85,15,0)),0,VLOOKUP($U$385,'TAR FIN'!$A$1:$O$85,15,0))</f>
        <v>231.33</v>
      </c>
      <c r="Y385" s="4"/>
      <c r="Z385" s="4">
        <f ca="1">('TUSD BE'!$AM$48+'TUSD BF'!$AM$48+'TUSD CVA'!$AM$48)*1</f>
        <v>969.52247148289666</v>
      </c>
      <c r="AA385" s="4">
        <f>('TE BE'!$AA$39+'TE BF'!$AA$39+'TE CVA'!$AA$39)*1</f>
        <v>260.80314197522284</v>
      </c>
      <c r="AB385" s="4">
        <f>$K$385*$V$385</f>
        <v>0</v>
      </c>
      <c r="AC385" s="4">
        <f>$M$385*$W$385</f>
        <v>-450.08887999999996</v>
      </c>
      <c r="AD385" s="4">
        <f>$O$385*$X$385</f>
        <v>-131.39544000000001</v>
      </c>
      <c r="AE385" s="4">
        <f>$K$385*$Y$385</f>
        <v>0</v>
      </c>
      <c r="AF385" s="4">
        <f ca="1">$M$385*$Z$385</f>
        <v>-550.68876380228528</v>
      </c>
      <c r="AG385" s="4">
        <f>$O$385*$AA$385</f>
        <v>-148.13618464192655</v>
      </c>
    </row>
    <row r="386" spans="1:33" ht="11.25" customHeight="1" x14ac:dyDescent="0.25">
      <c r="A386" s="3" t="s">
        <v>28</v>
      </c>
      <c r="B386" s="3" t="s">
        <v>39</v>
      </c>
      <c r="C386" s="3" t="s">
        <v>23</v>
      </c>
      <c r="D386" s="3" t="s">
        <v>42</v>
      </c>
      <c r="E386" s="3" t="s">
        <v>25</v>
      </c>
      <c r="F386" s="3" t="s">
        <v>25</v>
      </c>
      <c r="G386" s="3" t="s">
        <v>25</v>
      </c>
      <c r="H386" s="3" t="s">
        <v>25</v>
      </c>
      <c r="I386" s="6">
        <v>44470</v>
      </c>
      <c r="J386" s="4">
        <v>0</v>
      </c>
      <c r="K386" s="4">
        <v>0</v>
      </c>
      <c r="L386" s="4">
        <v>4.4340000000000002</v>
      </c>
      <c r="M386" s="4">
        <v>4.4340000000000002</v>
      </c>
      <c r="N386" s="4">
        <v>4.4340000000000002</v>
      </c>
      <c r="O386" s="4">
        <v>4.4340000000000002</v>
      </c>
      <c r="P386" s="4">
        <v>8</v>
      </c>
      <c r="Q386" s="3" t="s">
        <v>26</v>
      </c>
      <c r="R386" s="3">
        <v>0</v>
      </c>
      <c r="S386" s="4">
        <v>0</v>
      </c>
      <c r="T386" s="4">
        <v>39</v>
      </c>
      <c r="U386" s="4">
        <v>73</v>
      </c>
      <c r="V386" s="4">
        <f>IF(ISERROR(VLOOKUP($S$386,'TAR FIN'!$A$1:$O$85,15,0)),0,VLOOKUP($S$386,'TAR FIN'!$A$1:$O$85,15,0))</f>
        <v>0</v>
      </c>
      <c r="W386" s="4">
        <f>IF(ISERROR(VLOOKUP($T$386,'TAR FIN'!$A$1:$O$85,15,0)),0,VLOOKUP($T$386,'TAR FIN'!$A$1:$O$85,15,0))</f>
        <v>792.41</v>
      </c>
      <c r="X386" s="4">
        <f>IF(ISERROR(VLOOKUP($U$386,'TAR FIN'!$A$1:$O$85,15,0)),0,VLOOKUP($U$386,'TAR FIN'!$A$1:$O$85,15,0))</f>
        <v>231.33</v>
      </c>
      <c r="Y386" s="4"/>
      <c r="Z386" s="4">
        <f ca="1">('TUSD BE'!$AM$48+'TUSD BF'!$AM$48+'TUSD CVA'!$AM$48)*1</f>
        <v>969.52247148289666</v>
      </c>
      <c r="AA386" s="4">
        <f>('TE BE'!$AA$39+'TE BF'!$AA$39+'TE CVA'!$AA$39)*1</f>
        <v>260.80314197522284</v>
      </c>
      <c r="AB386" s="4">
        <f>$K$386*$V$386</f>
        <v>0</v>
      </c>
      <c r="AC386" s="4">
        <f>$M$386*$W$386</f>
        <v>3513.54594</v>
      </c>
      <c r="AD386" s="4">
        <f>$O$386*$X$386</f>
        <v>1025.71722</v>
      </c>
      <c r="AE386" s="4">
        <f>$K$386*$Y$386</f>
        <v>0</v>
      </c>
      <c r="AF386" s="4">
        <f ca="1">$M$386*$Z$386</f>
        <v>4298.8626385551643</v>
      </c>
      <c r="AG386" s="4">
        <f>$O$386*$AA$386</f>
        <v>1156.4011315181381</v>
      </c>
    </row>
    <row r="387" spans="1:33" ht="11.25" customHeight="1" x14ac:dyDescent="0.25">
      <c r="A387" s="3" t="s">
        <v>21</v>
      </c>
      <c r="B387" s="3" t="s">
        <v>39</v>
      </c>
      <c r="C387" s="3" t="s">
        <v>23</v>
      </c>
      <c r="D387" s="3" t="s">
        <v>42</v>
      </c>
      <c r="E387" s="3" t="s">
        <v>25</v>
      </c>
      <c r="F387" s="3" t="s">
        <v>25</v>
      </c>
      <c r="G387" s="3" t="s">
        <v>25</v>
      </c>
      <c r="H387" s="3" t="s">
        <v>25</v>
      </c>
      <c r="I387" s="6">
        <v>44501</v>
      </c>
      <c r="J387" s="4">
        <v>0</v>
      </c>
      <c r="K387" s="4">
        <v>0</v>
      </c>
      <c r="L387" s="4">
        <v>272.077</v>
      </c>
      <c r="M387" s="4">
        <v>272.077</v>
      </c>
      <c r="N387" s="4">
        <v>272.077</v>
      </c>
      <c r="O387" s="4">
        <v>272.077</v>
      </c>
      <c r="P387" s="4">
        <v>661</v>
      </c>
      <c r="Q387" s="3" t="s">
        <v>26</v>
      </c>
      <c r="R387" s="3">
        <v>0</v>
      </c>
      <c r="S387" s="4">
        <v>0</v>
      </c>
      <c r="T387" s="4">
        <v>39</v>
      </c>
      <c r="U387" s="4">
        <v>73</v>
      </c>
      <c r="V387" s="4">
        <f>IF(ISERROR(VLOOKUP($S$387,'TAR FIN'!$A$1:$O$85,15,0)),0,VLOOKUP($S$387,'TAR FIN'!$A$1:$O$85,15,0))</f>
        <v>0</v>
      </c>
      <c r="W387" s="4">
        <f>IF(ISERROR(VLOOKUP($T$387,'TAR FIN'!$A$1:$O$85,15,0)),0,VLOOKUP($T$387,'TAR FIN'!$A$1:$O$85,15,0))</f>
        <v>792.41</v>
      </c>
      <c r="X387" s="4">
        <f>IF(ISERROR(VLOOKUP($U$387,'TAR FIN'!$A$1:$O$85,15,0)),0,VLOOKUP($U$387,'TAR FIN'!$A$1:$O$85,15,0))</f>
        <v>231.33</v>
      </c>
      <c r="Y387" s="4"/>
      <c r="Z387" s="4">
        <f ca="1">('TUSD BE'!$AM$48+'TUSD BF'!$AM$48+'TUSD CVA'!$AM$48)*1</f>
        <v>969.52247148289666</v>
      </c>
      <c r="AA387" s="4">
        <f>('TE BE'!$AA$39+'TE BF'!$AA$39+'TE CVA'!$AA$39)*1</f>
        <v>260.80314197522284</v>
      </c>
      <c r="AB387" s="4">
        <f>$K$387*$V$387</f>
        <v>0</v>
      </c>
      <c r="AC387" s="4">
        <f>$M$387*$W$387</f>
        <v>215596.53556999998</v>
      </c>
      <c r="AD387" s="4">
        <f>$O$387*$X$387</f>
        <v>62939.572410000001</v>
      </c>
      <c r="AE387" s="4">
        <f>$K$387*$Y$387</f>
        <v>0</v>
      </c>
      <c r="AF387" s="4">
        <f ca="1">$M$387*$Z$387</f>
        <v>263784.76547365205</v>
      </c>
      <c r="AG387" s="4">
        <f>$O$387*$AA$387</f>
        <v>70958.536459192706</v>
      </c>
    </row>
    <row r="388" spans="1:33" ht="11.25" customHeight="1" x14ac:dyDescent="0.25">
      <c r="A388" s="3" t="s">
        <v>28</v>
      </c>
      <c r="B388" s="3" t="s">
        <v>39</v>
      </c>
      <c r="C388" s="3" t="s">
        <v>23</v>
      </c>
      <c r="D388" s="3" t="s">
        <v>42</v>
      </c>
      <c r="E388" s="3" t="s">
        <v>25</v>
      </c>
      <c r="F388" s="3" t="s">
        <v>25</v>
      </c>
      <c r="G388" s="3" t="s">
        <v>25</v>
      </c>
      <c r="H388" s="3" t="s">
        <v>25</v>
      </c>
      <c r="I388" s="6">
        <v>44501</v>
      </c>
      <c r="J388" s="4">
        <v>0</v>
      </c>
      <c r="K388" s="4">
        <v>0</v>
      </c>
      <c r="L388" s="4">
        <v>4.4800000000000004</v>
      </c>
      <c r="M388" s="4">
        <v>4.4800000000000004</v>
      </c>
      <c r="N388" s="4">
        <v>4.4800000000000004</v>
      </c>
      <c r="O388" s="4">
        <v>4.4800000000000004</v>
      </c>
      <c r="P388" s="4">
        <v>9</v>
      </c>
      <c r="Q388" s="3" t="s">
        <v>26</v>
      </c>
      <c r="R388" s="3">
        <v>0</v>
      </c>
      <c r="S388" s="4">
        <v>0</v>
      </c>
      <c r="T388" s="4">
        <v>39</v>
      </c>
      <c r="U388" s="4">
        <v>73</v>
      </c>
      <c r="V388" s="4">
        <f>IF(ISERROR(VLOOKUP($S$388,'TAR FIN'!$A$1:$O$85,15,0)),0,VLOOKUP($S$388,'TAR FIN'!$A$1:$O$85,15,0))</f>
        <v>0</v>
      </c>
      <c r="W388" s="4">
        <f>IF(ISERROR(VLOOKUP($T$388,'TAR FIN'!$A$1:$O$85,15,0)),0,VLOOKUP($T$388,'TAR FIN'!$A$1:$O$85,15,0))</f>
        <v>792.41</v>
      </c>
      <c r="X388" s="4">
        <f>IF(ISERROR(VLOOKUP($U$388,'TAR FIN'!$A$1:$O$85,15,0)),0,VLOOKUP($U$388,'TAR FIN'!$A$1:$O$85,15,0))</f>
        <v>231.33</v>
      </c>
      <c r="Y388" s="4"/>
      <c r="Z388" s="4">
        <f ca="1">('TUSD BE'!$AM$48+'TUSD BF'!$AM$48+'TUSD CVA'!$AM$48)*1</f>
        <v>969.52247148289666</v>
      </c>
      <c r="AA388" s="4">
        <f>('TE BE'!$AA$39+'TE BF'!$AA$39+'TE CVA'!$AA$39)*1</f>
        <v>260.80314197522284</v>
      </c>
      <c r="AB388" s="4">
        <f>$K$388*$V$388</f>
        <v>0</v>
      </c>
      <c r="AC388" s="4">
        <f>$M$388*$W$388</f>
        <v>3549.9968000000003</v>
      </c>
      <c r="AD388" s="4">
        <f>$O$388*$X$388</f>
        <v>1036.3584000000001</v>
      </c>
      <c r="AE388" s="4">
        <f>$K$388*$Y$388</f>
        <v>0</v>
      </c>
      <c r="AF388" s="4">
        <f ca="1">$M$388*$Z$388</f>
        <v>4343.4606722433773</v>
      </c>
      <c r="AG388" s="4">
        <f>$O$388*$AA$388</f>
        <v>1168.3980760489985</v>
      </c>
    </row>
    <row r="389" spans="1:33" ht="11.25" customHeight="1" x14ac:dyDescent="0.25">
      <c r="A389" s="3" t="s">
        <v>21</v>
      </c>
      <c r="B389" s="3" t="s">
        <v>39</v>
      </c>
      <c r="C389" s="3" t="s">
        <v>23</v>
      </c>
      <c r="D389" s="3" t="s">
        <v>42</v>
      </c>
      <c r="E389" s="3" t="s">
        <v>25</v>
      </c>
      <c r="F389" s="3" t="s">
        <v>25</v>
      </c>
      <c r="G389" s="3" t="s">
        <v>25</v>
      </c>
      <c r="H389" s="3" t="s">
        <v>25</v>
      </c>
      <c r="I389" s="6">
        <v>44531</v>
      </c>
      <c r="J389" s="4">
        <v>0</v>
      </c>
      <c r="K389" s="4">
        <v>0</v>
      </c>
      <c r="L389" s="4">
        <v>280.637</v>
      </c>
      <c r="M389" s="4">
        <v>280.637</v>
      </c>
      <c r="N389" s="4">
        <v>280.637</v>
      </c>
      <c r="O389" s="4">
        <v>280.637</v>
      </c>
      <c r="P389" s="4">
        <v>664</v>
      </c>
      <c r="Q389" s="3" t="s">
        <v>26</v>
      </c>
      <c r="R389" s="3">
        <v>0</v>
      </c>
      <c r="S389" s="4">
        <v>0</v>
      </c>
      <c r="T389" s="4">
        <v>39</v>
      </c>
      <c r="U389" s="4">
        <v>73</v>
      </c>
      <c r="V389" s="4">
        <f>IF(ISERROR(VLOOKUP($S$389,'TAR FIN'!$A$1:$O$85,15,0)),0,VLOOKUP($S$389,'TAR FIN'!$A$1:$O$85,15,0))</f>
        <v>0</v>
      </c>
      <c r="W389" s="4">
        <f>IF(ISERROR(VLOOKUP($T$389,'TAR FIN'!$A$1:$O$85,15,0)),0,VLOOKUP($T$389,'TAR FIN'!$A$1:$O$85,15,0))</f>
        <v>792.41</v>
      </c>
      <c r="X389" s="4">
        <f>IF(ISERROR(VLOOKUP($U$389,'TAR FIN'!$A$1:$O$85,15,0)),0,VLOOKUP($U$389,'TAR FIN'!$A$1:$O$85,15,0))</f>
        <v>231.33</v>
      </c>
      <c r="Y389" s="4"/>
      <c r="Z389" s="4">
        <f ca="1">('TUSD BE'!$AM$48+'TUSD BF'!$AM$48+'TUSD CVA'!$AM$48)*1</f>
        <v>969.52247148289666</v>
      </c>
      <c r="AA389" s="4">
        <f>('TE BE'!$AA$39+'TE BF'!$AA$39+'TE CVA'!$AA$39)*1</f>
        <v>260.80314197522284</v>
      </c>
      <c r="AB389" s="4">
        <f>$K$389*$V$389</f>
        <v>0</v>
      </c>
      <c r="AC389" s="4">
        <f>$M$389*$W$389</f>
        <v>222379.56516999999</v>
      </c>
      <c r="AD389" s="4">
        <f>$O$389*$X$389</f>
        <v>64919.757210000003</v>
      </c>
      <c r="AE389" s="4">
        <f>$K$389*$Y$389</f>
        <v>0</v>
      </c>
      <c r="AF389" s="4">
        <f ca="1">$M$389*$Z$389</f>
        <v>272083.87782954564</v>
      </c>
      <c r="AG389" s="4">
        <f>$O$389*$AA$389</f>
        <v>73191.011354500617</v>
      </c>
    </row>
    <row r="390" spans="1:33" ht="11.25" customHeight="1" x14ac:dyDescent="0.25">
      <c r="A390" s="3" t="s">
        <v>28</v>
      </c>
      <c r="B390" s="3" t="s">
        <v>39</v>
      </c>
      <c r="C390" s="3" t="s">
        <v>23</v>
      </c>
      <c r="D390" s="3" t="s">
        <v>42</v>
      </c>
      <c r="E390" s="3" t="s">
        <v>25</v>
      </c>
      <c r="F390" s="3" t="s">
        <v>25</v>
      </c>
      <c r="G390" s="3" t="s">
        <v>25</v>
      </c>
      <c r="H390" s="3" t="s">
        <v>25</v>
      </c>
      <c r="I390" s="6">
        <v>44531</v>
      </c>
      <c r="J390" s="4">
        <v>0</v>
      </c>
      <c r="K390" s="4">
        <v>0</v>
      </c>
      <c r="L390" s="4">
        <v>3.5219999999999998</v>
      </c>
      <c r="M390" s="4">
        <v>3.5219999999999998</v>
      </c>
      <c r="N390" s="4">
        <v>3.5219999999999998</v>
      </c>
      <c r="O390" s="4">
        <v>3.5219999999999998</v>
      </c>
      <c r="P390" s="4">
        <v>10</v>
      </c>
      <c r="Q390" s="3" t="s">
        <v>26</v>
      </c>
      <c r="R390" s="3">
        <v>0</v>
      </c>
      <c r="S390" s="4">
        <v>0</v>
      </c>
      <c r="T390" s="4">
        <v>39</v>
      </c>
      <c r="U390" s="4">
        <v>73</v>
      </c>
      <c r="V390" s="4">
        <f>IF(ISERROR(VLOOKUP($S$390,'TAR FIN'!$A$1:$O$85,15,0)),0,VLOOKUP($S$390,'TAR FIN'!$A$1:$O$85,15,0))</f>
        <v>0</v>
      </c>
      <c r="W390" s="4">
        <f>IF(ISERROR(VLOOKUP($T$390,'TAR FIN'!$A$1:$O$85,15,0)),0,VLOOKUP($T$390,'TAR FIN'!$A$1:$O$85,15,0))</f>
        <v>792.41</v>
      </c>
      <c r="X390" s="4">
        <f>IF(ISERROR(VLOOKUP($U$390,'TAR FIN'!$A$1:$O$85,15,0)),0,VLOOKUP($U$390,'TAR FIN'!$A$1:$O$85,15,0))</f>
        <v>231.33</v>
      </c>
      <c r="Y390" s="4"/>
      <c r="Z390" s="4">
        <f ca="1">('TUSD BE'!$AM$48+'TUSD BF'!$AM$48+'TUSD CVA'!$AM$48)*1</f>
        <v>969.52247148289666</v>
      </c>
      <c r="AA390" s="4">
        <f>('TE BE'!$AA$39+'TE BF'!$AA$39+'TE CVA'!$AA$39)*1</f>
        <v>260.80314197522284</v>
      </c>
      <c r="AB390" s="4">
        <f>$K$390*$V$390</f>
        <v>0</v>
      </c>
      <c r="AC390" s="4">
        <f>$M$390*$W$390</f>
        <v>2790.8680199999999</v>
      </c>
      <c r="AD390" s="4">
        <f>$O$390*$X$390</f>
        <v>814.74426000000005</v>
      </c>
      <c r="AE390" s="4">
        <f>$K$390*$Y$390</f>
        <v>0</v>
      </c>
      <c r="AF390" s="4">
        <f ca="1">$M$390*$Z$390</f>
        <v>3414.6581445627617</v>
      </c>
      <c r="AG390" s="4">
        <f>$O$390*$AA$390</f>
        <v>918.54866603673474</v>
      </c>
    </row>
    <row r="391" spans="1:33" ht="11.25" customHeight="1" x14ac:dyDescent="0.25">
      <c r="A391" s="3" t="s">
        <v>21</v>
      </c>
      <c r="B391" s="3" t="s">
        <v>39</v>
      </c>
      <c r="C391" s="3" t="s">
        <v>23</v>
      </c>
      <c r="D391" s="3" t="s">
        <v>42</v>
      </c>
      <c r="E391" s="3" t="s">
        <v>25</v>
      </c>
      <c r="F391" s="3" t="s">
        <v>25</v>
      </c>
      <c r="G391" s="3" t="s">
        <v>25</v>
      </c>
      <c r="H391" s="3" t="s">
        <v>25</v>
      </c>
      <c r="I391" s="6">
        <v>44562</v>
      </c>
      <c r="J391" s="4">
        <v>0</v>
      </c>
      <c r="K391" s="4">
        <v>0</v>
      </c>
      <c r="L391" s="4">
        <v>289.33</v>
      </c>
      <c r="M391" s="4">
        <v>289.33</v>
      </c>
      <c r="N391" s="4">
        <v>289.33</v>
      </c>
      <c r="O391" s="4">
        <v>289.33</v>
      </c>
      <c r="P391" s="4">
        <v>664</v>
      </c>
      <c r="Q391" s="3" t="s">
        <v>26</v>
      </c>
      <c r="R391" s="3">
        <v>0</v>
      </c>
      <c r="S391" s="4">
        <v>0</v>
      </c>
      <c r="T391" s="4">
        <v>39</v>
      </c>
      <c r="U391" s="4">
        <v>73</v>
      </c>
      <c r="V391" s="4">
        <f>IF(ISERROR(VLOOKUP($S$391,'TAR FIN'!$A$1:$O$85,15,0)),0,VLOOKUP($S$391,'TAR FIN'!$A$1:$O$85,15,0))</f>
        <v>0</v>
      </c>
      <c r="W391" s="4">
        <f>IF(ISERROR(VLOOKUP($T$391,'TAR FIN'!$A$1:$O$85,15,0)),0,VLOOKUP($T$391,'TAR FIN'!$A$1:$O$85,15,0))</f>
        <v>792.41</v>
      </c>
      <c r="X391" s="4">
        <f>IF(ISERROR(VLOOKUP($U$391,'TAR FIN'!$A$1:$O$85,15,0)),0,VLOOKUP($U$391,'TAR FIN'!$A$1:$O$85,15,0))</f>
        <v>231.33</v>
      </c>
      <c r="Y391" s="4"/>
      <c r="Z391" s="4">
        <f ca="1">('TUSD BE'!$AM$48+'TUSD BF'!$AM$48+'TUSD CVA'!$AM$48)*1</f>
        <v>969.52247148289666</v>
      </c>
      <c r="AA391" s="4">
        <f>('TE BE'!$AA$39+'TE BF'!$AA$39+'TE CVA'!$AA$39)*1</f>
        <v>260.80314197522284</v>
      </c>
      <c r="AB391" s="4">
        <f>$K$391*$V$391</f>
        <v>0</v>
      </c>
      <c r="AC391" s="4">
        <f>$M$391*$W$391</f>
        <v>229267.98529999997</v>
      </c>
      <c r="AD391" s="4">
        <f>$O$391*$X$391</f>
        <v>66930.708899999998</v>
      </c>
      <c r="AE391" s="4">
        <f>$K$391*$Y$391</f>
        <v>0</v>
      </c>
      <c r="AF391" s="4">
        <f ca="1">$M$391*$Z$391</f>
        <v>280511.93667414645</v>
      </c>
      <c r="AG391" s="4">
        <f>$O$391*$AA$391</f>
        <v>75458.173067691227</v>
      </c>
    </row>
    <row r="392" spans="1:33" ht="11.25" customHeight="1" x14ac:dyDescent="0.25">
      <c r="A392" s="3" t="s">
        <v>28</v>
      </c>
      <c r="B392" s="3" t="s">
        <v>39</v>
      </c>
      <c r="C392" s="3" t="s">
        <v>23</v>
      </c>
      <c r="D392" s="3" t="s">
        <v>42</v>
      </c>
      <c r="E392" s="3" t="s">
        <v>25</v>
      </c>
      <c r="F392" s="3" t="s">
        <v>25</v>
      </c>
      <c r="G392" s="3" t="s">
        <v>25</v>
      </c>
      <c r="H392" s="3" t="s">
        <v>25</v>
      </c>
      <c r="I392" s="6">
        <v>44562</v>
      </c>
      <c r="J392" s="4">
        <v>0</v>
      </c>
      <c r="K392" s="4">
        <v>0</v>
      </c>
      <c r="L392" s="4">
        <v>7.1459999999999999</v>
      </c>
      <c r="M392" s="4">
        <v>7.1459999999999999</v>
      </c>
      <c r="N392" s="4">
        <v>7.1459999999999999</v>
      </c>
      <c r="O392" s="4">
        <v>7.1459999999999999</v>
      </c>
      <c r="P392" s="4">
        <v>12</v>
      </c>
      <c r="Q392" s="3" t="s">
        <v>26</v>
      </c>
      <c r="R392" s="3">
        <v>0</v>
      </c>
      <c r="S392" s="4">
        <v>0</v>
      </c>
      <c r="T392" s="4">
        <v>39</v>
      </c>
      <c r="U392" s="4">
        <v>73</v>
      </c>
      <c r="V392" s="4">
        <f>IF(ISERROR(VLOOKUP($S$392,'TAR FIN'!$A$1:$O$85,15,0)),0,VLOOKUP($S$392,'TAR FIN'!$A$1:$O$85,15,0))</f>
        <v>0</v>
      </c>
      <c r="W392" s="4">
        <f>IF(ISERROR(VLOOKUP($T$392,'TAR FIN'!$A$1:$O$85,15,0)),0,VLOOKUP($T$392,'TAR FIN'!$A$1:$O$85,15,0))</f>
        <v>792.41</v>
      </c>
      <c r="X392" s="4">
        <f>IF(ISERROR(VLOOKUP($U$392,'TAR FIN'!$A$1:$O$85,15,0)),0,VLOOKUP($U$392,'TAR FIN'!$A$1:$O$85,15,0))</f>
        <v>231.33</v>
      </c>
      <c r="Y392" s="4"/>
      <c r="Z392" s="4">
        <f ca="1">('TUSD BE'!$AM$48+'TUSD BF'!$AM$48+'TUSD CVA'!$AM$48)*1</f>
        <v>969.52247148289666</v>
      </c>
      <c r="AA392" s="4">
        <f>('TE BE'!$AA$39+'TE BF'!$AA$39+'TE CVA'!$AA$39)*1</f>
        <v>260.80314197522284</v>
      </c>
      <c r="AB392" s="4">
        <f>$K$392*$V$392</f>
        <v>0</v>
      </c>
      <c r="AC392" s="4">
        <f>$M$392*$W$392</f>
        <v>5662.5618599999998</v>
      </c>
      <c r="AD392" s="4">
        <f>$O$392*$X$392</f>
        <v>1653.0841800000001</v>
      </c>
      <c r="AE392" s="4">
        <f>$K$392*$Y$392</f>
        <v>0</v>
      </c>
      <c r="AF392" s="4">
        <f ca="1">$M$392*$Z$392</f>
        <v>6928.2075812167795</v>
      </c>
      <c r="AG392" s="4">
        <f>$O$392*$AA$392</f>
        <v>1863.6992525549424</v>
      </c>
    </row>
    <row r="393" spans="1:33" ht="11.25" customHeight="1" x14ac:dyDescent="0.25">
      <c r="A393" s="3" t="s">
        <v>21</v>
      </c>
      <c r="B393" s="3" t="s">
        <v>39</v>
      </c>
      <c r="C393" s="3" t="s">
        <v>23</v>
      </c>
      <c r="D393" s="3" t="s">
        <v>42</v>
      </c>
      <c r="E393" s="3" t="s">
        <v>25</v>
      </c>
      <c r="F393" s="3" t="s">
        <v>25</v>
      </c>
      <c r="G393" s="3" t="s">
        <v>25</v>
      </c>
      <c r="H393" s="3" t="s">
        <v>25</v>
      </c>
      <c r="I393" s="6">
        <v>44593</v>
      </c>
      <c r="J393" s="4">
        <v>0</v>
      </c>
      <c r="K393" s="4">
        <v>0</v>
      </c>
      <c r="L393" s="4">
        <v>316.45400000000001</v>
      </c>
      <c r="M393" s="4">
        <v>316.45400000000001</v>
      </c>
      <c r="N393" s="4">
        <v>316.45400000000001</v>
      </c>
      <c r="O393" s="4">
        <v>316.45400000000001</v>
      </c>
      <c r="P393" s="4">
        <v>665</v>
      </c>
      <c r="Q393" s="3" t="s">
        <v>26</v>
      </c>
      <c r="R393" s="3">
        <v>0</v>
      </c>
      <c r="S393" s="4">
        <v>0</v>
      </c>
      <c r="T393" s="4">
        <v>39</v>
      </c>
      <c r="U393" s="4">
        <v>73</v>
      </c>
      <c r="V393" s="4">
        <f>IF(ISERROR(VLOOKUP($S$393,'TAR FIN'!$A$1:$O$85,15,0)),0,VLOOKUP($S$393,'TAR FIN'!$A$1:$O$85,15,0))</f>
        <v>0</v>
      </c>
      <c r="W393" s="4">
        <f>IF(ISERROR(VLOOKUP($T$393,'TAR FIN'!$A$1:$O$85,15,0)),0,VLOOKUP($T$393,'TAR FIN'!$A$1:$O$85,15,0))</f>
        <v>792.41</v>
      </c>
      <c r="X393" s="4">
        <f>IF(ISERROR(VLOOKUP($U$393,'TAR FIN'!$A$1:$O$85,15,0)),0,VLOOKUP($U$393,'TAR FIN'!$A$1:$O$85,15,0))</f>
        <v>231.33</v>
      </c>
      <c r="Y393" s="4"/>
      <c r="Z393" s="4">
        <f ca="1">('TUSD BE'!$AM$48+'TUSD BF'!$AM$48+'TUSD CVA'!$AM$48)*1</f>
        <v>969.52247148289666</v>
      </c>
      <c r="AA393" s="4">
        <f>('TE BE'!$AA$39+'TE BF'!$AA$39+'TE CVA'!$AA$39)*1</f>
        <v>260.80314197522284</v>
      </c>
      <c r="AB393" s="4">
        <f>$K$393*$V$393</f>
        <v>0</v>
      </c>
      <c r="AC393" s="4">
        <f>$M$393*$W$393</f>
        <v>250761.31414</v>
      </c>
      <c r="AD393" s="4">
        <f>$O$393*$X$393</f>
        <v>73205.303820000001</v>
      </c>
      <c r="AE393" s="4">
        <f>$K$393*$Y$393</f>
        <v>0</v>
      </c>
      <c r="AF393" s="4">
        <f ca="1">$M$393*$Z$393</f>
        <v>306809.26419064857</v>
      </c>
      <c r="AG393" s="4">
        <f>$O$393*$AA$393</f>
        <v>82532.197490627164</v>
      </c>
    </row>
    <row r="394" spans="1:33" ht="11.25" customHeight="1" x14ac:dyDescent="0.25">
      <c r="A394" s="3" t="s">
        <v>28</v>
      </c>
      <c r="B394" s="3" t="s">
        <v>39</v>
      </c>
      <c r="C394" s="3" t="s">
        <v>23</v>
      </c>
      <c r="D394" s="3" t="s">
        <v>42</v>
      </c>
      <c r="E394" s="3" t="s">
        <v>25</v>
      </c>
      <c r="F394" s="3" t="s">
        <v>25</v>
      </c>
      <c r="G394" s="3" t="s">
        <v>25</v>
      </c>
      <c r="H394" s="3" t="s">
        <v>25</v>
      </c>
      <c r="I394" s="6">
        <v>44593</v>
      </c>
      <c r="J394" s="4">
        <v>0</v>
      </c>
      <c r="K394" s="4">
        <v>0</v>
      </c>
      <c r="L394" s="4">
        <v>3.4529999999999998</v>
      </c>
      <c r="M394" s="4">
        <v>3.4529999999999998</v>
      </c>
      <c r="N394" s="4">
        <v>3.4529999999999998</v>
      </c>
      <c r="O394" s="4">
        <v>3.4529999999999998</v>
      </c>
      <c r="P394" s="4">
        <v>12</v>
      </c>
      <c r="Q394" s="3" t="s">
        <v>26</v>
      </c>
      <c r="R394" s="3">
        <v>0</v>
      </c>
      <c r="S394" s="4">
        <v>0</v>
      </c>
      <c r="T394" s="4">
        <v>39</v>
      </c>
      <c r="U394" s="4">
        <v>73</v>
      </c>
      <c r="V394" s="4">
        <f>IF(ISERROR(VLOOKUP($S$394,'TAR FIN'!$A$1:$O$85,15,0)),0,VLOOKUP($S$394,'TAR FIN'!$A$1:$O$85,15,0))</f>
        <v>0</v>
      </c>
      <c r="W394" s="4">
        <f>IF(ISERROR(VLOOKUP($T$394,'TAR FIN'!$A$1:$O$85,15,0)),0,VLOOKUP($T$394,'TAR FIN'!$A$1:$O$85,15,0))</f>
        <v>792.41</v>
      </c>
      <c r="X394" s="4">
        <f>IF(ISERROR(VLOOKUP($U$394,'TAR FIN'!$A$1:$O$85,15,0)),0,VLOOKUP($U$394,'TAR FIN'!$A$1:$O$85,15,0))</f>
        <v>231.33</v>
      </c>
      <c r="Y394" s="4"/>
      <c r="Z394" s="4">
        <f ca="1">('TUSD BE'!$AM$48+'TUSD BF'!$AM$48+'TUSD CVA'!$AM$48)*1</f>
        <v>969.52247148289666</v>
      </c>
      <c r="AA394" s="4">
        <f>('TE BE'!$AA$39+'TE BF'!$AA$39+'TE CVA'!$AA$39)*1</f>
        <v>260.80314197522284</v>
      </c>
      <c r="AB394" s="4">
        <f>$K$394*$V$394</f>
        <v>0</v>
      </c>
      <c r="AC394" s="4">
        <f>$M$394*$W$394</f>
        <v>2736.1917299999996</v>
      </c>
      <c r="AD394" s="4">
        <f>$O$394*$X$394</f>
        <v>798.78249000000005</v>
      </c>
      <c r="AE394" s="4">
        <f>$K$394*$Y$394</f>
        <v>0</v>
      </c>
      <c r="AF394" s="4">
        <f ca="1">$M$394*$Z$394</f>
        <v>3347.7610940304421</v>
      </c>
      <c r="AG394" s="4">
        <f>$O$394*$AA$394</f>
        <v>900.55324924044442</v>
      </c>
    </row>
    <row r="395" spans="1:33" ht="11.25" customHeight="1" x14ac:dyDescent="0.25">
      <c r="A395" s="3" t="s">
        <v>21</v>
      </c>
      <c r="B395" s="3" t="s">
        <v>39</v>
      </c>
      <c r="C395" s="3" t="s">
        <v>23</v>
      </c>
      <c r="D395" s="3" t="s">
        <v>42</v>
      </c>
      <c r="E395" s="3" t="s">
        <v>25</v>
      </c>
      <c r="F395" s="3" t="s">
        <v>25</v>
      </c>
      <c r="G395" s="3" t="s">
        <v>25</v>
      </c>
      <c r="H395" s="3" t="s">
        <v>25</v>
      </c>
      <c r="I395" s="6">
        <v>44621</v>
      </c>
      <c r="J395" s="4">
        <v>0</v>
      </c>
      <c r="K395" s="4">
        <v>0</v>
      </c>
      <c r="L395" s="4">
        <v>310.82</v>
      </c>
      <c r="M395" s="4">
        <v>310.82</v>
      </c>
      <c r="N395" s="4">
        <v>310.82</v>
      </c>
      <c r="O395" s="4">
        <v>310.82</v>
      </c>
      <c r="P395" s="4">
        <v>665</v>
      </c>
      <c r="Q395" s="3" t="s">
        <v>26</v>
      </c>
      <c r="R395" s="3">
        <v>0</v>
      </c>
      <c r="S395" s="4">
        <v>0</v>
      </c>
      <c r="T395" s="4">
        <v>39</v>
      </c>
      <c r="U395" s="4">
        <v>73</v>
      </c>
      <c r="V395" s="4">
        <f>IF(ISERROR(VLOOKUP($S$395,'TAR FIN'!$A$1:$O$85,15,0)),0,VLOOKUP($S$395,'TAR FIN'!$A$1:$O$85,15,0))</f>
        <v>0</v>
      </c>
      <c r="W395" s="4">
        <f>IF(ISERROR(VLOOKUP($T$395,'TAR FIN'!$A$1:$O$85,15,0)),0,VLOOKUP($T$395,'TAR FIN'!$A$1:$O$85,15,0))</f>
        <v>792.41</v>
      </c>
      <c r="X395" s="4">
        <f>IF(ISERROR(VLOOKUP($U$395,'TAR FIN'!$A$1:$O$85,15,0)),0,VLOOKUP($U$395,'TAR FIN'!$A$1:$O$85,15,0))</f>
        <v>231.33</v>
      </c>
      <c r="Y395" s="4"/>
      <c r="Z395" s="4">
        <f ca="1">('TUSD BE'!$AM$48+'TUSD BF'!$AM$48+'TUSD CVA'!$AM$48)*1</f>
        <v>969.52247148289666</v>
      </c>
      <c r="AA395" s="4">
        <f>('TE BE'!$AA$39+'TE BF'!$AA$39+'TE CVA'!$AA$39)*1</f>
        <v>260.80314197522284</v>
      </c>
      <c r="AB395" s="4">
        <f>$K$395*$V$395</f>
        <v>0</v>
      </c>
      <c r="AC395" s="4">
        <f>$M$395*$W$395</f>
        <v>246296.8762</v>
      </c>
      <c r="AD395" s="4">
        <f>$O$395*$X$395</f>
        <v>71901.990600000005</v>
      </c>
      <c r="AE395" s="4">
        <f>$K$395*$Y$395</f>
        <v>0</v>
      </c>
      <c r="AF395" s="4">
        <f ca="1">$M$395*$Z$395</f>
        <v>301346.97458631394</v>
      </c>
      <c r="AG395" s="4">
        <f>$O$395*$AA$395</f>
        <v>81062.832588738762</v>
      </c>
    </row>
    <row r="396" spans="1:33" ht="11.25" customHeight="1" x14ac:dyDescent="0.25">
      <c r="A396" s="3" t="s">
        <v>28</v>
      </c>
      <c r="B396" s="3" t="s">
        <v>39</v>
      </c>
      <c r="C396" s="3" t="s">
        <v>23</v>
      </c>
      <c r="D396" s="3" t="s">
        <v>42</v>
      </c>
      <c r="E396" s="3" t="s">
        <v>25</v>
      </c>
      <c r="F396" s="3" t="s">
        <v>25</v>
      </c>
      <c r="G396" s="3" t="s">
        <v>25</v>
      </c>
      <c r="H396" s="3" t="s">
        <v>25</v>
      </c>
      <c r="I396" s="6">
        <v>44621</v>
      </c>
      <c r="J396" s="4">
        <v>0</v>
      </c>
      <c r="K396" s="4">
        <v>0</v>
      </c>
      <c r="L396" s="4">
        <v>5.0650000000000004</v>
      </c>
      <c r="M396" s="4">
        <v>5.0650000000000004</v>
      </c>
      <c r="N396" s="4">
        <v>5.0650000000000004</v>
      </c>
      <c r="O396" s="4">
        <v>5.0650000000000004</v>
      </c>
      <c r="P396" s="4">
        <v>13</v>
      </c>
      <c r="Q396" s="3" t="s">
        <v>26</v>
      </c>
      <c r="R396" s="3">
        <v>0</v>
      </c>
      <c r="S396" s="4">
        <v>0</v>
      </c>
      <c r="T396" s="4">
        <v>39</v>
      </c>
      <c r="U396" s="4">
        <v>73</v>
      </c>
      <c r="V396" s="4">
        <f>IF(ISERROR(VLOOKUP($S$396,'TAR FIN'!$A$1:$O$85,15,0)),0,VLOOKUP($S$396,'TAR FIN'!$A$1:$O$85,15,0))</f>
        <v>0</v>
      </c>
      <c r="W396" s="4">
        <f>IF(ISERROR(VLOOKUP($T$396,'TAR FIN'!$A$1:$O$85,15,0)),0,VLOOKUP($T$396,'TAR FIN'!$A$1:$O$85,15,0))</f>
        <v>792.41</v>
      </c>
      <c r="X396" s="4">
        <f>IF(ISERROR(VLOOKUP($U$396,'TAR FIN'!$A$1:$O$85,15,0)),0,VLOOKUP($U$396,'TAR FIN'!$A$1:$O$85,15,0))</f>
        <v>231.33</v>
      </c>
      <c r="Y396" s="4"/>
      <c r="Z396" s="4">
        <f ca="1">('TUSD BE'!$AM$48+'TUSD BF'!$AM$48+'TUSD CVA'!$AM$48)*1</f>
        <v>969.52247148289666</v>
      </c>
      <c r="AA396" s="4">
        <f>('TE BE'!$AA$39+'TE BF'!$AA$39+'TE CVA'!$AA$39)*1</f>
        <v>260.80314197522284</v>
      </c>
      <c r="AB396" s="4">
        <f>$K$396*$V$396</f>
        <v>0</v>
      </c>
      <c r="AC396" s="4">
        <f>$M$396*$W$396</f>
        <v>4013.55665</v>
      </c>
      <c r="AD396" s="4">
        <f>$O$396*$X$396</f>
        <v>1171.6864500000001</v>
      </c>
      <c r="AE396" s="4">
        <f>$K$396*$Y$396</f>
        <v>0</v>
      </c>
      <c r="AF396" s="4">
        <f ca="1">$M$396*$Z$396</f>
        <v>4910.6313180608722</v>
      </c>
      <c r="AG396" s="4">
        <f>$O$396*$AA$396</f>
        <v>1320.9679141045037</v>
      </c>
    </row>
    <row r="397" spans="1:33" ht="11.25" customHeight="1" x14ac:dyDescent="0.25">
      <c r="A397" s="3" t="s">
        <v>21</v>
      </c>
      <c r="B397" s="3" t="s">
        <v>39</v>
      </c>
      <c r="C397" s="3" t="s">
        <v>23</v>
      </c>
      <c r="D397" s="3" t="s">
        <v>51</v>
      </c>
      <c r="E397" s="3" t="s">
        <v>25</v>
      </c>
      <c r="F397" s="3" t="s">
        <v>25</v>
      </c>
      <c r="G397" s="3" t="s">
        <v>25</v>
      </c>
      <c r="H397" s="3" t="s">
        <v>25</v>
      </c>
      <c r="I397" s="6">
        <v>44287</v>
      </c>
      <c r="J397" s="4">
        <v>0</v>
      </c>
      <c r="K397" s="4">
        <v>0</v>
      </c>
      <c r="L397" s="4">
        <v>0.38</v>
      </c>
      <c r="M397" s="4">
        <v>0.38</v>
      </c>
      <c r="N397" s="4">
        <v>0.38</v>
      </c>
      <c r="O397" s="4">
        <v>0.38</v>
      </c>
      <c r="P397" s="4">
        <v>4</v>
      </c>
      <c r="Q397" s="3" t="s">
        <v>26</v>
      </c>
      <c r="R397" s="3">
        <v>0</v>
      </c>
      <c r="S397" s="4">
        <v>0</v>
      </c>
      <c r="T397" s="4">
        <v>39</v>
      </c>
      <c r="U397" s="4">
        <v>73</v>
      </c>
      <c r="V397" s="4">
        <f>IF(ISERROR(VLOOKUP($S$397,'TAR FIN'!$A$1:$O$85,15,0)),0,VLOOKUP($S$397,'TAR FIN'!$A$1:$O$85,15,0))</f>
        <v>0</v>
      </c>
      <c r="W397" s="4">
        <f>IF(ISERROR(VLOOKUP($T$397,'TAR FIN'!$A$1:$O$85,15,0)),0,VLOOKUP($T$397,'TAR FIN'!$A$1:$O$85,15,0))</f>
        <v>792.41</v>
      </c>
      <c r="X397" s="4">
        <f>IF(ISERROR(VLOOKUP($U$397,'TAR FIN'!$A$1:$O$85,15,0)),0,VLOOKUP($U$397,'TAR FIN'!$A$1:$O$85,15,0))</f>
        <v>231.33</v>
      </c>
      <c r="Y397" s="4"/>
      <c r="Z397" s="4">
        <f ca="1">('TUSD BE'!$AM$48+'TUSD BF'!$AM$48+'TUSD CVA'!$AM$48)*1</f>
        <v>969.52247148289666</v>
      </c>
      <c r="AA397" s="4">
        <f>('TE BE'!$AA$39+'TE BF'!$AA$39+'TE CVA'!$AA$39)*1</f>
        <v>260.80314197522284</v>
      </c>
      <c r="AB397" s="4">
        <f>$K$397*$V$397</f>
        <v>0</v>
      </c>
      <c r="AC397" s="4">
        <f>$M$397*$W$397</f>
        <v>301.11579999999998</v>
      </c>
      <c r="AD397" s="4">
        <f>$O$397*$X$397</f>
        <v>87.9054</v>
      </c>
      <c r="AE397" s="4">
        <f>$K$397*$Y$397</f>
        <v>0</v>
      </c>
      <c r="AF397" s="4">
        <f ca="1">$M$397*$Z$397</f>
        <v>368.41853916350072</v>
      </c>
      <c r="AG397" s="4">
        <f>$O$397*$AA$397</f>
        <v>99.105193950584678</v>
      </c>
    </row>
    <row r="398" spans="1:33" ht="11.25" customHeight="1" x14ac:dyDescent="0.25">
      <c r="A398" s="3" t="s">
        <v>28</v>
      </c>
      <c r="B398" s="3" t="s">
        <v>39</v>
      </c>
      <c r="C398" s="3" t="s">
        <v>23</v>
      </c>
      <c r="D398" s="3" t="s">
        <v>51</v>
      </c>
      <c r="E398" s="3" t="s">
        <v>25</v>
      </c>
      <c r="F398" s="3" t="s">
        <v>25</v>
      </c>
      <c r="G398" s="3" t="s">
        <v>25</v>
      </c>
      <c r="H398" s="3" t="s">
        <v>25</v>
      </c>
      <c r="I398" s="6">
        <v>44287</v>
      </c>
      <c r="J398" s="4">
        <v>0</v>
      </c>
      <c r="K398" s="4">
        <v>0</v>
      </c>
      <c r="L398" s="4">
        <v>2.7160000000000002</v>
      </c>
      <c r="M398" s="4">
        <v>2.7160000000000002</v>
      </c>
      <c r="N398" s="4">
        <v>2.7160000000000002</v>
      </c>
      <c r="O398" s="4">
        <v>2.7160000000000002</v>
      </c>
      <c r="P398" s="4">
        <v>2</v>
      </c>
      <c r="Q398" s="3" t="s">
        <v>26</v>
      </c>
      <c r="R398" s="3">
        <v>0</v>
      </c>
      <c r="S398" s="4">
        <v>0</v>
      </c>
      <c r="T398" s="4">
        <v>39</v>
      </c>
      <c r="U398" s="4">
        <v>73</v>
      </c>
      <c r="V398" s="4">
        <f>IF(ISERROR(VLOOKUP($S$398,'TAR FIN'!$A$1:$O$85,15,0)),0,VLOOKUP($S$398,'TAR FIN'!$A$1:$O$85,15,0))</f>
        <v>0</v>
      </c>
      <c r="W398" s="4">
        <f>IF(ISERROR(VLOOKUP($T$398,'TAR FIN'!$A$1:$O$85,15,0)),0,VLOOKUP($T$398,'TAR FIN'!$A$1:$O$85,15,0))</f>
        <v>792.41</v>
      </c>
      <c r="X398" s="4">
        <f>IF(ISERROR(VLOOKUP($U$398,'TAR FIN'!$A$1:$O$85,15,0)),0,VLOOKUP($U$398,'TAR FIN'!$A$1:$O$85,15,0))</f>
        <v>231.33</v>
      </c>
      <c r="Y398" s="4"/>
      <c r="Z398" s="4">
        <f ca="1">('TUSD BE'!$AM$48+'TUSD BF'!$AM$48+'TUSD CVA'!$AM$48)*1</f>
        <v>969.52247148289666</v>
      </c>
      <c r="AA398" s="4">
        <f>('TE BE'!$AA$39+'TE BF'!$AA$39+'TE CVA'!$AA$39)*1</f>
        <v>260.80314197522284</v>
      </c>
      <c r="AB398" s="4">
        <f>$K$398*$V$398</f>
        <v>0</v>
      </c>
      <c r="AC398" s="4">
        <f>$M$398*$W$398</f>
        <v>2152.1855599999999</v>
      </c>
      <c r="AD398" s="4">
        <f>$O$398*$X$398</f>
        <v>628.29228000000012</v>
      </c>
      <c r="AE398" s="4">
        <f>$K$398*$Y$398</f>
        <v>0</v>
      </c>
      <c r="AF398" s="4">
        <f ca="1">$M$398*$Z$398</f>
        <v>2633.2230325475475</v>
      </c>
      <c r="AG398" s="4">
        <f>$O$398*$AA$398</f>
        <v>708.34133360470526</v>
      </c>
    </row>
    <row r="399" spans="1:33" ht="11.25" customHeight="1" x14ac:dyDescent="0.25">
      <c r="A399" s="3" t="s">
        <v>21</v>
      </c>
      <c r="B399" s="3" t="s">
        <v>39</v>
      </c>
      <c r="C399" s="3" t="s">
        <v>23</v>
      </c>
      <c r="D399" s="3" t="s">
        <v>51</v>
      </c>
      <c r="E399" s="3" t="s">
        <v>25</v>
      </c>
      <c r="F399" s="3" t="s">
        <v>25</v>
      </c>
      <c r="G399" s="3" t="s">
        <v>25</v>
      </c>
      <c r="H399" s="3" t="s">
        <v>25</v>
      </c>
      <c r="I399" s="6">
        <v>44317</v>
      </c>
      <c r="J399" s="4">
        <v>0</v>
      </c>
      <c r="K399" s="4">
        <v>0</v>
      </c>
      <c r="L399" s="4">
        <v>2.427</v>
      </c>
      <c r="M399" s="4">
        <v>2.427</v>
      </c>
      <c r="N399" s="4">
        <v>2.427</v>
      </c>
      <c r="O399" s="4">
        <v>2.427</v>
      </c>
      <c r="P399" s="4">
        <v>5</v>
      </c>
      <c r="Q399" s="3" t="s">
        <v>26</v>
      </c>
      <c r="R399" s="3">
        <v>0</v>
      </c>
      <c r="S399" s="4">
        <v>0</v>
      </c>
      <c r="T399" s="4">
        <v>39</v>
      </c>
      <c r="U399" s="4">
        <v>73</v>
      </c>
      <c r="V399" s="4">
        <f>IF(ISERROR(VLOOKUP($S$399,'TAR FIN'!$A$1:$O$85,15,0)),0,VLOOKUP($S$399,'TAR FIN'!$A$1:$O$85,15,0))</f>
        <v>0</v>
      </c>
      <c r="W399" s="4">
        <f>IF(ISERROR(VLOOKUP($T$399,'TAR FIN'!$A$1:$O$85,15,0)),0,VLOOKUP($T$399,'TAR FIN'!$A$1:$O$85,15,0))</f>
        <v>792.41</v>
      </c>
      <c r="X399" s="4">
        <f>IF(ISERROR(VLOOKUP($U$399,'TAR FIN'!$A$1:$O$85,15,0)),0,VLOOKUP($U$399,'TAR FIN'!$A$1:$O$85,15,0))</f>
        <v>231.33</v>
      </c>
      <c r="Y399" s="4"/>
      <c r="Z399" s="4">
        <f ca="1">('TUSD BE'!$AM$48+'TUSD BF'!$AM$48+'TUSD CVA'!$AM$48)*1</f>
        <v>969.52247148289666</v>
      </c>
      <c r="AA399" s="4">
        <f>('TE BE'!$AA$39+'TE BF'!$AA$39+'TE CVA'!$AA$39)*1</f>
        <v>260.80314197522284</v>
      </c>
      <c r="AB399" s="4">
        <f>$K$399*$V$399</f>
        <v>0</v>
      </c>
      <c r="AC399" s="4">
        <f>$M$399*$W$399</f>
        <v>1923.1790699999999</v>
      </c>
      <c r="AD399" s="4">
        <f>$O$399*$X$399</f>
        <v>561.43790999999999</v>
      </c>
      <c r="AE399" s="4">
        <f>$K$399*$Y$399</f>
        <v>0</v>
      </c>
      <c r="AF399" s="4">
        <f ca="1">$M$399*$Z$399</f>
        <v>2353.0310382889902</v>
      </c>
      <c r="AG399" s="4">
        <f>$O$399*$AA$399</f>
        <v>632.96922557386586</v>
      </c>
    </row>
    <row r="400" spans="1:33" ht="11.25" customHeight="1" x14ac:dyDescent="0.25">
      <c r="A400" s="3" t="s">
        <v>28</v>
      </c>
      <c r="B400" s="3" t="s">
        <v>39</v>
      </c>
      <c r="C400" s="3" t="s">
        <v>23</v>
      </c>
      <c r="D400" s="3" t="s">
        <v>51</v>
      </c>
      <c r="E400" s="3" t="s">
        <v>25</v>
      </c>
      <c r="F400" s="3" t="s">
        <v>25</v>
      </c>
      <c r="G400" s="3" t="s">
        <v>25</v>
      </c>
      <c r="H400" s="3" t="s">
        <v>25</v>
      </c>
      <c r="I400" s="6">
        <v>44317</v>
      </c>
      <c r="J400" s="4">
        <v>0</v>
      </c>
      <c r="K400" s="4">
        <v>0</v>
      </c>
      <c r="L400" s="4">
        <v>0.1</v>
      </c>
      <c r="M400" s="4">
        <v>0.1</v>
      </c>
      <c r="N400" s="4">
        <v>0.1</v>
      </c>
      <c r="O400" s="4">
        <v>0.1</v>
      </c>
      <c r="P400" s="4">
        <v>1</v>
      </c>
      <c r="Q400" s="3" t="s">
        <v>26</v>
      </c>
      <c r="R400" s="3">
        <v>0</v>
      </c>
      <c r="S400" s="4">
        <v>0</v>
      </c>
      <c r="T400" s="4">
        <v>39</v>
      </c>
      <c r="U400" s="4">
        <v>73</v>
      </c>
      <c r="V400" s="4">
        <f>IF(ISERROR(VLOOKUP($S$400,'TAR FIN'!$A$1:$O$85,15,0)),0,VLOOKUP($S$400,'TAR FIN'!$A$1:$O$85,15,0))</f>
        <v>0</v>
      </c>
      <c r="W400" s="4">
        <f>IF(ISERROR(VLOOKUP($T$400,'TAR FIN'!$A$1:$O$85,15,0)),0,VLOOKUP($T$400,'TAR FIN'!$A$1:$O$85,15,0))</f>
        <v>792.41</v>
      </c>
      <c r="X400" s="4">
        <f>IF(ISERROR(VLOOKUP($U$400,'TAR FIN'!$A$1:$O$85,15,0)),0,VLOOKUP($U$400,'TAR FIN'!$A$1:$O$85,15,0))</f>
        <v>231.33</v>
      </c>
      <c r="Y400" s="4"/>
      <c r="Z400" s="4">
        <f ca="1">('TUSD BE'!$AM$48+'TUSD BF'!$AM$48+'TUSD CVA'!$AM$48)*1</f>
        <v>969.52247148289666</v>
      </c>
      <c r="AA400" s="4">
        <f>('TE BE'!$AA$39+'TE BF'!$AA$39+'TE CVA'!$AA$39)*1</f>
        <v>260.80314197522284</v>
      </c>
      <c r="AB400" s="4">
        <f>$K$400*$V$400</f>
        <v>0</v>
      </c>
      <c r="AC400" s="4">
        <f>$M$400*$W$400</f>
        <v>79.241</v>
      </c>
      <c r="AD400" s="4">
        <f>$O$400*$X$400</f>
        <v>23.133000000000003</v>
      </c>
      <c r="AE400" s="4">
        <f>$K$400*$Y$400</f>
        <v>0</v>
      </c>
      <c r="AF400" s="4">
        <f ca="1">$M$400*$Z$400</f>
        <v>96.952247148289672</v>
      </c>
      <c r="AG400" s="4">
        <f>$O$400*$AA$400</f>
        <v>26.080314197522284</v>
      </c>
    </row>
    <row r="401" spans="1:33" ht="11.25" customHeight="1" x14ac:dyDescent="0.25">
      <c r="A401" s="3" t="s">
        <v>21</v>
      </c>
      <c r="B401" s="3" t="s">
        <v>39</v>
      </c>
      <c r="C401" s="3" t="s">
        <v>23</v>
      </c>
      <c r="D401" s="3" t="s">
        <v>51</v>
      </c>
      <c r="E401" s="3" t="s">
        <v>25</v>
      </c>
      <c r="F401" s="3" t="s">
        <v>25</v>
      </c>
      <c r="G401" s="3" t="s">
        <v>25</v>
      </c>
      <c r="H401" s="3" t="s">
        <v>25</v>
      </c>
      <c r="I401" s="6">
        <v>44348</v>
      </c>
      <c r="J401" s="4">
        <v>0</v>
      </c>
      <c r="K401" s="4">
        <v>0</v>
      </c>
      <c r="L401" s="4">
        <v>2.044</v>
      </c>
      <c r="M401" s="4">
        <v>2.044</v>
      </c>
      <c r="N401" s="4">
        <v>2.044</v>
      </c>
      <c r="O401" s="4">
        <v>2.044</v>
      </c>
      <c r="P401" s="4">
        <v>5</v>
      </c>
      <c r="Q401" s="3" t="s">
        <v>26</v>
      </c>
      <c r="R401" s="3">
        <v>0</v>
      </c>
      <c r="S401" s="4">
        <v>0</v>
      </c>
      <c r="T401" s="4">
        <v>39</v>
      </c>
      <c r="U401" s="4">
        <v>73</v>
      </c>
      <c r="V401" s="4">
        <f>IF(ISERROR(VLOOKUP($S$401,'TAR FIN'!$A$1:$O$85,15,0)),0,VLOOKUP($S$401,'TAR FIN'!$A$1:$O$85,15,0))</f>
        <v>0</v>
      </c>
      <c r="W401" s="4">
        <f>IF(ISERROR(VLOOKUP($T$401,'TAR FIN'!$A$1:$O$85,15,0)),0,VLOOKUP($T$401,'TAR FIN'!$A$1:$O$85,15,0))</f>
        <v>792.41</v>
      </c>
      <c r="X401" s="4">
        <f>IF(ISERROR(VLOOKUP($U$401,'TAR FIN'!$A$1:$O$85,15,0)),0,VLOOKUP($U$401,'TAR FIN'!$A$1:$O$85,15,0))</f>
        <v>231.33</v>
      </c>
      <c r="Y401" s="4"/>
      <c r="Z401" s="4">
        <f ca="1">('TUSD BE'!$AM$48+'TUSD BF'!$AM$48+'TUSD CVA'!$AM$48)*1</f>
        <v>969.52247148289666</v>
      </c>
      <c r="AA401" s="4">
        <f>('TE BE'!$AA$39+'TE BF'!$AA$39+'TE CVA'!$AA$39)*1</f>
        <v>260.80314197522284</v>
      </c>
      <c r="AB401" s="4">
        <f>$K$401*$V$401</f>
        <v>0</v>
      </c>
      <c r="AC401" s="4">
        <f>$M$401*$W$401</f>
        <v>1619.68604</v>
      </c>
      <c r="AD401" s="4">
        <f>$O$401*$X$401</f>
        <v>472.83852000000002</v>
      </c>
      <c r="AE401" s="4">
        <f>$K$401*$Y$401</f>
        <v>0</v>
      </c>
      <c r="AF401" s="4">
        <f ca="1">$M$401*$Z$401</f>
        <v>1981.7039317110409</v>
      </c>
      <c r="AG401" s="4">
        <f>$O$401*$AA$401</f>
        <v>533.0816221973555</v>
      </c>
    </row>
    <row r="402" spans="1:33" ht="11.25" customHeight="1" x14ac:dyDescent="0.25">
      <c r="A402" s="3" t="s">
        <v>28</v>
      </c>
      <c r="B402" s="3" t="s">
        <v>39</v>
      </c>
      <c r="C402" s="3" t="s">
        <v>23</v>
      </c>
      <c r="D402" s="3" t="s">
        <v>51</v>
      </c>
      <c r="E402" s="3" t="s">
        <v>25</v>
      </c>
      <c r="F402" s="3" t="s">
        <v>25</v>
      </c>
      <c r="G402" s="3" t="s">
        <v>25</v>
      </c>
      <c r="H402" s="3" t="s">
        <v>25</v>
      </c>
      <c r="I402" s="6">
        <v>44348</v>
      </c>
      <c r="J402" s="4">
        <v>0</v>
      </c>
      <c r="K402" s="4">
        <v>0</v>
      </c>
      <c r="L402" s="4">
        <v>0.1</v>
      </c>
      <c r="M402" s="4">
        <v>0.1</v>
      </c>
      <c r="N402" s="4">
        <v>0.1</v>
      </c>
      <c r="O402" s="4">
        <v>0.1</v>
      </c>
      <c r="P402" s="4">
        <v>1</v>
      </c>
      <c r="Q402" s="3" t="s">
        <v>26</v>
      </c>
      <c r="R402" s="3">
        <v>0</v>
      </c>
      <c r="S402" s="4">
        <v>0</v>
      </c>
      <c r="T402" s="4">
        <v>39</v>
      </c>
      <c r="U402" s="4">
        <v>73</v>
      </c>
      <c r="V402" s="4">
        <f>IF(ISERROR(VLOOKUP($S$402,'TAR FIN'!$A$1:$O$85,15,0)),0,VLOOKUP($S$402,'TAR FIN'!$A$1:$O$85,15,0))</f>
        <v>0</v>
      </c>
      <c r="W402" s="4">
        <f>IF(ISERROR(VLOOKUP($T$402,'TAR FIN'!$A$1:$O$85,15,0)),0,VLOOKUP($T$402,'TAR FIN'!$A$1:$O$85,15,0))</f>
        <v>792.41</v>
      </c>
      <c r="X402" s="4">
        <f>IF(ISERROR(VLOOKUP($U$402,'TAR FIN'!$A$1:$O$85,15,0)),0,VLOOKUP($U$402,'TAR FIN'!$A$1:$O$85,15,0))</f>
        <v>231.33</v>
      </c>
      <c r="Y402" s="4"/>
      <c r="Z402" s="4">
        <f ca="1">('TUSD BE'!$AM$48+'TUSD BF'!$AM$48+'TUSD CVA'!$AM$48)*1</f>
        <v>969.52247148289666</v>
      </c>
      <c r="AA402" s="4">
        <f>('TE BE'!$AA$39+'TE BF'!$AA$39+'TE CVA'!$AA$39)*1</f>
        <v>260.80314197522284</v>
      </c>
      <c r="AB402" s="4">
        <f>$K$402*$V$402</f>
        <v>0</v>
      </c>
      <c r="AC402" s="4">
        <f>$M$402*$W$402</f>
        <v>79.241</v>
      </c>
      <c r="AD402" s="4">
        <f>$O$402*$X$402</f>
        <v>23.133000000000003</v>
      </c>
      <c r="AE402" s="4">
        <f>$K$402*$Y$402</f>
        <v>0</v>
      </c>
      <c r="AF402" s="4">
        <f ca="1">$M$402*$Z$402</f>
        <v>96.952247148289672</v>
      </c>
      <c r="AG402" s="4">
        <f>$O$402*$AA$402</f>
        <v>26.080314197522284</v>
      </c>
    </row>
    <row r="403" spans="1:33" ht="11.25" customHeight="1" x14ac:dyDescent="0.25">
      <c r="A403" s="3" t="s">
        <v>21</v>
      </c>
      <c r="B403" s="3" t="s">
        <v>39</v>
      </c>
      <c r="C403" s="3" t="s">
        <v>23</v>
      </c>
      <c r="D403" s="3" t="s">
        <v>51</v>
      </c>
      <c r="E403" s="3" t="s">
        <v>25</v>
      </c>
      <c r="F403" s="3" t="s">
        <v>25</v>
      </c>
      <c r="G403" s="3" t="s">
        <v>25</v>
      </c>
      <c r="H403" s="3" t="s">
        <v>25</v>
      </c>
      <c r="I403" s="6">
        <v>44378</v>
      </c>
      <c r="J403" s="4">
        <v>0</v>
      </c>
      <c r="K403" s="4">
        <v>0</v>
      </c>
      <c r="L403" s="4">
        <v>0.254</v>
      </c>
      <c r="M403" s="4">
        <v>0.254</v>
      </c>
      <c r="N403" s="4">
        <v>0.254</v>
      </c>
      <c r="O403" s="4">
        <v>0.254</v>
      </c>
      <c r="P403" s="4">
        <v>4</v>
      </c>
      <c r="Q403" s="3" t="s">
        <v>26</v>
      </c>
      <c r="R403" s="3">
        <v>0</v>
      </c>
      <c r="S403" s="4">
        <v>0</v>
      </c>
      <c r="T403" s="4">
        <v>39</v>
      </c>
      <c r="U403" s="4">
        <v>73</v>
      </c>
      <c r="V403" s="4">
        <f>IF(ISERROR(VLOOKUP($S$403,'TAR FIN'!$A$1:$O$85,15,0)),0,VLOOKUP($S$403,'TAR FIN'!$A$1:$O$85,15,0))</f>
        <v>0</v>
      </c>
      <c r="W403" s="4">
        <f>IF(ISERROR(VLOOKUP($T$403,'TAR FIN'!$A$1:$O$85,15,0)),0,VLOOKUP($T$403,'TAR FIN'!$A$1:$O$85,15,0))</f>
        <v>792.41</v>
      </c>
      <c r="X403" s="4">
        <f>IF(ISERROR(VLOOKUP($U$403,'TAR FIN'!$A$1:$O$85,15,0)),0,VLOOKUP($U$403,'TAR FIN'!$A$1:$O$85,15,0))</f>
        <v>231.33</v>
      </c>
      <c r="Y403" s="4"/>
      <c r="Z403" s="4">
        <f ca="1">('TUSD BE'!$AM$48+'TUSD BF'!$AM$48+'TUSD CVA'!$AM$48)*1</f>
        <v>969.52247148289666</v>
      </c>
      <c r="AA403" s="4">
        <f>('TE BE'!$AA$39+'TE BF'!$AA$39+'TE CVA'!$AA$39)*1</f>
        <v>260.80314197522284</v>
      </c>
      <c r="AB403" s="4">
        <f>$K$403*$V$403</f>
        <v>0</v>
      </c>
      <c r="AC403" s="4">
        <f>$M$403*$W$403</f>
        <v>201.27214000000001</v>
      </c>
      <c r="AD403" s="4">
        <f>$O$403*$X$403</f>
        <v>58.757820000000002</v>
      </c>
      <c r="AE403" s="4">
        <f>$K$403*$Y$403</f>
        <v>0</v>
      </c>
      <c r="AF403" s="4">
        <f ca="1">$M$403*$Z$403</f>
        <v>246.25870775665575</v>
      </c>
      <c r="AG403" s="4">
        <f>$O$403*$AA$403</f>
        <v>66.243998061706606</v>
      </c>
    </row>
    <row r="404" spans="1:33" ht="11.25" customHeight="1" x14ac:dyDescent="0.25">
      <c r="A404" s="3" t="s">
        <v>28</v>
      </c>
      <c r="B404" s="3" t="s">
        <v>39</v>
      </c>
      <c r="C404" s="3" t="s">
        <v>23</v>
      </c>
      <c r="D404" s="3" t="s">
        <v>51</v>
      </c>
      <c r="E404" s="3" t="s">
        <v>25</v>
      </c>
      <c r="F404" s="3" t="s">
        <v>25</v>
      </c>
      <c r="G404" s="3" t="s">
        <v>25</v>
      </c>
      <c r="H404" s="3" t="s">
        <v>25</v>
      </c>
      <c r="I404" s="6">
        <v>44378</v>
      </c>
      <c r="J404" s="4">
        <v>0</v>
      </c>
      <c r="K404" s="4">
        <v>0</v>
      </c>
      <c r="L404" s="4">
        <v>1.4650000000000001</v>
      </c>
      <c r="M404" s="4">
        <v>1.4650000000000001</v>
      </c>
      <c r="N404" s="4">
        <v>1.4650000000000001</v>
      </c>
      <c r="O404" s="4">
        <v>1.4650000000000001</v>
      </c>
      <c r="P404" s="4">
        <v>2</v>
      </c>
      <c r="Q404" s="3" t="s">
        <v>26</v>
      </c>
      <c r="R404" s="3">
        <v>0</v>
      </c>
      <c r="S404" s="4">
        <v>0</v>
      </c>
      <c r="T404" s="4">
        <v>39</v>
      </c>
      <c r="U404" s="4">
        <v>73</v>
      </c>
      <c r="V404" s="4">
        <f>IF(ISERROR(VLOOKUP($S$404,'TAR FIN'!$A$1:$O$85,15,0)),0,VLOOKUP($S$404,'TAR FIN'!$A$1:$O$85,15,0))</f>
        <v>0</v>
      </c>
      <c r="W404" s="4">
        <f>IF(ISERROR(VLOOKUP($T$404,'TAR FIN'!$A$1:$O$85,15,0)),0,VLOOKUP($T$404,'TAR FIN'!$A$1:$O$85,15,0))</f>
        <v>792.41</v>
      </c>
      <c r="X404" s="4">
        <f>IF(ISERROR(VLOOKUP($U$404,'TAR FIN'!$A$1:$O$85,15,0)),0,VLOOKUP($U$404,'TAR FIN'!$A$1:$O$85,15,0))</f>
        <v>231.33</v>
      </c>
      <c r="Y404" s="4"/>
      <c r="Z404" s="4">
        <f ca="1">('TUSD BE'!$AM$48+'TUSD BF'!$AM$48+'TUSD CVA'!$AM$48)*1</f>
        <v>969.52247148289666</v>
      </c>
      <c r="AA404" s="4">
        <f>('TE BE'!$AA$39+'TE BF'!$AA$39+'TE CVA'!$AA$39)*1</f>
        <v>260.80314197522284</v>
      </c>
      <c r="AB404" s="4">
        <f>$K$404*$V$404</f>
        <v>0</v>
      </c>
      <c r="AC404" s="4">
        <f>$M$404*$W$404</f>
        <v>1160.8806500000001</v>
      </c>
      <c r="AD404" s="4">
        <f>$O$404*$X$404</f>
        <v>338.89845000000003</v>
      </c>
      <c r="AE404" s="4">
        <f>$K$404*$Y$404</f>
        <v>0</v>
      </c>
      <c r="AF404" s="4">
        <f ca="1">$M$404*$Z$404</f>
        <v>1420.3504207224437</v>
      </c>
      <c r="AG404" s="4">
        <f>$O$404*$AA$404</f>
        <v>382.0766029937015</v>
      </c>
    </row>
    <row r="405" spans="1:33" ht="11.25" customHeight="1" x14ac:dyDescent="0.25">
      <c r="A405" s="3" t="s">
        <v>21</v>
      </c>
      <c r="B405" s="3" t="s">
        <v>39</v>
      </c>
      <c r="C405" s="3" t="s">
        <v>23</v>
      </c>
      <c r="D405" s="3" t="s">
        <v>51</v>
      </c>
      <c r="E405" s="3" t="s">
        <v>25</v>
      </c>
      <c r="F405" s="3" t="s">
        <v>25</v>
      </c>
      <c r="G405" s="3" t="s">
        <v>25</v>
      </c>
      <c r="H405" s="3" t="s">
        <v>25</v>
      </c>
      <c r="I405" s="6">
        <v>44409</v>
      </c>
      <c r="J405" s="4">
        <v>0</v>
      </c>
      <c r="K405" s="4">
        <v>0</v>
      </c>
      <c r="L405" s="4">
        <v>0.24199999999999999</v>
      </c>
      <c r="M405" s="4">
        <v>0.24199999999999999</v>
      </c>
      <c r="N405" s="4">
        <v>0.24199999999999999</v>
      </c>
      <c r="O405" s="4">
        <v>0.24199999999999999</v>
      </c>
      <c r="P405" s="4">
        <v>4</v>
      </c>
      <c r="Q405" s="3" t="s">
        <v>26</v>
      </c>
      <c r="R405" s="3">
        <v>0</v>
      </c>
      <c r="S405" s="4">
        <v>0</v>
      </c>
      <c r="T405" s="4">
        <v>39</v>
      </c>
      <c r="U405" s="4">
        <v>73</v>
      </c>
      <c r="V405" s="4">
        <f>IF(ISERROR(VLOOKUP($S$405,'TAR FIN'!$A$1:$O$85,15,0)),0,VLOOKUP($S$405,'TAR FIN'!$A$1:$O$85,15,0))</f>
        <v>0</v>
      </c>
      <c r="W405" s="4">
        <f>IF(ISERROR(VLOOKUP($T$405,'TAR FIN'!$A$1:$O$85,15,0)),0,VLOOKUP($T$405,'TAR FIN'!$A$1:$O$85,15,0))</f>
        <v>792.41</v>
      </c>
      <c r="X405" s="4">
        <f>IF(ISERROR(VLOOKUP($U$405,'TAR FIN'!$A$1:$O$85,15,0)),0,VLOOKUP($U$405,'TAR FIN'!$A$1:$O$85,15,0))</f>
        <v>231.33</v>
      </c>
      <c r="Y405" s="4"/>
      <c r="Z405" s="4">
        <f ca="1">('TUSD BE'!$AM$48+'TUSD BF'!$AM$48+'TUSD CVA'!$AM$48)*1</f>
        <v>969.52247148289666</v>
      </c>
      <c r="AA405" s="4">
        <f>('TE BE'!$AA$39+'TE BF'!$AA$39+'TE CVA'!$AA$39)*1</f>
        <v>260.80314197522284</v>
      </c>
      <c r="AB405" s="4">
        <f>$K$405*$V$405</f>
        <v>0</v>
      </c>
      <c r="AC405" s="4">
        <f>$M$405*$W$405</f>
        <v>191.76321999999999</v>
      </c>
      <c r="AD405" s="4">
        <f>$O$405*$X$405</f>
        <v>55.981860000000005</v>
      </c>
      <c r="AE405" s="4">
        <f>$K$405*$Y$405</f>
        <v>0</v>
      </c>
      <c r="AF405" s="4">
        <f ca="1">$M$405*$Z$405</f>
        <v>234.62443809886099</v>
      </c>
      <c r="AG405" s="4">
        <f>$O$405*$AA$405</f>
        <v>63.114360358003928</v>
      </c>
    </row>
    <row r="406" spans="1:33" ht="11.25" customHeight="1" x14ac:dyDescent="0.25">
      <c r="A406" s="3" t="s">
        <v>28</v>
      </c>
      <c r="B406" s="3" t="s">
        <v>39</v>
      </c>
      <c r="C406" s="3" t="s">
        <v>23</v>
      </c>
      <c r="D406" s="3" t="s">
        <v>51</v>
      </c>
      <c r="E406" s="3" t="s">
        <v>25</v>
      </c>
      <c r="F406" s="3" t="s">
        <v>25</v>
      </c>
      <c r="G406" s="3" t="s">
        <v>25</v>
      </c>
      <c r="H406" s="3" t="s">
        <v>25</v>
      </c>
      <c r="I406" s="6">
        <v>44409</v>
      </c>
      <c r="J406" s="4">
        <v>0</v>
      </c>
      <c r="K406" s="4">
        <v>0</v>
      </c>
      <c r="L406" s="4">
        <v>1.3680000000000001</v>
      </c>
      <c r="M406" s="4">
        <v>1.3680000000000001</v>
      </c>
      <c r="N406" s="4">
        <v>1.3680000000000001</v>
      </c>
      <c r="O406" s="4">
        <v>1.3680000000000001</v>
      </c>
      <c r="P406" s="4">
        <v>2</v>
      </c>
      <c r="Q406" s="3" t="s">
        <v>26</v>
      </c>
      <c r="R406" s="3">
        <v>0</v>
      </c>
      <c r="S406" s="4">
        <v>0</v>
      </c>
      <c r="T406" s="4">
        <v>39</v>
      </c>
      <c r="U406" s="4">
        <v>73</v>
      </c>
      <c r="V406" s="4">
        <f>IF(ISERROR(VLOOKUP($S$406,'TAR FIN'!$A$1:$O$85,15,0)),0,VLOOKUP($S$406,'TAR FIN'!$A$1:$O$85,15,0))</f>
        <v>0</v>
      </c>
      <c r="W406" s="4">
        <f>IF(ISERROR(VLOOKUP($T$406,'TAR FIN'!$A$1:$O$85,15,0)),0,VLOOKUP($T$406,'TAR FIN'!$A$1:$O$85,15,0))</f>
        <v>792.41</v>
      </c>
      <c r="X406" s="4">
        <f>IF(ISERROR(VLOOKUP($U$406,'TAR FIN'!$A$1:$O$85,15,0)),0,VLOOKUP($U$406,'TAR FIN'!$A$1:$O$85,15,0))</f>
        <v>231.33</v>
      </c>
      <c r="Y406" s="4"/>
      <c r="Z406" s="4">
        <f ca="1">('TUSD BE'!$AM$48+'TUSD BF'!$AM$48+'TUSD CVA'!$AM$48)*1</f>
        <v>969.52247148289666</v>
      </c>
      <c r="AA406" s="4">
        <f>('TE BE'!$AA$39+'TE BF'!$AA$39+'TE CVA'!$AA$39)*1</f>
        <v>260.80314197522284</v>
      </c>
      <c r="AB406" s="4">
        <f>$K$406*$V$406</f>
        <v>0</v>
      </c>
      <c r="AC406" s="4">
        <f>$M$406*$W$406</f>
        <v>1084.0168800000001</v>
      </c>
      <c r="AD406" s="4">
        <f>$O$406*$X$406</f>
        <v>316.45944000000003</v>
      </c>
      <c r="AE406" s="4">
        <f>$K$406*$Y$406</f>
        <v>0</v>
      </c>
      <c r="AF406" s="4">
        <f ca="1">$M$406*$Z$406</f>
        <v>1326.3067409886028</v>
      </c>
      <c r="AG406" s="4">
        <f>$O$406*$AA$406</f>
        <v>356.77869822210488</v>
      </c>
    </row>
    <row r="407" spans="1:33" ht="11.25" customHeight="1" x14ac:dyDescent="0.25">
      <c r="A407" s="3" t="s">
        <v>21</v>
      </c>
      <c r="B407" s="3" t="s">
        <v>39</v>
      </c>
      <c r="C407" s="3" t="s">
        <v>23</v>
      </c>
      <c r="D407" s="3" t="s">
        <v>51</v>
      </c>
      <c r="E407" s="3" t="s">
        <v>25</v>
      </c>
      <c r="F407" s="3" t="s">
        <v>25</v>
      </c>
      <c r="G407" s="3" t="s">
        <v>25</v>
      </c>
      <c r="H407" s="3" t="s">
        <v>25</v>
      </c>
      <c r="I407" s="6">
        <v>44440</v>
      </c>
      <c r="J407" s="4">
        <v>0</v>
      </c>
      <c r="K407" s="4">
        <v>0</v>
      </c>
      <c r="L407" s="4">
        <v>2.2010000000000001</v>
      </c>
      <c r="M407" s="4">
        <v>2.2010000000000001</v>
      </c>
      <c r="N407" s="4">
        <v>2.2010000000000001</v>
      </c>
      <c r="O407" s="4">
        <v>2.2010000000000001</v>
      </c>
      <c r="P407" s="4">
        <v>5</v>
      </c>
      <c r="Q407" s="3" t="s">
        <v>26</v>
      </c>
      <c r="R407" s="3">
        <v>0</v>
      </c>
      <c r="S407" s="4">
        <v>0</v>
      </c>
      <c r="T407" s="4">
        <v>39</v>
      </c>
      <c r="U407" s="4">
        <v>73</v>
      </c>
      <c r="V407" s="4">
        <f>IF(ISERROR(VLOOKUP($S$407,'TAR FIN'!$A$1:$O$85,15,0)),0,VLOOKUP($S$407,'TAR FIN'!$A$1:$O$85,15,0))</f>
        <v>0</v>
      </c>
      <c r="W407" s="4">
        <f>IF(ISERROR(VLOOKUP($T$407,'TAR FIN'!$A$1:$O$85,15,0)),0,VLOOKUP($T$407,'TAR FIN'!$A$1:$O$85,15,0))</f>
        <v>792.41</v>
      </c>
      <c r="X407" s="4">
        <f>IF(ISERROR(VLOOKUP($U$407,'TAR FIN'!$A$1:$O$85,15,0)),0,VLOOKUP($U$407,'TAR FIN'!$A$1:$O$85,15,0))</f>
        <v>231.33</v>
      </c>
      <c r="Y407" s="4"/>
      <c r="Z407" s="4">
        <f ca="1">('TUSD BE'!$AM$48+'TUSD BF'!$AM$48+'TUSD CVA'!$AM$48)*1</f>
        <v>969.52247148289666</v>
      </c>
      <c r="AA407" s="4">
        <f>('TE BE'!$AA$39+'TE BF'!$AA$39+'TE CVA'!$AA$39)*1</f>
        <v>260.80314197522284</v>
      </c>
      <c r="AB407" s="4">
        <f>$K$407*$V$407</f>
        <v>0</v>
      </c>
      <c r="AC407" s="4">
        <f>$M$407*$W$407</f>
        <v>1744.0944099999999</v>
      </c>
      <c r="AD407" s="4">
        <f>$O$407*$X$407</f>
        <v>509.15733000000006</v>
      </c>
      <c r="AE407" s="4">
        <f>$K$407*$Y$407</f>
        <v>0</v>
      </c>
      <c r="AF407" s="4">
        <f ca="1">$M$407*$Z$407</f>
        <v>2133.9189597338554</v>
      </c>
      <c r="AG407" s="4">
        <f>$O$407*$AA$407</f>
        <v>574.02771548746546</v>
      </c>
    </row>
    <row r="408" spans="1:33" ht="11.25" customHeight="1" x14ac:dyDescent="0.25">
      <c r="A408" s="3" t="s">
        <v>28</v>
      </c>
      <c r="B408" s="3" t="s">
        <v>39</v>
      </c>
      <c r="C408" s="3" t="s">
        <v>23</v>
      </c>
      <c r="D408" s="3" t="s">
        <v>51</v>
      </c>
      <c r="E408" s="3" t="s">
        <v>25</v>
      </c>
      <c r="F408" s="3" t="s">
        <v>25</v>
      </c>
      <c r="G408" s="3" t="s">
        <v>25</v>
      </c>
      <c r="H408" s="3" t="s">
        <v>25</v>
      </c>
      <c r="I408" s="6">
        <v>44440</v>
      </c>
      <c r="J408" s="4">
        <v>0</v>
      </c>
      <c r="K408" s="4">
        <v>0</v>
      </c>
      <c r="L408" s="4">
        <v>0.1</v>
      </c>
      <c r="M408" s="4">
        <v>0.1</v>
      </c>
      <c r="N408" s="4">
        <v>0.1</v>
      </c>
      <c r="O408" s="4">
        <v>0.1</v>
      </c>
      <c r="P408" s="4">
        <v>1</v>
      </c>
      <c r="Q408" s="3" t="s">
        <v>26</v>
      </c>
      <c r="R408" s="3">
        <v>0</v>
      </c>
      <c r="S408" s="4">
        <v>0</v>
      </c>
      <c r="T408" s="4">
        <v>39</v>
      </c>
      <c r="U408" s="4">
        <v>73</v>
      </c>
      <c r="V408" s="4">
        <f>IF(ISERROR(VLOOKUP($S$408,'TAR FIN'!$A$1:$O$85,15,0)),0,VLOOKUP($S$408,'TAR FIN'!$A$1:$O$85,15,0))</f>
        <v>0</v>
      </c>
      <c r="W408" s="4">
        <f>IF(ISERROR(VLOOKUP($T$408,'TAR FIN'!$A$1:$O$85,15,0)),0,VLOOKUP($T$408,'TAR FIN'!$A$1:$O$85,15,0))</f>
        <v>792.41</v>
      </c>
      <c r="X408" s="4">
        <f>IF(ISERROR(VLOOKUP($U$408,'TAR FIN'!$A$1:$O$85,15,0)),0,VLOOKUP($U$408,'TAR FIN'!$A$1:$O$85,15,0))</f>
        <v>231.33</v>
      </c>
      <c r="Y408" s="4"/>
      <c r="Z408" s="4">
        <f ca="1">('TUSD BE'!$AM$48+'TUSD BF'!$AM$48+'TUSD CVA'!$AM$48)*1</f>
        <v>969.52247148289666</v>
      </c>
      <c r="AA408" s="4">
        <f>('TE BE'!$AA$39+'TE BF'!$AA$39+'TE CVA'!$AA$39)*1</f>
        <v>260.80314197522284</v>
      </c>
      <c r="AB408" s="4">
        <f>$K$408*$V$408</f>
        <v>0</v>
      </c>
      <c r="AC408" s="4">
        <f>$M$408*$W$408</f>
        <v>79.241</v>
      </c>
      <c r="AD408" s="4">
        <f>$O$408*$X$408</f>
        <v>23.133000000000003</v>
      </c>
      <c r="AE408" s="4">
        <f>$K$408*$Y$408</f>
        <v>0</v>
      </c>
      <c r="AF408" s="4">
        <f ca="1">$M$408*$Z$408</f>
        <v>96.952247148289672</v>
      </c>
      <c r="AG408" s="4">
        <f>$O$408*$AA$408</f>
        <v>26.080314197522284</v>
      </c>
    </row>
    <row r="409" spans="1:33" ht="11.25" customHeight="1" x14ac:dyDescent="0.25">
      <c r="A409" s="3" t="s">
        <v>21</v>
      </c>
      <c r="B409" s="3" t="s">
        <v>39</v>
      </c>
      <c r="C409" s="3" t="s">
        <v>23</v>
      </c>
      <c r="D409" s="3" t="s">
        <v>51</v>
      </c>
      <c r="E409" s="3" t="s">
        <v>25</v>
      </c>
      <c r="F409" s="3" t="s">
        <v>25</v>
      </c>
      <c r="G409" s="3" t="s">
        <v>25</v>
      </c>
      <c r="H409" s="3" t="s">
        <v>25</v>
      </c>
      <c r="I409" s="6">
        <v>44470</v>
      </c>
      <c r="J409" s="4">
        <v>0</v>
      </c>
      <c r="K409" s="4">
        <v>0</v>
      </c>
      <c r="L409" s="4">
        <v>2.4359999999999999</v>
      </c>
      <c r="M409" s="4">
        <v>2.4359999999999999</v>
      </c>
      <c r="N409" s="4">
        <v>2.4359999999999999</v>
      </c>
      <c r="O409" s="4">
        <v>2.4359999999999999</v>
      </c>
      <c r="P409" s="4">
        <v>5</v>
      </c>
      <c r="Q409" s="3" t="s">
        <v>26</v>
      </c>
      <c r="R409" s="3">
        <v>0</v>
      </c>
      <c r="S409" s="4">
        <v>0</v>
      </c>
      <c r="T409" s="4">
        <v>39</v>
      </c>
      <c r="U409" s="4">
        <v>73</v>
      </c>
      <c r="V409" s="4">
        <f>IF(ISERROR(VLOOKUP($S$409,'TAR FIN'!$A$1:$O$85,15,0)),0,VLOOKUP($S$409,'TAR FIN'!$A$1:$O$85,15,0))</f>
        <v>0</v>
      </c>
      <c r="W409" s="4">
        <f>IF(ISERROR(VLOOKUP($T$409,'TAR FIN'!$A$1:$O$85,15,0)),0,VLOOKUP($T$409,'TAR FIN'!$A$1:$O$85,15,0))</f>
        <v>792.41</v>
      </c>
      <c r="X409" s="4">
        <f>IF(ISERROR(VLOOKUP($U$409,'TAR FIN'!$A$1:$O$85,15,0)),0,VLOOKUP($U$409,'TAR FIN'!$A$1:$O$85,15,0))</f>
        <v>231.33</v>
      </c>
      <c r="Y409" s="4"/>
      <c r="Z409" s="4">
        <f ca="1">('TUSD BE'!$AM$48+'TUSD BF'!$AM$48+'TUSD CVA'!$AM$48)*1</f>
        <v>969.52247148289666</v>
      </c>
      <c r="AA409" s="4">
        <f>('TE BE'!$AA$39+'TE BF'!$AA$39+'TE CVA'!$AA$39)*1</f>
        <v>260.80314197522284</v>
      </c>
      <c r="AB409" s="4">
        <f>$K$409*$V$409</f>
        <v>0</v>
      </c>
      <c r="AC409" s="4">
        <f>$M$409*$W$409</f>
        <v>1930.3107599999998</v>
      </c>
      <c r="AD409" s="4">
        <f>$O$409*$X$409</f>
        <v>563.51988000000006</v>
      </c>
      <c r="AE409" s="4">
        <f>$K$409*$Y$409</f>
        <v>0</v>
      </c>
      <c r="AF409" s="4">
        <f ca="1">$M$409*$Z$409</f>
        <v>2361.7567405323362</v>
      </c>
      <c r="AG409" s="4">
        <f>$O$409*$AA$409</f>
        <v>635.31645385164279</v>
      </c>
    </row>
    <row r="410" spans="1:33" ht="11.25" customHeight="1" x14ac:dyDescent="0.25">
      <c r="A410" s="3" t="s">
        <v>28</v>
      </c>
      <c r="B410" s="3" t="s">
        <v>39</v>
      </c>
      <c r="C410" s="3" t="s">
        <v>23</v>
      </c>
      <c r="D410" s="3" t="s">
        <v>51</v>
      </c>
      <c r="E410" s="3" t="s">
        <v>25</v>
      </c>
      <c r="F410" s="3" t="s">
        <v>25</v>
      </c>
      <c r="G410" s="3" t="s">
        <v>25</v>
      </c>
      <c r="H410" s="3" t="s">
        <v>25</v>
      </c>
      <c r="I410" s="6">
        <v>44470</v>
      </c>
      <c r="J410" s="4">
        <v>0</v>
      </c>
      <c r="K410" s="4">
        <v>0</v>
      </c>
      <c r="L410" s="4">
        <v>0.1</v>
      </c>
      <c r="M410" s="4">
        <v>0.1</v>
      </c>
      <c r="N410" s="4">
        <v>0.1</v>
      </c>
      <c r="O410" s="4">
        <v>0.1</v>
      </c>
      <c r="P410" s="4">
        <v>1</v>
      </c>
      <c r="Q410" s="3" t="s">
        <v>26</v>
      </c>
      <c r="R410" s="3">
        <v>0</v>
      </c>
      <c r="S410" s="4">
        <v>0</v>
      </c>
      <c r="T410" s="4">
        <v>39</v>
      </c>
      <c r="U410" s="4">
        <v>73</v>
      </c>
      <c r="V410" s="4">
        <f>IF(ISERROR(VLOOKUP($S$410,'TAR FIN'!$A$1:$O$85,15,0)),0,VLOOKUP($S$410,'TAR FIN'!$A$1:$O$85,15,0))</f>
        <v>0</v>
      </c>
      <c r="W410" s="4">
        <f>IF(ISERROR(VLOOKUP($T$410,'TAR FIN'!$A$1:$O$85,15,0)),0,VLOOKUP($T$410,'TAR FIN'!$A$1:$O$85,15,0))</f>
        <v>792.41</v>
      </c>
      <c r="X410" s="4">
        <f>IF(ISERROR(VLOOKUP($U$410,'TAR FIN'!$A$1:$O$85,15,0)),0,VLOOKUP($U$410,'TAR FIN'!$A$1:$O$85,15,0))</f>
        <v>231.33</v>
      </c>
      <c r="Y410" s="4"/>
      <c r="Z410" s="4">
        <f ca="1">('TUSD BE'!$AM$48+'TUSD BF'!$AM$48+'TUSD CVA'!$AM$48)*1</f>
        <v>969.52247148289666</v>
      </c>
      <c r="AA410" s="4">
        <f>('TE BE'!$AA$39+'TE BF'!$AA$39+'TE CVA'!$AA$39)*1</f>
        <v>260.80314197522284</v>
      </c>
      <c r="AB410" s="4">
        <f>$K$410*$V$410</f>
        <v>0</v>
      </c>
      <c r="AC410" s="4">
        <f>$M$410*$W$410</f>
        <v>79.241</v>
      </c>
      <c r="AD410" s="4">
        <f>$O$410*$X$410</f>
        <v>23.133000000000003</v>
      </c>
      <c r="AE410" s="4">
        <f>$K$410*$Y$410</f>
        <v>0</v>
      </c>
      <c r="AF410" s="4">
        <f ca="1">$M$410*$Z$410</f>
        <v>96.952247148289672</v>
      </c>
      <c r="AG410" s="4">
        <f>$O$410*$AA$410</f>
        <v>26.080314197522284</v>
      </c>
    </row>
    <row r="411" spans="1:33" ht="11.25" customHeight="1" x14ac:dyDescent="0.25">
      <c r="A411" s="3" t="s">
        <v>21</v>
      </c>
      <c r="B411" s="3" t="s">
        <v>39</v>
      </c>
      <c r="C411" s="3" t="s">
        <v>23</v>
      </c>
      <c r="D411" s="3" t="s">
        <v>51</v>
      </c>
      <c r="E411" s="3" t="s">
        <v>25</v>
      </c>
      <c r="F411" s="3" t="s">
        <v>25</v>
      </c>
      <c r="G411" s="3" t="s">
        <v>25</v>
      </c>
      <c r="H411" s="3" t="s">
        <v>25</v>
      </c>
      <c r="I411" s="6">
        <v>44501</v>
      </c>
      <c r="J411" s="4">
        <v>0</v>
      </c>
      <c r="K411" s="4">
        <v>0</v>
      </c>
      <c r="L411" s="4">
        <v>2.31</v>
      </c>
      <c r="M411" s="4">
        <v>2.31</v>
      </c>
      <c r="N411" s="4">
        <v>2.31</v>
      </c>
      <c r="O411" s="4">
        <v>2.31</v>
      </c>
      <c r="P411" s="4">
        <v>5</v>
      </c>
      <c r="Q411" s="3" t="s">
        <v>26</v>
      </c>
      <c r="R411" s="3">
        <v>0</v>
      </c>
      <c r="S411" s="4">
        <v>0</v>
      </c>
      <c r="T411" s="4">
        <v>39</v>
      </c>
      <c r="U411" s="4">
        <v>73</v>
      </c>
      <c r="V411" s="4">
        <f>IF(ISERROR(VLOOKUP($S$411,'TAR FIN'!$A$1:$O$85,15,0)),0,VLOOKUP($S$411,'TAR FIN'!$A$1:$O$85,15,0))</f>
        <v>0</v>
      </c>
      <c r="W411" s="4">
        <f>IF(ISERROR(VLOOKUP($T$411,'TAR FIN'!$A$1:$O$85,15,0)),0,VLOOKUP($T$411,'TAR FIN'!$A$1:$O$85,15,0))</f>
        <v>792.41</v>
      </c>
      <c r="X411" s="4">
        <f>IF(ISERROR(VLOOKUP($U$411,'TAR FIN'!$A$1:$O$85,15,0)),0,VLOOKUP($U$411,'TAR FIN'!$A$1:$O$85,15,0))</f>
        <v>231.33</v>
      </c>
      <c r="Y411" s="4"/>
      <c r="Z411" s="4">
        <f ca="1">('TUSD BE'!$AM$48+'TUSD BF'!$AM$48+'TUSD CVA'!$AM$48)*1</f>
        <v>969.52247148289666</v>
      </c>
      <c r="AA411" s="4">
        <f>('TE BE'!$AA$39+'TE BF'!$AA$39+'TE CVA'!$AA$39)*1</f>
        <v>260.80314197522284</v>
      </c>
      <c r="AB411" s="4">
        <f>$K$411*$V$411</f>
        <v>0</v>
      </c>
      <c r="AC411" s="4">
        <f>$M$411*$W$411</f>
        <v>1830.4671000000001</v>
      </c>
      <c r="AD411" s="4">
        <f>$O$411*$X$411</f>
        <v>534.3723</v>
      </c>
      <c r="AE411" s="4">
        <f>$K$411*$Y$411</f>
        <v>0</v>
      </c>
      <c r="AF411" s="4">
        <f ca="1">$M$411*$Z$411</f>
        <v>2239.5969091254915</v>
      </c>
      <c r="AG411" s="4">
        <f>$O$411*$AA$411</f>
        <v>602.45525796276479</v>
      </c>
    </row>
    <row r="412" spans="1:33" ht="11.25" customHeight="1" x14ac:dyDescent="0.25">
      <c r="A412" s="3" t="s">
        <v>28</v>
      </c>
      <c r="B412" s="3" t="s">
        <v>39</v>
      </c>
      <c r="C412" s="3" t="s">
        <v>23</v>
      </c>
      <c r="D412" s="3" t="s">
        <v>51</v>
      </c>
      <c r="E412" s="3" t="s">
        <v>25</v>
      </c>
      <c r="F412" s="3" t="s">
        <v>25</v>
      </c>
      <c r="G412" s="3" t="s">
        <v>25</v>
      </c>
      <c r="H412" s="3" t="s">
        <v>25</v>
      </c>
      <c r="I412" s="6">
        <v>44501</v>
      </c>
      <c r="J412" s="4">
        <v>0</v>
      </c>
      <c r="K412" s="4">
        <v>0</v>
      </c>
      <c r="L412" s="4">
        <v>0.1</v>
      </c>
      <c r="M412" s="4">
        <v>0.1</v>
      </c>
      <c r="N412" s="4">
        <v>0.1</v>
      </c>
      <c r="O412" s="4">
        <v>0.1</v>
      </c>
      <c r="P412" s="4">
        <v>1</v>
      </c>
      <c r="Q412" s="3" t="s">
        <v>26</v>
      </c>
      <c r="R412" s="3">
        <v>0</v>
      </c>
      <c r="S412" s="4">
        <v>0</v>
      </c>
      <c r="T412" s="4">
        <v>39</v>
      </c>
      <c r="U412" s="4">
        <v>73</v>
      </c>
      <c r="V412" s="4">
        <f>IF(ISERROR(VLOOKUP($S$412,'TAR FIN'!$A$1:$O$85,15,0)),0,VLOOKUP($S$412,'TAR FIN'!$A$1:$O$85,15,0))</f>
        <v>0</v>
      </c>
      <c r="W412" s="4">
        <f>IF(ISERROR(VLOOKUP($T$412,'TAR FIN'!$A$1:$O$85,15,0)),0,VLOOKUP($T$412,'TAR FIN'!$A$1:$O$85,15,0))</f>
        <v>792.41</v>
      </c>
      <c r="X412" s="4">
        <f>IF(ISERROR(VLOOKUP($U$412,'TAR FIN'!$A$1:$O$85,15,0)),0,VLOOKUP($U$412,'TAR FIN'!$A$1:$O$85,15,0))</f>
        <v>231.33</v>
      </c>
      <c r="Y412" s="4"/>
      <c r="Z412" s="4">
        <f ca="1">('TUSD BE'!$AM$48+'TUSD BF'!$AM$48+'TUSD CVA'!$AM$48)*1</f>
        <v>969.52247148289666</v>
      </c>
      <c r="AA412" s="4">
        <f>('TE BE'!$AA$39+'TE BF'!$AA$39+'TE CVA'!$AA$39)*1</f>
        <v>260.80314197522284</v>
      </c>
      <c r="AB412" s="4">
        <f>$K$412*$V$412</f>
        <v>0</v>
      </c>
      <c r="AC412" s="4">
        <f>$M$412*$W$412</f>
        <v>79.241</v>
      </c>
      <c r="AD412" s="4">
        <f>$O$412*$X$412</f>
        <v>23.133000000000003</v>
      </c>
      <c r="AE412" s="4">
        <f>$K$412*$Y$412</f>
        <v>0</v>
      </c>
      <c r="AF412" s="4">
        <f ca="1">$M$412*$Z$412</f>
        <v>96.952247148289672</v>
      </c>
      <c r="AG412" s="4">
        <f>$O$412*$AA$412</f>
        <v>26.080314197522284</v>
      </c>
    </row>
    <row r="413" spans="1:33" ht="11.25" customHeight="1" x14ac:dyDescent="0.25">
      <c r="A413" s="3" t="s">
        <v>21</v>
      </c>
      <c r="B413" s="3" t="s">
        <v>39</v>
      </c>
      <c r="C413" s="3" t="s">
        <v>23</v>
      </c>
      <c r="D413" s="3" t="s">
        <v>51</v>
      </c>
      <c r="E413" s="3" t="s">
        <v>25</v>
      </c>
      <c r="F413" s="3" t="s">
        <v>25</v>
      </c>
      <c r="G413" s="3" t="s">
        <v>25</v>
      </c>
      <c r="H413" s="3" t="s">
        <v>25</v>
      </c>
      <c r="I413" s="6">
        <v>44531</v>
      </c>
      <c r="J413" s="4">
        <v>0</v>
      </c>
      <c r="K413" s="4">
        <v>0</v>
      </c>
      <c r="L413" s="4">
        <v>0.66300000000000003</v>
      </c>
      <c r="M413" s="4">
        <v>0.66300000000000003</v>
      </c>
      <c r="N413" s="4">
        <v>0.66300000000000003</v>
      </c>
      <c r="O413" s="4">
        <v>0.66300000000000003</v>
      </c>
      <c r="P413" s="4">
        <v>4</v>
      </c>
      <c r="Q413" s="3" t="s">
        <v>26</v>
      </c>
      <c r="R413" s="3">
        <v>0</v>
      </c>
      <c r="S413" s="4">
        <v>0</v>
      </c>
      <c r="T413" s="4">
        <v>39</v>
      </c>
      <c r="U413" s="4">
        <v>73</v>
      </c>
      <c r="V413" s="4">
        <f>IF(ISERROR(VLOOKUP($S$413,'TAR FIN'!$A$1:$O$85,15,0)),0,VLOOKUP($S$413,'TAR FIN'!$A$1:$O$85,15,0))</f>
        <v>0</v>
      </c>
      <c r="W413" s="4">
        <f>IF(ISERROR(VLOOKUP($T$413,'TAR FIN'!$A$1:$O$85,15,0)),0,VLOOKUP($T$413,'TAR FIN'!$A$1:$O$85,15,0))</f>
        <v>792.41</v>
      </c>
      <c r="X413" s="4">
        <f>IF(ISERROR(VLOOKUP($U$413,'TAR FIN'!$A$1:$O$85,15,0)),0,VLOOKUP($U$413,'TAR FIN'!$A$1:$O$85,15,0))</f>
        <v>231.33</v>
      </c>
      <c r="Y413" s="4"/>
      <c r="Z413" s="4">
        <f ca="1">('TUSD BE'!$AM$48+'TUSD BF'!$AM$48+'TUSD CVA'!$AM$48)*1</f>
        <v>969.52247148289666</v>
      </c>
      <c r="AA413" s="4">
        <f>('TE BE'!$AA$39+'TE BF'!$AA$39+'TE CVA'!$AA$39)*1</f>
        <v>260.80314197522284</v>
      </c>
      <c r="AB413" s="4">
        <f>$K$413*$V$413</f>
        <v>0</v>
      </c>
      <c r="AC413" s="4">
        <f>$M$413*$W$413</f>
        <v>525.36783000000003</v>
      </c>
      <c r="AD413" s="4">
        <f>$O$413*$X$413</f>
        <v>153.37179</v>
      </c>
      <c r="AE413" s="4">
        <f>$K$413*$Y$413</f>
        <v>0</v>
      </c>
      <c r="AF413" s="4">
        <f ca="1">$M$413*$Z$413</f>
        <v>642.79339859316053</v>
      </c>
      <c r="AG413" s="4">
        <f>$O$413*$AA$413</f>
        <v>172.91248312957276</v>
      </c>
    </row>
    <row r="414" spans="1:33" ht="11.25" customHeight="1" x14ac:dyDescent="0.25">
      <c r="A414" s="3" t="s">
        <v>28</v>
      </c>
      <c r="B414" s="3" t="s">
        <v>39</v>
      </c>
      <c r="C414" s="3" t="s">
        <v>23</v>
      </c>
      <c r="D414" s="3" t="s">
        <v>51</v>
      </c>
      <c r="E414" s="3" t="s">
        <v>25</v>
      </c>
      <c r="F414" s="3" t="s">
        <v>25</v>
      </c>
      <c r="G414" s="3" t="s">
        <v>25</v>
      </c>
      <c r="H414" s="3" t="s">
        <v>25</v>
      </c>
      <c r="I414" s="6">
        <v>44531</v>
      </c>
      <c r="J414" s="4">
        <v>0</v>
      </c>
      <c r="K414" s="4">
        <v>0</v>
      </c>
      <c r="L414" s="4">
        <v>2.2400000000000002</v>
      </c>
      <c r="M414" s="4">
        <v>2.2400000000000002</v>
      </c>
      <c r="N414" s="4">
        <v>2.2400000000000002</v>
      </c>
      <c r="O414" s="4">
        <v>2.2400000000000002</v>
      </c>
      <c r="P414" s="4">
        <v>2</v>
      </c>
      <c r="Q414" s="3" t="s">
        <v>26</v>
      </c>
      <c r="R414" s="3">
        <v>0</v>
      </c>
      <c r="S414" s="4">
        <v>0</v>
      </c>
      <c r="T414" s="4">
        <v>39</v>
      </c>
      <c r="U414" s="4">
        <v>73</v>
      </c>
      <c r="V414" s="4">
        <f>IF(ISERROR(VLOOKUP($S$414,'TAR FIN'!$A$1:$O$85,15,0)),0,VLOOKUP($S$414,'TAR FIN'!$A$1:$O$85,15,0))</f>
        <v>0</v>
      </c>
      <c r="W414" s="4">
        <f>IF(ISERROR(VLOOKUP($T$414,'TAR FIN'!$A$1:$O$85,15,0)),0,VLOOKUP($T$414,'TAR FIN'!$A$1:$O$85,15,0))</f>
        <v>792.41</v>
      </c>
      <c r="X414" s="4">
        <f>IF(ISERROR(VLOOKUP($U$414,'TAR FIN'!$A$1:$O$85,15,0)),0,VLOOKUP($U$414,'TAR FIN'!$A$1:$O$85,15,0))</f>
        <v>231.33</v>
      </c>
      <c r="Y414" s="4"/>
      <c r="Z414" s="4">
        <f ca="1">('TUSD BE'!$AM$48+'TUSD BF'!$AM$48+'TUSD CVA'!$AM$48)*1</f>
        <v>969.52247148289666</v>
      </c>
      <c r="AA414" s="4">
        <f>('TE BE'!$AA$39+'TE BF'!$AA$39+'TE CVA'!$AA$39)*1</f>
        <v>260.80314197522284</v>
      </c>
      <c r="AB414" s="4">
        <f>$K$414*$V$414</f>
        <v>0</v>
      </c>
      <c r="AC414" s="4">
        <f>$M$414*$W$414</f>
        <v>1774.9984000000002</v>
      </c>
      <c r="AD414" s="4">
        <f>$O$414*$X$414</f>
        <v>518.17920000000004</v>
      </c>
      <c r="AE414" s="4">
        <f>$K$414*$Y$414</f>
        <v>0</v>
      </c>
      <c r="AF414" s="4">
        <f ca="1">$M$414*$Z$414</f>
        <v>2171.7303361216887</v>
      </c>
      <c r="AG414" s="4">
        <f>$O$414*$AA$414</f>
        <v>584.19903802449926</v>
      </c>
    </row>
    <row r="415" spans="1:33" ht="11.25" customHeight="1" x14ac:dyDescent="0.25">
      <c r="A415" s="3" t="s">
        <v>21</v>
      </c>
      <c r="B415" s="3" t="s">
        <v>39</v>
      </c>
      <c r="C415" s="3" t="s">
        <v>23</v>
      </c>
      <c r="D415" s="3" t="s">
        <v>51</v>
      </c>
      <c r="E415" s="3" t="s">
        <v>25</v>
      </c>
      <c r="F415" s="3" t="s">
        <v>25</v>
      </c>
      <c r="G415" s="3" t="s">
        <v>25</v>
      </c>
      <c r="H415" s="3" t="s">
        <v>25</v>
      </c>
      <c r="I415" s="6">
        <v>44562</v>
      </c>
      <c r="J415" s="4">
        <v>0</v>
      </c>
      <c r="K415" s="4">
        <v>0</v>
      </c>
      <c r="L415" s="4">
        <v>3.4569999999999999</v>
      </c>
      <c r="M415" s="4">
        <v>3.4569999999999999</v>
      </c>
      <c r="N415" s="4">
        <v>3.4569999999999999</v>
      </c>
      <c r="O415" s="4">
        <v>3.4569999999999999</v>
      </c>
      <c r="P415" s="4">
        <v>5</v>
      </c>
      <c r="Q415" s="3" t="s">
        <v>26</v>
      </c>
      <c r="R415" s="3">
        <v>0</v>
      </c>
      <c r="S415" s="4">
        <v>0</v>
      </c>
      <c r="T415" s="4">
        <v>39</v>
      </c>
      <c r="U415" s="4">
        <v>73</v>
      </c>
      <c r="V415" s="4">
        <f>IF(ISERROR(VLOOKUP($S$415,'TAR FIN'!$A$1:$O$85,15,0)),0,VLOOKUP($S$415,'TAR FIN'!$A$1:$O$85,15,0))</f>
        <v>0</v>
      </c>
      <c r="W415" s="4">
        <f>IF(ISERROR(VLOOKUP($T$415,'TAR FIN'!$A$1:$O$85,15,0)),0,VLOOKUP($T$415,'TAR FIN'!$A$1:$O$85,15,0))</f>
        <v>792.41</v>
      </c>
      <c r="X415" s="4">
        <f>IF(ISERROR(VLOOKUP($U$415,'TAR FIN'!$A$1:$O$85,15,0)),0,VLOOKUP($U$415,'TAR FIN'!$A$1:$O$85,15,0))</f>
        <v>231.33</v>
      </c>
      <c r="Y415" s="4"/>
      <c r="Z415" s="4">
        <f ca="1">('TUSD BE'!$AM$48+'TUSD BF'!$AM$48+'TUSD CVA'!$AM$48)*1</f>
        <v>969.52247148289666</v>
      </c>
      <c r="AA415" s="4">
        <f>('TE BE'!$AA$39+'TE BF'!$AA$39+'TE CVA'!$AA$39)*1</f>
        <v>260.80314197522284</v>
      </c>
      <c r="AB415" s="4">
        <f>$K$415*$V$415</f>
        <v>0</v>
      </c>
      <c r="AC415" s="4">
        <f>$M$415*$W$415</f>
        <v>2739.3613699999996</v>
      </c>
      <c r="AD415" s="4">
        <f>$O$415*$X$415</f>
        <v>799.70780999999999</v>
      </c>
      <c r="AE415" s="4">
        <f>$K$415*$Y$415</f>
        <v>0</v>
      </c>
      <c r="AF415" s="4">
        <f ca="1">$M$415*$Z$415</f>
        <v>3351.6391839163734</v>
      </c>
      <c r="AG415" s="4">
        <f>$O$415*$AA$415</f>
        <v>901.59646180834534</v>
      </c>
    </row>
    <row r="416" spans="1:33" ht="11.25" customHeight="1" x14ac:dyDescent="0.25">
      <c r="A416" s="3" t="s">
        <v>28</v>
      </c>
      <c r="B416" s="3" t="s">
        <v>39</v>
      </c>
      <c r="C416" s="3" t="s">
        <v>23</v>
      </c>
      <c r="D416" s="3" t="s">
        <v>51</v>
      </c>
      <c r="E416" s="3" t="s">
        <v>25</v>
      </c>
      <c r="F416" s="3" t="s">
        <v>25</v>
      </c>
      <c r="G416" s="3" t="s">
        <v>25</v>
      </c>
      <c r="H416" s="3" t="s">
        <v>25</v>
      </c>
      <c r="I416" s="6">
        <v>44562</v>
      </c>
      <c r="J416" s="4">
        <v>0</v>
      </c>
      <c r="K416" s="4">
        <v>0</v>
      </c>
      <c r="L416" s="4">
        <v>0.11700000000000001</v>
      </c>
      <c r="M416" s="4">
        <v>0.11700000000000001</v>
      </c>
      <c r="N416" s="4">
        <v>0.11700000000000001</v>
      </c>
      <c r="O416" s="4">
        <v>0.11700000000000001</v>
      </c>
      <c r="P416" s="4">
        <v>1</v>
      </c>
      <c r="Q416" s="3" t="s">
        <v>26</v>
      </c>
      <c r="R416" s="3">
        <v>0</v>
      </c>
      <c r="S416" s="4">
        <v>0</v>
      </c>
      <c r="T416" s="4">
        <v>39</v>
      </c>
      <c r="U416" s="4">
        <v>73</v>
      </c>
      <c r="V416" s="4">
        <f>IF(ISERROR(VLOOKUP($S$416,'TAR FIN'!$A$1:$O$85,15,0)),0,VLOOKUP($S$416,'TAR FIN'!$A$1:$O$85,15,0))</f>
        <v>0</v>
      </c>
      <c r="W416" s="4">
        <f>IF(ISERROR(VLOOKUP($T$416,'TAR FIN'!$A$1:$O$85,15,0)),0,VLOOKUP($T$416,'TAR FIN'!$A$1:$O$85,15,0))</f>
        <v>792.41</v>
      </c>
      <c r="X416" s="4">
        <f>IF(ISERROR(VLOOKUP($U$416,'TAR FIN'!$A$1:$O$85,15,0)),0,VLOOKUP($U$416,'TAR FIN'!$A$1:$O$85,15,0))</f>
        <v>231.33</v>
      </c>
      <c r="Y416" s="4"/>
      <c r="Z416" s="4">
        <f ca="1">('TUSD BE'!$AM$48+'TUSD BF'!$AM$48+'TUSD CVA'!$AM$48)*1</f>
        <v>969.52247148289666</v>
      </c>
      <c r="AA416" s="4">
        <f>('TE BE'!$AA$39+'TE BF'!$AA$39+'TE CVA'!$AA$39)*1</f>
        <v>260.80314197522284</v>
      </c>
      <c r="AB416" s="4">
        <f>$K$416*$V$416</f>
        <v>0</v>
      </c>
      <c r="AC416" s="4">
        <f>$M$416*$W$416</f>
        <v>92.711970000000008</v>
      </c>
      <c r="AD416" s="4">
        <f>$O$416*$X$416</f>
        <v>27.065610000000003</v>
      </c>
      <c r="AE416" s="4">
        <f>$K$416*$Y$416</f>
        <v>0</v>
      </c>
      <c r="AF416" s="4">
        <f ca="1">$M$416*$Z$416</f>
        <v>113.43412916349891</v>
      </c>
      <c r="AG416" s="4">
        <f>$O$416*$AA$416</f>
        <v>30.513967611101073</v>
      </c>
    </row>
    <row r="417" spans="1:33" ht="11.25" customHeight="1" x14ac:dyDescent="0.25">
      <c r="A417" s="3" t="s">
        <v>21</v>
      </c>
      <c r="B417" s="3" t="s">
        <v>39</v>
      </c>
      <c r="C417" s="3" t="s">
        <v>23</v>
      </c>
      <c r="D417" s="3" t="s">
        <v>51</v>
      </c>
      <c r="E417" s="3" t="s">
        <v>25</v>
      </c>
      <c r="F417" s="3" t="s">
        <v>25</v>
      </c>
      <c r="G417" s="3" t="s">
        <v>25</v>
      </c>
      <c r="H417" s="3" t="s">
        <v>25</v>
      </c>
      <c r="I417" s="6">
        <v>44593</v>
      </c>
      <c r="J417" s="4">
        <v>0</v>
      </c>
      <c r="K417" s="4">
        <v>0</v>
      </c>
      <c r="L417" s="4">
        <v>3.8239999999999998</v>
      </c>
      <c r="M417" s="4">
        <v>3.8239999999999998</v>
      </c>
      <c r="N417" s="4">
        <v>3.8239999999999998</v>
      </c>
      <c r="O417" s="4">
        <v>3.8239999999999998</v>
      </c>
      <c r="P417" s="4">
        <v>5</v>
      </c>
      <c r="Q417" s="3" t="s">
        <v>26</v>
      </c>
      <c r="R417" s="3">
        <v>0</v>
      </c>
      <c r="S417" s="4">
        <v>0</v>
      </c>
      <c r="T417" s="4">
        <v>39</v>
      </c>
      <c r="U417" s="4">
        <v>73</v>
      </c>
      <c r="V417" s="4">
        <f>IF(ISERROR(VLOOKUP($S$417,'TAR FIN'!$A$1:$O$85,15,0)),0,VLOOKUP($S$417,'TAR FIN'!$A$1:$O$85,15,0))</f>
        <v>0</v>
      </c>
      <c r="W417" s="4">
        <f>IF(ISERROR(VLOOKUP($T$417,'TAR FIN'!$A$1:$O$85,15,0)),0,VLOOKUP($T$417,'TAR FIN'!$A$1:$O$85,15,0))</f>
        <v>792.41</v>
      </c>
      <c r="X417" s="4">
        <f>IF(ISERROR(VLOOKUP($U$417,'TAR FIN'!$A$1:$O$85,15,0)),0,VLOOKUP($U$417,'TAR FIN'!$A$1:$O$85,15,0))</f>
        <v>231.33</v>
      </c>
      <c r="Y417" s="4"/>
      <c r="Z417" s="4">
        <f ca="1">('TUSD BE'!$AM$48+'TUSD BF'!$AM$48+'TUSD CVA'!$AM$48)*1</f>
        <v>969.52247148289666</v>
      </c>
      <c r="AA417" s="4">
        <f>('TE BE'!$AA$39+'TE BF'!$AA$39+'TE CVA'!$AA$39)*1</f>
        <v>260.80314197522284</v>
      </c>
      <c r="AB417" s="4">
        <f>$K$417*$V$417</f>
        <v>0</v>
      </c>
      <c r="AC417" s="4">
        <f>$M$417*$W$417</f>
        <v>3030.1758399999999</v>
      </c>
      <c r="AD417" s="4">
        <f>$O$417*$X$417</f>
        <v>884.60591999999997</v>
      </c>
      <c r="AE417" s="4">
        <f>$K$417*$Y$417</f>
        <v>0</v>
      </c>
      <c r="AF417" s="4">
        <f ca="1">$M$417*$Z$417</f>
        <v>3707.4539309505967</v>
      </c>
      <c r="AG417" s="4">
        <f>$O$417*$AA$417</f>
        <v>997.31121491325212</v>
      </c>
    </row>
    <row r="418" spans="1:33" ht="11.25" customHeight="1" x14ac:dyDescent="0.25">
      <c r="A418" s="3" t="s">
        <v>28</v>
      </c>
      <c r="B418" s="3" t="s">
        <v>39</v>
      </c>
      <c r="C418" s="3" t="s">
        <v>23</v>
      </c>
      <c r="D418" s="3" t="s">
        <v>51</v>
      </c>
      <c r="E418" s="3" t="s">
        <v>25</v>
      </c>
      <c r="F418" s="3" t="s">
        <v>25</v>
      </c>
      <c r="G418" s="3" t="s">
        <v>25</v>
      </c>
      <c r="H418" s="3" t="s">
        <v>25</v>
      </c>
      <c r="I418" s="6">
        <v>44593</v>
      </c>
      <c r="J418" s="4">
        <v>0</v>
      </c>
      <c r="K418" s="4">
        <v>0</v>
      </c>
      <c r="L418" s="4">
        <v>0.3</v>
      </c>
      <c r="M418" s="4">
        <v>0.3</v>
      </c>
      <c r="N418" s="4">
        <v>0.3</v>
      </c>
      <c r="O418" s="4">
        <v>0.3</v>
      </c>
      <c r="P418" s="4">
        <v>1</v>
      </c>
      <c r="Q418" s="3" t="s">
        <v>26</v>
      </c>
      <c r="R418" s="3">
        <v>0</v>
      </c>
      <c r="S418" s="4">
        <v>0</v>
      </c>
      <c r="T418" s="4">
        <v>39</v>
      </c>
      <c r="U418" s="4">
        <v>73</v>
      </c>
      <c r="V418" s="4">
        <f>IF(ISERROR(VLOOKUP($S$418,'TAR FIN'!$A$1:$O$85,15,0)),0,VLOOKUP($S$418,'TAR FIN'!$A$1:$O$85,15,0))</f>
        <v>0</v>
      </c>
      <c r="W418" s="4">
        <f>IF(ISERROR(VLOOKUP($T$418,'TAR FIN'!$A$1:$O$85,15,0)),0,VLOOKUP($T$418,'TAR FIN'!$A$1:$O$85,15,0))</f>
        <v>792.41</v>
      </c>
      <c r="X418" s="4">
        <f>IF(ISERROR(VLOOKUP($U$418,'TAR FIN'!$A$1:$O$85,15,0)),0,VLOOKUP($U$418,'TAR FIN'!$A$1:$O$85,15,0))</f>
        <v>231.33</v>
      </c>
      <c r="Y418" s="4"/>
      <c r="Z418" s="4">
        <f ca="1">('TUSD BE'!$AM$48+'TUSD BF'!$AM$48+'TUSD CVA'!$AM$48)*1</f>
        <v>969.52247148289666</v>
      </c>
      <c r="AA418" s="4">
        <f>('TE BE'!$AA$39+'TE BF'!$AA$39+'TE CVA'!$AA$39)*1</f>
        <v>260.80314197522284</v>
      </c>
      <c r="AB418" s="4">
        <f>$K$418*$V$418</f>
        <v>0</v>
      </c>
      <c r="AC418" s="4">
        <f>$M$418*$W$418</f>
        <v>237.72299999999998</v>
      </c>
      <c r="AD418" s="4">
        <f>$O$418*$X$418</f>
        <v>69.399000000000001</v>
      </c>
      <c r="AE418" s="4">
        <f>$K$418*$Y$418</f>
        <v>0</v>
      </c>
      <c r="AF418" s="4">
        <f ca="1">$M$418*$Z$418</f>
        <v>290.85674144486899</v>
      </c>
      <c r="AG418" s="4">
        <f>$O$418*$AA$418</f>
        <v>78.240942592566853</v>
      </c>
    </row>
    <row r="419" spans="1:33" ht="11.25" customHeight="1" x14ac:dyDescent="0.25">
      <c r="A419" s="3" t="s">
        <v>21</v>
      </c>
      <c r="B419" s="3" t="s">
        <v>39</v>
      </c>
      <c r="C419" s="3" t="s">
        <v>23</v>
      </c>
      <c r="D419" s="3" t="s">
        <v>51</v>
      </c>
      <c r="E419" s="3" t="s">
        <v>25</v>
      </c>
      <c r="F419" s="3" t="s">
        <v>25</v>
      </c>
      <c r="G419" s="3" t="s">
        <v>25</v>
      </c>
      <c r="H419" s="3" t="s">
        <v>25</v>
      </c>
      <c r="I419" s="6">
        <v>44621</v>
      </c>
      <c r="J419" s="4">
        <v>0</v>
      </c>
      <c r="K419" s="4">
        <v>0</v>
      </c>
      <c r="L419" s="4">
        <v>3.573</v>
      </c>
      <c r="M419" s="4">
        <v>3.573</v>
      </c>
      <c r="N419" s="4">
        <v>3.573</v>
      </c>
      <c r="O419" s="4">
        <v>3.573</v>
      </c>
      <c r="P419" s="4">
        <v>5</v>
      </c>
      <c r="Q419" s="3" t="s">
        <v>26</v>
      </c>
      <c r="R419" s="3">
        <v>0</v>
      </c>
      <c r="S419" s="4">
        <v>0</v>
      </c>
      <c r="T419" s="4">
        <v>39</v>
      </c>
      <c r="U419" s="4">
        <v>73</v>
      </c>
      <c r="V419" s="4">
        <f>IF(ISERROR(VLOOKUP($S$419,'TAR FIN'!$A$1:$O$85,15,0)),0,VLOOKUP($S$419,'TAR FIN'!$A$1:$O$85,15,0))</f>
        <v>0</v>
      </c>
      <c r="W419" s="4">
        <f>IF(ISERROR(VLOOKUP($T$419,'TAR FIN'!$A$1:$O$85,15,0)),0,VLOOKUP($T$419,'TAR FIN'!$A$1:$O$85,15,0))</f>
        <v>792.41</v>
      </c>
      <c r="X419" s="4">
        <f>IF(ISERROR(VLOOKUP($U$419,'TAR FIN'!$A$1:$O$85,15,0)),0,VLOOKUP($U$419,'TAR FIN'!$A$1:$O$85,15,0))</f>
        <v>231.33</v>
      </c>
      <c r="Y419" s="4"/>
      <c r="Z419" s="4">
        <f ca="1">('TUSD BE'!$AM$48+'TUSD BF'!$AM$48+'TUSD CVA'!$AM$48)*1</f>
        <v>969.52247148289666</v>
      </c>
      <c r="AA419" s="4">
        <f>('TE BE'!$AA$39+'TE BF'!$AA$39+'TE CVA'!$AA$39)*1</f>
        <v>260.80314197522284</v>
      </c>
      <c r="AB419" s="4">
        <f>$K$419*$V$419</f>
        <v>0</v>
      </c>
      <c r="AC419" s="4">
        <f>$M$419*$W$419</f>
        <v>2831.2809299999999</v>
      </c>
      <c r="AD419" s="4">
        <f>$O$419*$X$419</f>
        <v>826.54209000000003</v>
      </c>
      <c r="AE419" s="4">
        <f>$K$419*$Y$419</f>
        <v>0</v>
      </c>
      <c r="AF419" s="4">
        <f ca="1">$M$419*$Z$419</f>
        <v>3464.1037906083898</v>
      </c>
      <c r="AG419" s="4">
        <f>$O$419*$AA$419</f>
        <v>931.8496262774712</v>
      </c>
    </row>
    <row r="420" spans="1:33" ht="11.25" customHeight="1" x14ac:dyDescent="0.25">
      <c r="A420" s="3" t="s">
        <v>28</v>
      </c>
      <c r="B420" s="3" t="s">
        <v>39</v>
      </c>
      <c r="C420" s="3" t="s">
        <v>23</v>
      </c>
      <c r="D420" s="3" t="s">
        <v>51</v>
      </c>
      <c r="E420" s="3" t="s">
        <v>25</v>
      </c>
      <c r="F420" s="3" t="s">
        <v>25</v>
      </c>
      <c r="G420" s="3" t="s">
        <v>25</v>
      </c>
      <c r="H420" s="3" t="s">
        <v>25</v>
      </c>
      <c r="I420" s="6">
        <v>44621</v>
      </c>
      <c r="J420" s="4">
        <v>0</v>
      </c>
      <c r="K420" s="4">
        <v>0</v>
      </c>
      <c r="L420" s="4">
        <v>0.3</v>
      </c>
      <c r="M420" s="4">
        <v>0.3</v>
      </c>
      <c r="N420" s="4">
        <v>0.3</v>
      </c>
      <c r="O420" s="4">
        <v>0.3</v>
      </c>
      <c r="P420" s="4">
        <v>1</v>
      </c>
      <c r="Q420" s="3" t="s">
        <v>26</v>
      </c>
      <c r="R420" s="3">
        <v>0</v>
      </c>
      <c r="S420" s="4">
        <v>0</v>
      </c>
      <c r="T420" s="4">
        <v>39</v>
      </c>
      <c r="U420" s="4">
        <v>73</v>
      </c>
      <c r="V420" s="4">
        <f>IF(ISERROR(VLOOKUP($S$420,'TAR FIN'!$A$1:$O$85,15,0)),0,VLOOKUP($S$420,'TAR FIN'!$A$1:$O$85,15,0))</f>
        <v>0</v>
      </c>
      <c r="W420" s="4">
        <f>IF(ISERROR(VLOOKUP($T$420,'TAR FIN'!$A$1:$O$85,15,0)),0,VLOOKUP($T$420,'TAR FIN'!$A$1:$O$85,15,0))</f>
        <v>792.41</v>
      </c>
      <c r="X420" s="4">
        <f>IF(ISERROR(VLOOKUP($U$420,'TAR FIN'!$A$1:$O$85,15,0)),0,VLOOKUP($U$420,'TAR FIN'!$A$1:$O$85,15,0))</f>
        <v>231.33</v>
      </c>
      <c r="Y420" s="4"/>
      <c r="Z420" s="4">
        <f ca="1">('TUSD BE'!$AM$48+'TUSD BF'!$AM$48+'TUSD CVA'!$AM$48)*1</f>
        <v>969.52247148289666</v>
      </c>
      <c r="AA420" s="4">
        <f>('TE BE'!$AA$39+'TE BF'!$AA$39+'TE CVA'!$AA$39)*1</f>
        <v>260.80314197522284</v>
      </c>
      <c r="AB420" s="4">
        <f>$K$420*$V$420</f>
        <v>0</v>
      </c>
      <c r="AC420" s="4">
        <f>$M$420*$W$420</f>
        <v>237.72299999999998</v>
      </c>
      <c r="AD420" s="4">
        <f>$O$420*$X$420</f>
        <v>69.399000000000001</v>
      </c>
      <c r="AE420" s="4">
        <f>$K$420*$Y$420</f>
        <v>0</v>
      </c>
      <c r="AF420" s="4">
        <f ca="1">$M$420*$Z$420</f>
        <v>290.85674144486899</v>
      </c>
      <c r="AG420" s="4">
        <f>$O$420*$AA$420</f>
        <v>78.240942592566853</v>
      </c>
    </row>
    <row r="421" spans="1:33" ht="11.25" customHeight="1" x14ac:dyDescent="0.25">
      <c r="A421" s="3" t="s">
        <v>21</v>
      </c>
      <c r="B421" s="3" t="s">
        <v>39</v>
      </c>
      <c r="C421" s="3" t="s">
        <v>23</v>
      </c>
      <c r="D421" s="3" t="s">
        <v>40</v>
      </c>
      <c r="E421" s="3" t="s">
        <v>25</v>
      </c>
      <c r="F421" s="3" t="s">
        <v>25</v>
      </c>
      <c r="G421" s="3" t="s">
        <v>25</v>
      </c>
      <c r="H421" s="3" t="s">
        <v>25</v>
      </c>
      <c r="I421" s="6">
        <v>44287</v>
      </c>
      <c r="J421" s="4">
        <v>0</v>
      </c>
      <c r="K421" s="4">
        <v>0</v>
      </c>
      <c r="L421" s="4">
        <v>41.540999999999997</v>
      </c>
      <c r="M421" s="4">
        <v>41.540999999999997</v>
      </c>
      <c r="N421" s="4">
        <v>41.540999999999997</v>
      </c>
      <c r="O421" s="4">
        <v>41.540999999999997</v>
      </c>
      <c r="P421" s="4">
        <v>21</v>
      </c>
      <c r="Q421" s="3" t="s">
        <v>26</v>
      </c>
      <c r="R421" s="3">
        <v>0</v>
      </c>
      <c r="S421" s="4">
        <v>0</v>
      </c>
      <c r="T421" s="4">
        <v>39</v>
      </c>
      <c r="U421" s="4">
        <v>73</v>
      </c>
      <c r="V421" s="4">
        <f>IF(ISERROR(VLOOKUP($S$421,'TAR FIN'!$A$1:$O$85,15,0)),0,VLOOKUP($S$421,'TAR FIN'!$A$1:$O$85,15,0))</f>
        <v>0</v>
      </c>
      <c r="W421" s="4">
        <f>IF(ISERROR(VLOOKUP($T$421,'TAR FIN'!$A$1:$O$85,15,0)),0,VLOOKUP($T$421,'TAR FIN'!$A$1:$O$85,15,0))</f>
        <v>792.41</v>
      </c>
      <c r="X421" s="4">
        <f>IF(ISERROR(VLOOKUP($U$421,'TAR FIN'!$A$1:$O$85,15,0)),0,VLOOKUP($U$421,'TAR FIN'!$A$1:$O$85,15,0))</f>
        <v>231.33</v>
      </c>
      <c r="Y421" s="4"/>
      <c r="Z421" s="4">
        <f ca="1">('TUSD BE'!$AM$48+'TUSD BF'!$AM$48+'TUSD CVA'!$AM$48)*1</f>
        <v>969.52247148289666</v>
      </c>
      <c r="AA421" s="4">
        <f>('TE BE'!$AA$39+'TE BF'!$AA$39+'TE CVA'!$AA$39)*1</f>
        <v>260.80314197522284</v>
      </c>
      <c r="AB421" s="4">
        <f>$K$421*$V$421</f>
        <v>0</v>
      </c>
      <c r="AC421" s="4">
        <f>$M$421*$W$421</f>
        <v>32917.503809999995</v>
      </c>
      <c r="AD421" s="4">
        <f>$O$421*$X$421</f>
        <v>9609.6795299999994</v>
      </c>
      <c r="AE421" s="4">
        <f>$K$421*$Y$421</f>
        <v>0</v>
      </c>
      <c r="AF421" s="4">
        <f ca="1">$M$421*$Z$421</f>
        <v>40274.932987871005</v>
      </c>
      <c r="AG421" s="4">
        <f>$O$421*$AA$421</f>
        <v>10834.023320792732</v>
      </c>
    </row>
    <row r="422" spans="1:33" ht="11.25" customHeight="1" x14ac:dyDescent="0.25">
      <c r="A422" s="3" t="s">
        <v>21</v>
      </c>
      <c r="B422" s="3" t="s">
        <v>39</v>
      </c>
      <c r="C422" s="3" t="s">
        <v>23</v>
      </c>
      <c r="D422" s="3" t="s">
        <v>40</v>
      </c>
      <c r="E422" s="3" t="s">
        <v>25</v>
      </c>
      <c r="F422" s="3" t="s">
        <v>25</v>
      </c>
      <c r="G422" s="3" t="s">
        <v>25</v>
      </c>
      <c r="H422" s="3" t="s">
        <v>25</v>
      </c>
      <c r="I422" s="6">
        <v>44317</v>
      </c>
      <c r="J422" s="4">
        <v>0</v>
      </c>
      <c r="K422" s="4">
        <v>0</v>
      </c>
      <c r="L422" s="4">
        <v>43.133000000000003</v>
      </c>
      <c r="M422" s="4">
        <v>43.133000000000003</v>
      </c>
      <c r="N422" s="4">
        <v>43.133000000000003</v>
      </c>
      <c r="O422" s="4">
        <v>43.133000000000003</v>
      </c>
      <c r="P422" s="4">
        <v>21</v>
      </c>
      <c r="Q422" s="3" t="s">
        <v>26</v>
      </c>
      <c r="R422" s="3">
        <v>0</v>
      </c>
      <c r="S422" s="4">
        <v>0</v>
      </c>
      <c r="T422" s="4">
        <v>39</v>
      </c>
      <c r="U422" s="4">
        <v>73</v>
      </c>
      <c r="V422" s="4">
        <f>IF(ISERROR(VLOOKUP($S$422,'TAR FIN'!$A$1:$O$85,15,0)),0,VLOOKUP($S$422,'TAR FIN'!$A$1:$O$85,15,0))</f>
        <v>0</v>
      </c>
      <c r="W422" s="4">
        <f>IF(ISERROR(VLOOKUP($T$422,'TAR FIN'!$A$1:$O$85,15,0)),0,VLOOKUP($T$422,'TAR FIN'!$A$1:$O$85,15,0))</f>
        <v>792.41</v>
      </c>
      <c r="X422" s="4">
        <f>IF(ISERROR(VLOOKUP($U$422,'TAR FIN'!$A$1:$O$85,15,0)),0,VLOOKUP($U$422,'TAR FIN'!$A$1:$O$85,15,0))</f>
        <v>231.33</v>
      </c>
      <c r="Y422" s="4"/>
      <c r="Z422" s="4">
        <f ca="1">('TUSD BE'!$AM$48+'TUSD BF'!$AM$48+'TUSD CVA'!$AM$48)*1</f>
        <v>969.52247148289666</v>
      </c>
      <c r="AA422" s="4">
        <f>('TE BE'!$AA$39+'TE BF'!$AA$39+'TE CVA'!$AA$39)*1</f>
        <v>260.80314197522284</v>
      </c>
      <c r="AB422" s="4">
        <f>$K$422*$V$422</f>
        <v>0</v>
      </c>
      <c r="AC422" s="4">
        <f>$M$422*$W$422</f>
        <v>34179.020530000002</v>
      </c>
      <c r="AD422" s="4">
        <f>$O$422*$X$422</f>
        <v>9977.9568900000013</v>
      </c>
      <c r="AE422" s="4">
        <f>$K$422*$Y$422</f>
        <v>0</v>
      </c>
      <c r="AF422" s="4">
        <f ca="1">$M$422*$Z$422</f>
        <v>41818.412762471788</v>
      </c>
      <c r="AG422" s="4">
        <f>$O$422*$AA$422</f>
        <v>11249.221922817287</v>
      </c>
    </row>
    <row r="423" spans="1:33" ht="11.25" customHeight="1" x14ac:dyDescent="0.25">
      <c r="A423" s="3" t="s">
        <v>21</v>
      </c>
      <c r="B423" s="3" t="s">
        <v>39</v>
      </c>
      <c r="C423" s="3" t="s">
        <v>23</v>
      </c>
      <c r="D423" s="3" t="s">
        <v>40</v>
      </c>
      <c r="E423" s="3" t="s">
        <v>25</v>
      </c>
      <c r="F423" s="3" t="s">
        <v>25</v>
      </c>
      <c r="G423" s="3" t="s">
        <v>25</v>
      </c>
      <c r="H423" s="3" t="s">
        <v>25</v>
      </c>
      <c r="I423" s="6">
        <v>44348</v>
      </c>
      <c r="J423" s="4">
        <v>0</v>
      </c>
      <c r="K423" s="4">
        <v>0</v>
      </c>
      <c r="L423" s="4">
        <v>38.334000000000003</v>
      </c>
      <c r="M423" s="4">
        <v>38.334000000000003</v>
      </c>
      <c r="N423" s="4">
        <v>38.334000000000003</v>
      </c>
      <c r="O423" s="4">
        <v>38.334000000000003</v>
      </c>
      <c r="P423" s="4">
        <v>21</v>
      </c>
      <c r="Q423" s="3" t="s">
        <v>26</v>
      </c>
      <c r="R423" s="3">
        <v>0</v>
      </c>
      <c r="S423" s="4">
        <v>0</v>
      </c>
      <c r="T423" s="4">
        <v>39</v>
      </c>
      <c r="U423" s="4">
        <v>73</v>
      </c>
      <c r="V423" s="4">
        <f>IF(ISERROR(VLOOKUP($S$423,'TAR FIN'!$A$1:$O$85,15,0)),0,VLOOKUP($S$423,'TAR FIN'!$A$1:$O$85,15,0))</f>
        <v>0</v>
      </c>
      <c r="W423" s="4">
        <f>IF(ISERROR(VLOOKUP($T$423,'TAR FIN'!$A$1:$O$85,15,0)),0,VLOOKUP($T$423,'TAR FIN'!$A$1:$O$85,15,0))</f>
        <v>792.41</v>
      </c>
      <c r="X423" s="4">
        <f>IF(ISERROR(VLOOKUP($U$423,'TAR FIN'!$A$1:$O$85,15,0)),0,VLOOKUP($U$423,'TAR FIN'!$A$1:$O$85,15,0))</f>
        <v>231.33</v>
      </c>
      <c r="Y423" s="4"/>
      <c r="Z423" s="4">
        <f ca="1">('TUSD BE'!$AM$48+'TUSD BF'!$AM$48+'TUSD CVA'!$AM$48)*1</f>
        <v>969.52247148289666</v>
      </c>
      <c r="AA423" s="4">
        <f>('TE BE'!$AA$39+'TE BF'!$AA$39+'TE CVA'!$AA$39)*1</f>
        <v>260.80314197522284</v>
      </c>
      <c r="AB423" s="4">
        <f>$K$423*$V$423</f>
        <v>0</v>
      </c>
      <c r="AC423" s="4">
        <f>$M$423*$W$423</f>
        <v>30376.24494</v>
      </c>
      <c r="AD423" s="4">
        <f>$O$423*$X$423</f>
        <v>8867.8042200000018</v>
      </c>
      <c r="AE423" s="4">
        <f>$K$423*$Y$423</f>
        <v>0</v>
      </c>
      <c r="AF423" s="4">
        <f ca="1">$M$423*$Z$423</f>
        <v>37165.674421825366</v>
      </c>
      <c r="AG423" s="4">
        <f>$O$423*$AA$423</f>
        <v>9997.6276444781925</v>
      </c>
    </row>
    <row r="424" spans="1:33" ht="11.25" customHeight="1" x14ac:dyDescent="0.25">
      <c r="A424" s="3" t="s">
        <v>21</v>
      </c>
      <c r="B424" s="3" t="s">
        <v>39</v>
      </c>
      <c r="C424" s="3" t="s">
        <v>23</v>
      </c>
      <c r="D424" s="3" t="s">
        <v>40</v>
      </c>
      <c r="E424" s="3" t="s">
        <v>25</v>
      </c>
      <c r="F424" s="3" t="s">
        <v>25</v>
      </c>
      <c r="G424" s="3" t="s">
        <v>25</v>
      </c>
      <c r="H424" s="3" t="s">
        <v>25</v>
      </c>
      <c r="I424" s="6">
        <v>44378</v>
      </c>
      <c r="J424" s="4">
        <v>0</v>
      </c>
      <c r="K424" s="4">
        <v>0</v>
      </c>
      <c r="L424" s="4">
        <v>36.808999999999997</v>
      </c>
      <c r="M424" s="4">
        <v>36.808999999999997</v>
      </c>
      <c r="N424" s="4">
        <v>36.808999999999997</v>
      </c>
      <c r="O424" s="4">
        <v>36.808999999999997</v>
      </c>
      <c r="P424" s="4">
        <v>22</v>
      </c>
      <c r="Q424" s="3" t="s">
        <v>26</v>
      </c>
      <c r="R424" s="3">
        <v>0</v>
      </c>
      <c r="S424" s="4">
        <v>0</v>
      </c>
      <c r="T424" s="4">
        <v>39</v>
      </c>
      <c r="U424" s="4">
        <v>73</v>
      </c>
      <c r="V424" s="4">
        <f>IF(ISERROR(VLOOKUP($S$424,'TAR FIN'!$A$1:$O$85,15,0)),0,VLOOKUP($S$424,'TAR FIN'!$A$1:$O$85,15,0))</f>
        <v>0</v>
      </c>
      <c r="W424" s="4">
        <f>IF(ISERROR(VLOOKUP($T$424,'TAR FIN'!$A$1:$O$85,15,0)),0,VLOOKUP($T$424,'TAR FIN'!$A$1:$O$85,15,0))</f>
        <v>792.41</v>
      </c>
      <c r="X424" s="4">
        <f>IF(ISERROR(VLOOKUP($U$424,'TAR FIN'!$A$1:$O$85,15,0)),0,VLOOKUP($U$424,'TAR FIN'!$A$1:$O$85,15,0))</f>
        <v>231.33</v>
      </c>
      <c r="Y424" s="4"/>
      <c r="Z424" s="4">
        <f ca="1">('TUSD BE'!$AM$48+'TUSD BF'!$AM$48+'TUSD CVA'!$AM$48)*1</f>
        <v>969.52247148289666</v>
      </c>
      <c r="AA424" s="4">
        <f>('TE BE'!$AA$39+'TE BF'!$AA$39+'TE CVA'!$AA$39)*1</f>
        <v>260.80314197522284</v>
      </c>
      <c r="AB424" s="4">
        <f>$K$424*$V$424</f>
        <v>0</v>
      </c>
      <c r="AC424" s="4">
        <f>$M$424*$W$424</f>
        <v>29167.819689999997</v>
      </c>
      <c r="AD424" s="4">
        <f>$O$424*$X$424</f>
        <v>8515.0259700000006</v>
      </c>
      <c r="AE424" s="4">
        <f>$K$424*$Y$424</f>
        <v>0</v>
      </c>
      <c r="AF424" s="4">
        <f ca="1">$M$424*$Z$424</f>
        <v>35687.152652813944</v>
      </c>
      <c r="AG424" s="4">
        <f>$O$424*$AA$424</f>
        <v>9599.9028529659772</v>
      </c>
    </row>
    <row r="425" spans="1:33" ht="11.25" customHeight="1" x14ac:dyDescent="0.25">
      <c r="A425" s="3" t="s">
        <v>21</v>
      </c>
      <c r="B425" s="3" t="s">
        <v>39</v>
      </c>
      <c r="C425" s="3" t="s">
        <v>23</v>
      </c>
      <c r="D425" s="3" t="s">
        <v>40</v>
      </c>
      <c r="E425" s="3" t="s">
        <v>25</v>
      </c>
      <c r="F425" s="3" t="s">
        <v>25</v>
      </c>
      <c r="G425" s="3" t="s">
        <v>25</v>
      </c>
      <c r="H425" s="3" t="s">
        <v>25</v>
      </c>
      <c r="I425" s="6">
        <v>44409</v>
      </c>
      <c r="J425" s="4">
        <v>0</v>
      </c>
      <c r="K425" s="4">
        <v>0</v>
      </c>
      <c r="L425" s="4">
        <v>32.061</v>
      </c>
      <c r="M425" s="4">
        <v>32.061</v>
      </c>
      <c r="N425" s="4">
        <v>32.061</v>
      </c>
      <c r="O425" s="4">
        <v>32.061</v>
      </c>
      <c r="P425" s="4">
        <v>22</v>
      </c>
      <c r="Q425" s="3" t="s">
        <v>26</v>
      </c>
      <c r="R425" s="3">
        <v>0</v>
      </c>
      <c r="S425" s="4">
        <v>0</v>
      </c>
      <c r="T425" s="4">
        <v>39</v>
      </c>
      <c r="U425" s="4">
        <v>73</v>
      </c>
      <c r="V425" s="4">
        <f>IF(ISERROR(VLOOKUP($S$425,'TAR FIN'!$A$1:$O$85,15,0)),0,VLOOKUP($S$425,'TAR FIN'!$A$1:$O$85,15,0))</f>
        <v>0</v>
      </c>
      <c r="W425" s="4">
        <f>IF(ISERROR(VLOOKUP($T$425,'TAR FIN'!$A$1:$O$85,15,0)),0,VLOOKUP($T$425,'TAR FIN'!$A$1:$O$85,15,0))</f>
        <v>792.41</v>
      </c>
      <c r="X425" s="4">
        <f>IF(ISERROR(VLOOKUP($U$425,'TAR FIN'!$A$1:$O$85,15,0)),0,VLOOKUP($U$425,'TAR FIN'!$A$1:$O$85,15,0))</f>
        <v>231.33</v>
      </c>
      <c r="Y425" s="4"/>
      <c r="Z425" s="4">
        <f ca="1">('TUSD BE'!$AM$48+'TUSD BF'!$AM$48+'TUSD CVA'!$AM$48)*1</f>
        <v>969.52247148289666</v>
      </c>
      <c r="AA425" s="4">
        <f>('TE BE'!$AA$39+'TE BF'!$AA$39+'TE CVA'!$AA$39)*1</f>
        <v>260.80314197522284</v>
      </c>
      <c r="AB425" s="4">
        <f>$K$425*$V$425</f>
        <v>0</v>
      </c>
      <c r="AC425" s="4">
        <f>$M$425*$W$425</f>
        <v>25405.457009999998</v>
      </c>
      <c r="AD425" s="4">
        <f>$O$425*$X$425</f>
        <v>7416.6711300000006</v>
      </c>
      <c r="AE425" s="4">
        <f>$K$425*$Y$425</f>
        <v>0</v>
      </c>
      <c r="AF425" s="4">
        <f ca="1">$M$425*$Z$425</f>
        <v>31083.85995821315</v>
      </c>
      <c r="AG425" s="4">
        <f>$O$425*$AA$425</f>
        <v>8361.609534867619</v>
      </c>
    </row>
    <row r="426" spans="1:33" ht="11.25" customHeight="1" x14ac:dyDescent="0.25">
      <c r="A426" s="3" t="s">
        <v>21</v>
      </c>
      <c r="B426" s="3" t="s">
        <v>39</v>
      </c>
      <c r="C426" s="3" t="s">
        <v>23</v>
      </c>
      <c r="D426" s="3" t="s">
        <v>40</v>
      </c>
      <c r="E426" s="3" t="s">
        <v>25</v>
      </c>
      <c r="F426" s="3" t="s">
        <v>25</v>
      </c>
      <c r="G426" s="3" t="s">
        <v>25</v>
      </c>
      <c r="H426" s="3" t="s">
        <v>25</v>
      </c>
      <c r="I426" s="6">
        <v>44440</v>
      </c>
      <c r="J426" s="4">
        <v>0</v>
      </c>
      <c r="K426" s="4">
        <v>0</v>
      </c>
      <c r="L426" s="4">
        <v>38.393000000000001</v>
      </c>
      <c r="M426" s="4">
        <v>38.393000000000001</v>
      </c>
      <c r="N426" s="4">
        <v>38.393000000000001</v>
      </c>
      <c r="O426" s="4">
        <v>38.393000000000001</v>
      </c>
      <c r="P426" s="4">
        <v>22</v>
      </c>
      <c r="Q426" s="3" t="s">
        <v>26</v>
      </c>
      <c r="R426" s="3">
        <v>0</v>
      </c>
      <c r="S426" s="4">
        <v>0</v>
      </c>
      <c r="T426" s="4">
        <v>39</v>
      </c>
      <c r="U426" s="4">
        <v>73</v>
      </c>
      <c r="V426" s="4">
        <f>IF(ISERROR(VLOOKUP($S$426,'TAR FIN'!$A$1:$O$85,15,0)),0,VLOOKUP($S$426,'TAR FIN'!$A$1:$O$85,15,0))</f>
        <v>0</v>
      </c>
      <c r="W426" s="4">
        <f>IF(ISERROR(VLOOKUP($T$426,'TAR FIN'!$A$1:$O$85,15,0)),0,VLOOKUP($T$426,'TAR FIN'!$A$1:$O$85,15,0))</f>
        <v>792.41</v>
      </c>
      <c r="X426" s="4">
        <f>IF(ISERROR(VLOOKUP($U$426,'TAR FIN'!$A$1:$O$85,15,0)),0,VLOOKUP($U$426,'TAR FIN'!$A$1:$O$85,15,0))</f>
        <v>231.33</v>
      </c>
      <c r="Y426" s="4"/>
      <c r="Z426" s="4">
        <f ca="1">('TUSD BE'!$AM$48+'TUSD BF'!$AM$48+'TUSD CVA'!$AM$48)*1</f>
        <v>969.52247148289666</v>
      </c>
      <c r="AA426" s="4">
        <f>('TE BE'!$AA$39+'TE BF'!$AA$39+'TE CVA'!$AA$39)*1</f>
        <v>260.80314197522284</v>
      </c>
      <c r="AB426" s="4">
        <f>$K$426*$V$426</f>
        <v>0</v>
      </c>
      <c r="AC426" s="4">
        <f>$M$426*$W$426</f>
        <v>30422.99713</v>
      </c>
      <c r="AD426" s="4">
        <f>$O$426*$X$426</f>
        <v>8881.4526900000001</v>
      </c>
      <c r="AE426" s="4">
        <f>$K$426*$Y$426</f>
        <v>0</v>
      </c>
      <c r="AF426" s="4">
        <f ca="1">$M$426*$Z$426</f>
        <v>37222.876247642853</v>
      </c>
      <c r="AG426" s="4">
        <f>$O$426*$AA$426</f>
        <v>10013.015029854731</v>
      </c>
    </row>
    <row r="427" spans="1:33" ht="11.25" customHeight="1" x14ac:dyDescent="0.25">
      <c r="A427" s="3" t="s">
        <v>21</v>
      </c>
      <c r="B427" s="3" t="s">
        <v>39</v>
      </c>
      <c r="C427" s="3" t="s">
        <v>23</v>
      </c>
      <c r="D427" s="3" t="s">
        <v>40</v>
      </c>
      <c r="E427" s="3" t="s">
        <v>25</v>
      </c>
      <c r="F427" s="3" t="s">
        <v>25</v>
      </c>
      <c r="G427" s="3" t="s">
        <v>25</v>
      </c>
      <c r="H427" s="3" t="s">
        <v>25</v>
      </c>
      <c r="I427" s="6">
        <v>44470</v>
      </c>
      <c r="J427" s="4">
        <v>0</v>
      </c>
      <c r="K427" s="4">
        <v>0</v>
      </c>
      <c r="L427" s="4">
        <v>35.210999999999999</v>
      </c>
      <c r="M427" s="4">
        <v>35.210999999999999</v>
      </c>
      <c r="N427" s="4">
        <v>35.210999999999999</v>
      </c>
      <c r="O427" s="4">
        <v>35.210999999999999</v>
      </c>
      <c r="P427" s="4">
        <v>22</v>
      </c>
      <c r="Q427" s="3" t="s">
        <v>26</v>
      </c>
      <c r="R427" s="3">
        <v>0</v>
      </c>
      <c r="S427" s="4">
        <v>0</v>
      </c>
      <c r="T427" s="4">
        <v>39</v>
      </c>
      <c r="U427" s="4">
        <v>73</v>
      </c>
      <c r="V427" s="4">
        <f>IF(ISERROR(VLOOKUP($S$427,'TAR FIN'!$A$1:$O$85,15,0)),0,VLOOKUP($S$427,'TAR FIN'!$A$1:$O$85,15,0))</f>
        <v>0</v>
      </c>
      <c r="W427" s="4">
        <f>IF(ISERROR(VLOOKUP($T$427,'TAR FIN'!$A$1:$O$85,15,0)),0,VLOOKUP($T$427,'TAR FIN'!$A$1:$O$85,15,0))</f>
        <v>792.41</v>
      </c>
      <c r="X427" s="4">
        <f>IF(ISERROR(VLOOKUP($U$427,'TAR FIN'!$A$1:$O$85,15,0)),0,VLOOKUP($U$427,'TAR FIN'!$A$1:$O$85,15,0))</f>
        <v>231.33</v>
      </c>
      <c r="Y427" s="4"/>
      <c r="Z427" s="4">
        <f ca="1">('TUSD BE'!$AM$48+'TUSD BF'!$AM$48+'TUSD CVA'!$AM$48)*1</f>
        <v>969.52247148289666</v>
      </c>
      <c r="AA427" s="4">
        <f>('TE BE'!$AA$39+'TE BF'!$AA$39+'TE CVA'!$AA$39)*1</f>
        <v>260.80314197522284</v>
      </c>
      <c r="AB427" s="4">
        <f>$K$427*$V$427</f>
        <v>0</v>
      </c>
      <c r="AC427" s="4">
        <f>$M$427*$W$427</f>
        <v>27901.548509999997</v>
      </c>
      <c r="AD427" s="4">
        <f>$O$427*$X$427</f>
        <v>8145.3606300000001</v>
      </c>
      <c r="AE427" s="4">
        <f>$K$427*$Y$427</f>
        <v>0</v>
      </c>
      <c r="AF427" s="4">
        <f ca="1">$M$427*$Z$427</f>
        <v>34137.855743384273</v>
      </c>
      <c r="AG427" s="4">
        <f>$O$427*$AA$427</f>
        <v>9183.1394320895706</v>
      </c>
    </row>
    <row r="428" spans="1:33" ht="11.25" customHeight="1" x14ac:dyDescent="0.25">
      <c r="A428" s="3" t="s">
        <v>21</v>
      </c>
      <c r="B428" s="3" t="s">
        <v>39</v>
      </c>
      <c r="C428" s="3" t="s">
        <v>23</v>
      </c>
      <c r="D428" s="3" t="s">
        <v>40</v>
      </c>
      <c r="E428" s="3" t="s">
        <v>25</v>
      </c>
      <c r="F428" s="3" t="s">
        <v>25</v>
      </c>
      <c r="G428" s="3" t="s">
        <v>25</v>
      </c>
      <c r="H428" s="3" t="s">
        <v>25</v>
      </c>
      <c r="I428" s="6">
        <v>44501</v>
      </c>
      <c r="J428" s="4">
        <v>0</v>
      </c>
      <c r="K428" s="4">
        <v>0</v>
      </c>
      <c r="L428" s="4">
        <v>38.518000000000001</v>
      </c>
      <c r="M428" s="4">
        <v>38.518000000000001</v>
      </c>
      <c r="N428" s="4">
        <v>38.518000000000001</v>
      </c>
      <c r="O428" s="4">
        <v>38.518000000000001</v>
      </c>
      <c r="P428" s="4">
        <v>22</v>
      </c>
      <c r="Q428" s="3" t="s">
        <v>26</v>
      </c>
      <c r="R428" s="3">
        <v>0</v>
      </c>
      <c r="S428" s="4">
        <v>0</v>
      </c>
      <c r="T428" s="4">
        <v>39</v>
      </c>
      <c r="U428" s="4">
        <v>73</v>
      </c>
      <c r="V428" s="4">
        <f>IF(ISERROR(VLOOKUP($S$428,'TAR FIN'!$A$1:$O$85,15,0)),0,VLOOKUP($S$428,'TAR FIN'!$A$1:$O$85,15,0))</f>
        <v>0</v>
      </c>
      <c r="W428" s="4">
        <f>IF(ISERROR(VLOOKUP($T$428,'TAR FIN'!$A$1:$O$85,15,0)),0,VLOOKUP($T$428,'TAR FIN'!$A$1:$O$85,15,0))</f>
        <v>792.41</v>
      </c>
      <c r="X428" s="4">
        <f>IF(ISERROR(VLOOKUP($U$428,'TAR FIN'!$A$1:$O$85,15,0)),0,VLOOKUP($U$428,'TAR FIN'!$A$1:$O$85,15,0))</f>
        <v>231.33</v>
      </c>
      <c r="Y428" s="4"/>
      <c r="Z428" s="4">
        <f ca="1">('TUSD BE'!$AM$48+'TUSD BF'!$AM$48+'TUSD CVA'!$AM$48)*1</f>
        <v>969.52247148289666</v>
      </c>
      <c r="AA428" s="4">
        <f>('TE BE'!$AA$39+'TE BF'!$AA$39+'TE CVA'!$AA$39)*1</f>
        <v>260.80314197522284</v>
      </c>
      <c r="AB428" s="4">
        <f>$K$428*$V$428</f>
        <v>0</v>
      </c>
      <c r="AC428" s="4">
        <f>$M$428*$W$428</f>
        <v>30522.04838</v>
      </c>
      <c r="AD428" s="4">
        <f>$O$428*$X$428</f>
        <v>8910.3689400000003</v>
      </c>
      <c r="AE428" s="4">
        <f>$K$428*$Y$428</f>
        <v>0</v>
      </c>
      <c r="AF428" s="4">
        <f ca="1">$M$428*$Z$428</f>
        <v>37344.066556578211</v>
      </c>
      <c r="AG428" s="4">
        <f>$O$428*$AA$428</f>
        <v>10045.615422601633</v>
      </c>
    </row>
    <row r="429" spans="1:33" ht="11.25" customHeight="1" x14ac:dyDescent="0.25">
      <c r="A429" s="3" t="s">
        <v>21</v>
      </c>
      <c r="B429" s="3" t="s">
        <v>39</v>
      </c>
      <c r="C429" s="3" t="s">
        <v>23</v>
      </c>
      <c r="D429" s="3" t="s">
        <v>40</v>
      </c>
      <c r="E429" s="3" t="s">
        <v>25</v>
      </c>
      <c r="F429" s="3" t="s">
        <v>25</v>
      </c>
      <c r="G429" s="3" t="s">
        <v>25</v>
      </c>
      <c r="H429" s="3" t="s">
        <v>25</v>
      </c>
      <c r="I429" s="6">
        <v>44531</v>
      </c>
      <c r="J429" s="4">
        <v>0</v>
      </c>
      <c r="K429" s="4">
        <v>0</v>
      </c>
      <c r="L429" s="4">
        <v>40.960999999999999</v>
      </c>
      <c r="M429" s="4">
        <v>40.960999999999999</v>
      </c>
      <c r="N429" s="4">
        <v>40.960999999999999</v>
      </c>
      <c r="O429" s="4">
        <v>40.960999999999999</v>
      </c>
      <c r="P429" s="4">
        <v>22</v>
      </c>
      <c r="Q429" s="3" t="s">
        <v>26</v>
      </c>
      <c r="R429" s="3">
        <v>0</v>
      </c>
      <c r="S429" s="4">
        <v>0</v>
      </c>
      <c r="T429" s="4">
        <v>39</v>
      </c>
      <c r="U429" s="4">
        <v>73</v>
      </c>
      <c r="V429" s="4">
        <f>IF(ISERROR(VLOOKUP($S$429,'TAR FIN'!$A$1:$O$85,15,0)),0,VLOOKUP($S$429,'TAR FIN'!$A$1:$O$85,15,0))</f>
        <v>0</v>
      </c>
      <c r="W429" s="4">
        <f>IF(ISERROR(VLOOKUP($T$429,'TAR FIN'!$A$1:$O$85,15,0)),0,VLOOKUP($T$429,'TAR FIN'!$A$1:$O$85,15,0))</f>
        <v>792.41</v>
      </c>
      <c r="X429" s="4">
        <f>IF(ISERROR(VLOOKUP($U$429,'TAR FIN'!$A$1:$O$85,15,0)),0,VLOOKUP($U$429,'TAR FIN'!$A$1:$O$85,15,0))</f>
        <v>231.33</v>
      </c>
      <c r="Y429" s="4"/>
      <c r="Z429" s="4">
        <f ca="1">('TUSD BE'!$AM$48+'TUSD BF'!$AM$48+'TUSD CVA'!$AM$48)*1</f>
        <v>969.52247148289666</v>
      </c>
      <c r="AA429" s="4">
        <f>('TE BE'!$AA$39+'TE BF'!$AA$39+'TE CVA'!$AA$39)*1</f>
        <v>260.80314197522284</v>
      </c>
      <c r="AB429" s="4">
        <f>$K$429*$V$429</f>
        <v>0</v>
      </c>
      <c r="AC429" s="4">
        <f>$M$429*$W$429</f>
        <v>32457.906009999999</v>
      </c>
      <c r="AD429" s="4">
        <f>$O$429*$X$429</f>
        <v>9475.5081300000002</v>
      </c>
      <c r="AE429" s="4">
        <f>$K$429*$Y$429</f>
        <v>0</v>
      </c>
      <c r="AF429" s="4">
        <f ca="1">$M$429*$Z$429</f>
        <v>39712.609954410931</v>
      </c>
      <c r="AG429" s="4">
        <f>$O$429*$AA$429</f>
        <v>10682.757498447103</v>
      </c>
    </row>
    <row r="430" spans="1:33" ht="11.25" customHeight="1" x14ac:dyDescent="0.25">
      <c r="A430" s="3" t="s">
        <v>21</v>
      </c>
      <c r="B430" s="3" t="s">
        <v>39</v>
      </c>
      <c r="C430" s="3" t="s">
        <v>23</v>
      </c>
      <c r="D430" s="3" t="s">
        <v>40</v>
      </c>
      <c r="E430" s="3" t="s">
        <v>25</v>
      </c>
      <c r="F430" s="3" t="s">
        <v>25</v>
      </c>
      <c r="G430" s="3" t="s">
        <v>25</v>
      </c>
      <c r="H430" s="3" t="s">
        <v>25</v>
      </c>
      <c r="I430" s="6">
        <v>44562</v>
      </c>
      <c r="J430" s="4">
        <v>0</v>
      </c>
      <c r="K430" s="4">
        <v>0</v>
      </c>
      <c r="L430" s="4">
        <v>39.140999999999998</v>
      </c>
      <c r="M430" s="4">
        <v>39.140999999999998</v>
      </c>
      <c r="N430" s="4">
        <v>39.140999999999998</v>
      </c>
      <c r="O430" s="4">
        <v>39.140999999999998</v>
      </c>
      <c r="P430" s="4">
        <v>22</v>
      </c>
      <c r="Q430" s="3" t="s">
        <v>26</v>
      </c>
      <c r="R430" s="3">
        <v>0</v>
      </c>
      <c r="S430" s="4">
        <v>0</v>
      </c>
      <c r="T430" s="4">
        <v>39</v>
      </c>
      <c r="U430" s="4">
        <v>73</v>
      </c>
      <c r="V430" s="4">
        <f>IF(ISERROR(VLOOKUP($S$430,'TAR FIN'!$A$1:$O$85,15,0)),0,VLOOKUP($S$430,'TAR FIN'!$A$1:$O$85,15,0))</f>
        <v>0</v>
      </c>
      <c r="W430" s="4">
        <f>IF(ISERROR(VLOOKUP($T$430,'TAR FIN'!$A$1:$O$85,15,0)),0,VLOOKUP($T$430,'TAR FIN'!$A$1:$O$85,15,0))</f>
        <v>792.41</v>
      </c>
      <c r="X430" s="4">
        <f>IF(ISERROR(VLOOKUP($U$430,'TAR FIN'!$A$1:$O$85,15,0)),0,VLOOKUP($U$430,'TAR FIN'!$A$1:$O$85,15,0))</f>
        <v>231.33</v>
      </c>
      <c r="Y430" s="4"/>
      <c r="Z430" s="4">
        <f ca="1">('TUSD BE'!$AM$48+'TUSD BF'!$AM$48+'TUSD CVA'!$AM$48)*1</f>
        <v>969.52247148289666</v>
      </c>
      <c r="AA430" s="4">
        <f>('TE BE'!$AA$39+'TE BF'!$AA$39+'TE CVA'!$AA$39)*1</f>
        <v>260.80314197522284</v>
      </c>
      <c r="AB430" s="4">
        <f>$K$430*$V$430</f>
        <v>0</v>
      </c>
      <c r="AC430" s="4">
        <f>$M$430*$W$430</f>
        <v>31015.719809999999</v>
      </c>
      <c r="AD430" s="4">
        <f>$O$430*$X$430</f>
        <v>9054.4875300000003</v>
      </c>
      <c r="AE430" s="4">
        <f>$K$430*$Y$430</f>
        <v>0</v>
      </c>
      <c r="AF430" s="4">
        <f ca="1">$M$430*$Z$430</f>
        <v>37948.079056312054</v>
      </c>
      <c r="AG430" s="4">
        <f>$O$430*$AA$430</f>
        <v>10208.095780052197</v>
      </c>
    </row>
    <row r="431" spans="1:33" ht="11.25" customHeight="1" x14ac:dyDescent="0.25">
      <c r="A431" s="3" t="s">
        <v>21</v>
      </c>
      <c r="B431" s="3" t="s">
        <v>39</v>
      </c>
      <c r="C431" s="3" t="s">
        <v>23</v>
      </c>
      <c r="D431" s="3" t="s">
        <v>40</v>
      </c>
      <c r="E431" s="3" t="s">
        <v>25</v>
      </c>
      <c r="F431" s="3" t="s">
        <v>25</v>
      </c>
      <c r="G431" s="3" t="s">
        <v>25</v>
      </c>
      <c r="H431" s="3" t="s">
        <v>25</v>
      </c>
      <c r="I431" s="6">
        <v>44593</v>
      </c>
      <c r="J431" s="4">
        <v>0</v>
      </c>
      <c r="K431" s="4">
        <v>0</v>
      </c>
      <c r="L431" s="4">
        <v>49.326999999999998</v>
      </c>
      <c r="M431" s="4">
        <v>49.326999999999998</v>
      </c>
      <c r="N431" s="4">
        <v>49.326999999999998</v>
      </c>
      <c r="O431" s="4">
        <v>49.326999999999998</v>
      </c>
      <c r="P431" s="4">
        <v>23</v>
      </c>
      <c r="Q431" s="3" t="s">
        <v>26</v>
      </c>
      <c r="R431" s="3">
        <v>0</v>
      </c>
      <c r="S431" s="4">
        <v>0</v>
      </c>
      <c r="T431" s="4">
        <v>39</v>
      </c>
      <c r="U431" s="4">
        <v>73</v>
      </c>
      <c r="V431" s="4">
        <f>IF(ISERROR(VLOOKUP($S$431,'TAR FIN'!$A$1:$O$85,15,0)),0,VLOOKUP($S$431,'TAR FIN'!$A$1:$O$85,15,0))</f>
        <v>0</v>
      </c>
      <c r="W431" s="4">
        <f>IF(ISERROR(VLOOKUP($T$431,'TAR FIN'!$A$1:$O$85,15,0)),0,VLOOKUP($T$431,'TAR FIN'!$A$1:$O$85,15,0))</f>
        <v>792.41</v>
      </c>
      <c r="X431" s="4">
        <f>IF(ISERROR(VLOOKUP($U$431,'TAR FIN'!$A$1:$O$85,15,0)),0,VLOOKUP($U$431,'TAR FIN'!$A$1:$O$85,15,0))</f>
        <v>231.33</v>
      </c>
      <c r="Y431" s="4"/>
      <c r="Z431" s="4">
        <f ca="1">('TUSD BE'!$AM$48+'TUSD BF'!$AM$48+'TUSD CVA'!$AM$48)*1</f>
        <v>969.52247148289666</v>
      </c>
      <c r="AA431" s="4">
        <f>('TE BE'!$AA$39+'TE BF'!$AA$39+'TE CVA'!$AA$39)*1</f>
        <v>260.80314197522284</v>
      </c>
      <c r="AB431" s="4">
        <f>$K$431*$V$431</f>
        <v>0</v>
      </c>
      <c r="AC431" s="4">
        <f>$M$431*$W$431</f>
        <v>39087.208070000001</v>
      </c>
      <c r="AD431" s="4">
        <f>$O$431*$X$431</f>
        <v>11410.814910000001</v>
      </c>
      <c r="AE431" s="4">
        <f>$K$431*$Y$431</f>
        <v>0</v>
      </c>
      <c r="AF431" s="4">
        <f ca="1">$M$431*$Z$431</f>
        <v>47823.634950836844</v>
      </c>
      <c r="AG431" s="4">
        <f>$O$431*$AA$431</f>
        <v>12864.636584211818</v>
      </c>
    </row>
    <row r="432" spans="1:33" ht="11.25" customHeight="1" x14ac:dyDescent="0.25">
      <c r="A432" s="3" t="s">
        <v>21</v>
      </c>
      <c r="B432" s="3" t="s">
        <v>39</v>
      </c>
      <c r="C432" s="3" t="s">
        <v>23</v>
      </c>
      <c r="D432" s="3" t="s">
        <v>40</v>
      </c>
      <c r="E432" s="3" t="s">
        <v>25</v>
      </c>
      <c r="F432" s="3" t="s">
        <v>25</v>
      </c>
      <c r="G432" s="3" t="s">
        <v>25</v>
      </c>
      <c r="H432" s="3" t="s">
        <v>25</v>
      </c>
      <c r="I432" s="6">
        <v>44621</v>
      </c>
      <c r="J432" s="4">
        <v>0</v>
      </c>
      <c r="K432" s="4">
        <v>0</v>
      </c>
      <c r="L432" s="4">
        <v>50.21</v>
      </c>
      <c r="M432" s="4">
        <v>50.21</v>
      </c>
      <c r="N432" s="4">
        <v>50.21</v>
      </c>
      <c r="O432" s="4">
        <v>50.21</v>
      </c>
      <c r="P432" s="4">
        <v>23</v>
      </c>
      <c r="Q432" s="3" t="s">
        <v>26</v>
      </c>
      <c r="R432" s="3">
        <v>0</v>
      </c>
      <c r="S432" s="4">
        <v>0</v>
      </c>
      <c r="T432" s="4">
        <v>39</v>
      </c>
      <c r="U432" s="4">
        <v>73</v>
      </c>
      <c r="V432" s="4">
        <f>IF(ISERROR(VLOOKUP($S$432,'TAR FIN'!$A$1:$O$85,15,0)),0,VLOOKUP($S$432,'TAR FIN'!$A$1:$O$85,15,0))</f>
        <v>0</v>
      </c>
      <c r="W432" s="4">
        <f>IF(ISERROR(VLOOKUP($T$432,'TAR FIN'!$A$1:$O$85,15,0)),0,VLOOKUP($T$432,'TAR FIN'!$A$1:$O$85,15,0))</f>
        <v>792.41</v>
      </c>
      <c r="X432" s="4">
        <f>IF(ISERROR(VLOOKUP($U$432,'TAR FIN'!$A$1:$O$85,15,0)),0,VLOOKUP($U$432,'TAR FIN'!$A$1:$O$85,15,0))</f>
        <v>231.33</v>
      </c>
      <c r="Y432" s="4"/>
      <c r="Z432" s="4">
        <f ca="1">('TUSD BE'!$AM$48+'TUSD BF'!$AM$48+'TUSD CVA'!$AM$48)*1</f>
        <v>969.52247148289666</v>
      </c>
      <c r="AA432" s="4">
        <f>('TE BE'!$AA$39+'TE BF'!$AA$39+'TE CVA'!$AA$39)*1</f>
        <v>260.80314197522284</v>
      </c>
      <c r="AB432" s="4">
        <f>$K$432*$V$432</f>
        <v>0</v>
      </c>
      <c r="AC432" s="4">
        <f>$M$432*$W$432</f>
        <v>39786.9061</v>
      </c>
      <c r="AD432" s="4">
        <f>$O$432*$X$432</f>
        <v>11615.079300000001</v>
      </c>
      <c r="AE432" s="4">
        <f>$K$432*$Y$432</f>
        <v>0</v>
      </c>
      <c r="AF432" s="4">
        <f ca="1">$M$432*$Z$432</f>
        <v>48679.723293156239</v>
      </c>
      <c r="AG432" s="4">
        <f>$O$432*$AA$432</f>
        <v>13094.925758575939</v>
      </c>
    </row>
    <row r="433" spans="1:33" ht="11.25" customHeight="1" x14ac:dyDescent="0.25">
      <c r="A433" s="3" t="s">
        <v>21</v>
      </c>
      <c r="B433" s="3" t="s">
        <v>39</v>
      </c>
      <c r="C433" s="3" t="s">
        <v>23</v>
      </c>
      <c r="D433" s="3" t="s">
        <v>45</v>
      </c>
      <c r="E433" s="3" t="s">
        <v>25</v>
      </c>
      <c r="F433" s="3" t="s">
        <v>25</v>
      </c>
      <c r="G433" s="3" t="s">
        <v>25</v>
      </c>
      <c r="H433" s="3" t="s">
        <v>25</v>
      </c>
      <c r="I433" s="6">
        <v>44287</v>
      </c>
      <c r="J433" s="4">
        <v>0</v>
      </c>
      <c r="K433" s="4">
        <v>0</v>
      </c>
      <c r="L433" s="4">
        <v>44.279000000000003</v>
      </c>
      <c r="M433" s="4">
        <v>44.279000000000003</v>
      </c>
      <c r="N433" s="4">
        <v>44.279000000000003</v>
      </c>
      <c r="O433" s="4">
        <v>44.279000000000003</v>
      </c>
      <c r="P433" s="4">
        <v>94</v>
      </c>
      <c r="Q433" s="3" t="s">
        <v>26</v>
      </c>
      <c r="R433" s="3">
        <v>0</v>
      </c>
      <c r="S433" s="4">
        <v>0</v>
      </c>
      <c r="T433" s="4">
        <v>39</v>
      </c>
      <c r="U433" s="4">
        <v>73</v>
      </c>
      <c r="V433" s="4">
        <f>IF(ISERROR(VLOOKUP($S$433,'TAR FIN'!$A$1:$O$85,15,0)),0,VLOOKUP($S$433,'TAR FIN'!$A$1:$O$85,15,0))</f>
        <v>0</v>
      </c>
      <c r="W433" s="4">
        <f>IF(ISERROR(VLOOKUP($T$433,'TAR FIN'!$A$1:$O$85,15,0)),0,VLOOKUP($T$433,'TAR FIN'!$A$1:$O$85,15,0))</f>
        <v>792.41</v>
      </c>
      <c r="X433" s="4">
        <f>IF(ISERROR(VLOOKUP($U$433,'TAR FIN'!$A$1:$O$85,15,0)),0,VLOOKUP($U$433,'TAR FIN'!$A$1:$O$85,15,0))</f>
        <v>231.33</v>
      </c>
      <c r="Y433" s="4"/>
      <c r="Z433" s="4">
        <f ca="1">('TUSD BE'!$AM$48+'TUSD BF'!$AM$48+'TUSD CVA'!$AM$48)*1</f>
        <v>969.52247148289666</v>
      </c>
      <c r="AA433" s="4">
        <f>('TE BE'!$AA$39+'TE BF'!$AA$39+'TE CVA'!$AA$39)*1</f>
        <v>260.80314197522284</v>
      </c>
      <c r="AB433" s="4">
        <f>$K$433*$V$433</f>
        <v>0</v>
      </c>
      <c r="AC433" s="4">
        <f>$M$433*$W$433</f>
        <v>35087.122390000004</v>
      </c>
      <c r="AD433" s="4">
        <f>$O$433*$X$433</f>
        <v>10243.061070000002</v>
      </c>
      <c r="AE433" s="4">
        <f>$K$433*$Y$433</f>
        <v>0</v>
      </c>
      <c r="AF433" s="4">
        <f ca="1">$M$433*$Z$433</f>
        <v>42929.485514791188</v>
      </c>
      <c r="AG433" s="4">
        <f>$O$433*$AA$433</f>
        <v>11548.102323520894</v>
      </c>
    </row>
    <row r="434" spans="1:33" ht="11.25" customHeight="1" x14ac:dyDescent="0.25">
      <c r="A434" s="3" t="s">
        <v>21</v>
      </c>
      <c r="B434" s="3" t="s">
        <v>39</v>
      </c>
      <c r="C434" s="3" t="s">
        <v>23</v>
      </c>
      <c r="D434" s="3" t="s">
        <v>45</v>
      </c>
      <c r="E434" s="3" t="s">
        <v>25</v>
      </c>
      <c r="F434" s="3" t="s">
        <v>25</v>
      </c>
      <c r="G434" s="3" t="s">
        <v>25</v>
      </c>
      <c r="H434" s="3" t="s">
        <v>25</v>
      </c>
      <c r="I434" s="6">
        <v>44317</v>
      </c>
      <c r="J434" s="4">
        <v>0</v>
      </c>
      <c r="K434" s="4">
        <v>0</v>
      </c>
      <c r="L434" s="4">
        <v>37.851999999999997</v>
      </c>
      <c r="M434" s="4">
        <v>37.851999999999997</v>
      </c>
      <c r="N434" s="4">
        <v>37.851999999999997</v>
      </c>
      <c r="O434" s="4">
        <v>37.851999999999997</v>
      </c>
      <c r="P434" s="4">
        <v>92</v>
      </c>
      <c r="Q434" s="3" t="s">
        <v>26</v>
      </c>
      <c r="R434" s="3">
        <v>0</v>
      </c>
      <c r="S434" s="4">
        <v>0</v>
      </c>
      <c r="T434" s="4">
        <v>39</v>
      </c>
      <c r="U434" s="4">
        <v>73</v>
      </c>
      <c r="V434" s="4">
        <f>IF(ISERROR(VLOOKUP($S$434,'TAR FIN'!$A$1:$O$85,15,0)),0,VLOOKUP($S$434,'TAR FIN'!$A$1:$O$85,15,0))</f>
        <v>0</v>
      </c>
      <c r="W434" s="4">
        <f>IF(ISERROR(VLOOKUP($T$434,'TAR FIN'!$A$1:$O$85,15,0)),0,VLOOKUP($T$434,'TAR FIN'!$A$1:$O$85,15,0))</f>
        <v>792.41</v>
      </c>
      <c r="X434" s="4">
        <f>IF(ISERROR(VLOOKUP($U$434,'TAR FIN'!$A$1:$O$85,15,0)),0,VLOOKUP($U$434,'TAR FIN'!$A$1:$O$85,15,0))</f>
        <v>231.33</v>
      </c>
      <c r="Y434" s="4"/>
      <c r="Z434" s="4">
        <f ca="1">('TUSD BE'!$AM$48+'TUSD BF'!$AM$48+'TUSD CVA'!$AM$48)*1</f>
        <v>969.52247148289666</v>
      </c>
      <c r="AA434" s="4">
        <f>('TE BE'!$AA$39+'TE BF'!$AA$39+'TE CVA'!$AA$39)*1</f>
        <v>260.80314197522284</v>
      </c>
      <c r="AB434" s="4">
        <f>$K$434*$V$434</f>
        <v>0</v>
      </c>
      <c r="AC434" s="4">
        <f>$M$434*$W$434</f>
        <v>29994.303319999995</v>
      </c>
      <c r="AD434" s="4">
        <f>$O$434*$X$434</f>
        <v>8756.3031599999995</v>
      </c>
      <c r="AE434" s="4">
        <f>$K$434*$Y$434</f>
        <v>0</v>
      </c>
      <c r="AF434" s="4">
        <f ca="1">$M$434*$Z$434</f>
        <v>36698.3645905706</v>
      </c>
      <c r="AG434" s="4">
        <f>$O$434*$AA$434</f>
        <v>9871.9205300461344</v>
      </c>
    </row>
    <row r="435" spans="1:33" ht="11.25" customHeight="1" x14ac:dyDescent="0.25">
      <c r="A435" s="3" t="s">
        <v>21</v>
      </c>
      <c r="B435" s="3" t="s">
        <v>39</v>
      </c>
      <c r="C435" s="3" t="s">
        <v>23</v>
      </c>
      <c r="D435" s="3" t="s">
        <v>45</v>
      </c>
      <c r="E435" s="3" t="s">
        <v>25</v>
      </c>
      <c r="F435" s="3" t="s">
        <v>25</v>
      </c>
      <c r="G435" s="3" t="s">
        <v>25</v>
      </c>
      <c r="H435" s="3" t="s">
        <v>25</v>
      </c>
      <c r="I435" s="6">
        <v>44348</v>
      </c>
      <c r="J435" s="4">
        <v>0</v>
      </c>
      <c r="K435" s="4">
        <v>0</v>
      </c>
      <c r="L435" s="4">
        <v>38.540999999999997</v>
      </c>
      <c r="M435" s="4">
        <v>38.540999999999997</v>
      </c>
      <c r="N435" s="4">
        <v>38.540999999999997</v>
      </c>
      <c r="O435" s="4">
        <v>38.540999999999997</v>
      </c>
      <c r="P435" s="4">
        <v>92</v>
      </c>
      <c r="Q435" s="3" t="s">
        <v>26</v>
      </c>
      <c r="R435" s="3">
        <v>0</v>
      </c>
      <c r="S435" s="4">
        <v>0</v>
      </c>
      <c r="T435" s="4">
        <v>39</v>
      </c>
      <c r="U435" s="4">
        <v>73</v>
      </c>
      <c r="V435" s="4">
        <f>IF(ISERROR(VLOOKUP($S$435,'TAR FIN'!$A$1:$O$85,15,0)),0,VLOOKUP($S$435,'TAR FIN'!$A$1:$O$85,15,0))</f>
        <v>0</v>
      </c>
      <c r="W435" s="4">
        <f>IF(ISERROR(VLOOKUP($T$435,'TAR FIN'!$A$1:$O$85,15,0)),0,VLOOKUP($T$435,'TAR FIN'!$A$1:$O$85,15,0))</f>
        <v>792.41</v>
      </c>
      <c r="X435" s="4">
        <f>IF(ISERROR(VLOOKUP($U$435,'TAR FIN'!$A$1:$O$85,15,0)),0,VLOOKUP($U$435,'TAR FIN'!$A$1:$O$85,15,0))</f>
        <v>231.33</v>
      </c>
      <c r="Y435" s="4"/>
      <c r="Z435" s="4">
        <f ca="1">('TUSD BE'!$AM$48+'TUSD BF'!$AM$48+'TUSD CVA'!$AM$48)*1</f>
        <v>969.52247148289666</v>
      </c>
      <c r="AA435" s="4">
        <f>('TE BE'!$AA$39+'TE BF'!$AA$39+'TE CVA'!$AA$39)*1</f>
        <v>260.80314197522284</v>
      </c>
      <c r="AB435" s="4">
        <f>$K$435*$V$435</f>
        <v>0</v>
      </c>
      <c r="AC435" s="4">
        <f>$M$435*$W$435</f>
        <v>30540.273809999995</v>
      </c>
      <c r="AD435" s="4">
        <f>$O$435*$X$435</f>
        <v>8915.6895299999996</v>
      </c>
      <c r="AE435" s="4">
        <f>$K$435*$Y$435</f>
        <v>0</v>
      </c>
      <c r="AF435" s="4">
        <f ca="1">$M$435*$Z$435</f>
        <v>37366.365573422314</v>
      </c>
      <c r="AG435" s="4">
        <f>$O$435*$AA$435</f>
        <v>10051.613894867063</v>
      </c>
    </row>
    <row r="436" spans="1:33" ht="11.25" customHeight="1" x14ac:dyDescent="0.25">
      <c r="A436" s="3" t="s">
        <v>21</v>
      </c>
      <c r="B436" s="3" t="s">
        <v>39</v>
      </c>
      <c r="C436" s="3" t="s">
        <v>23</v>
      </c>
      <c r="D436" s="3" t="s">
        <v>45</v>
      </c>
      <c r="E436" s="3" t="s">
        <v>25</v>
      </c>
      <c r="F436" s="3" t="s">
        <v>25</v>
      </c>
      <c r="G436" s="3" t="s">
        <v>25</v>
      </c>
      <c r="H436" s="3" t="s">
        <v>25</v>
      </c>
      <c r="I436" s="6">
        <v>44378</v>
      </c>
      <c r="J436" s="4">
        <v>0</v>
      </c>
      <c r="K436" s="4">
        <v>0</v>
      </c>
      <c r="L436" s="4">
        <v>35.408000000000001</v>
      </c>
      <c r="M436" s="4">
        <v>35.408000000000001</v>
      </c>
      <c r="N436" s="4">
        <v>35.408000000000001</v>
      </c>
      <c r="O436" s="4">
        <v>35.408000000000001</v>
      </c>
      <c r="P436" s="4">
        <v>92</v>
      </c>
      <c r="Q436" s="3" t="s">
        <v>26</v>
      </c>
      <c r="R436" s="3">
        <v>0</v>
      </c>
      <c r="S436" s="4">
        <v>0</v>
      </c>
      <c r="T436" s="4">
        <v>39</v>
      </c>
      <c r="U436" s="4">
        <v>73</v>
      </c>
      <c r="V436" s="4">
        <f>IF(ISERROR(VLOOKUP($S$436,'TAR FIN'!$A$1:$O$85,15,0)),0,VLOOKUP($S$436,'TAR FIN'!$A$1:$O$85,15,0))</f>
        <v>0</v>
      </c>
      <c r="W436" s="4">
        <f>IF(ISERROR(VLOOKUP($T$436,'TAR FIN'!$A$1:$O$85,15,0)),0,VLOOKUP($T$436,'TAR FIN'!$A$1:$O$85,15,0))</f>
        <v>792.41</v>
      </c>
      <c r="X436" s="4">
        <f>IF(ISERROR(VLOOKUP($U$436,'TAR FIN'!$A$1:$O$85,15,0)),0,VLOOKUP($U$436,'TAR FIN'!$A$1:$O$85,15,0))</f>
        <v>231.33</v>
      </c>
      <c r="Y436" s="4"/>
      <c r="Z436" s="4">
        <f ca="1">('TUSD BE'!$AM$48+'TUSD BF'!$AM$48+'TUSD CVA'!$AM$48)*1</f>
        <v>969.52247148289666</v>
      </c>
      <c r="AA436" s="4">
        <f>('TE BE'!$AA$39+'TE BF'!$AA$39+'TE CVA'!$AA$39)*1</f>
        <v>260.80314197522284</v>
      </c>
      <c r="AB436" s="4">
        <f>$K$436*$V$436</f>
        <v>0</v>
      </c>
      <c r="AC436" s="4">
        <f>$M$436*$W$436</f>
        <v>28057.653279999999</v>
      </c>
      <c r="AD436" s="4">
        <f>$O$436*$X$436</f>
        <v>8190.9326400000009</v>
      </c>
      <c r="AE436" s="4">
        <f>$K$436*$Y$436</f>
        <v>0</v>
      </c>
      <c r="AF436" s="4">
        <f ca="1">$M$436*$Z$436</f>
        <v>34328.851670266406</v>
      </c>
      <c r="AG436" s="4">
        <f>$O$436*$AA$436</f>
        <v>9234.5176510586916</v>
      </c>
    </row>
    <row r="437" spans="1:33" ht="11.25" customHeight="1" x14ac:dyDescent="0.25">
      <c r="A437" s="3" t="s">
        <v>21</v>
      </c>
      <c r="B437" s="3" t="s">
        <v>39</v>
      </c>
      <c r="C437" s="3" t="s">
        <v>23</v>
      </c>
      <c r="D437" s="3" t="s">
        <v>45</v>
      </c>
      <c r="E437" s="3" t="s">
        <v>25</v>
      </c>
      <c r="F437" s="3" t="s">
        <v>25</v>
      </c>
      <c r="G437" s="3" t="s">
        <v>25</v>
      </c>
      <c r="H437" s="3" t="s">
        <v>25</v>
      </c>
      <c r="I437" s="6">
        <v>44409</v>
      </c>
      <c r="J437" s="4">
        <v>0</v>
      </c>
      <c r="K437" s="4">
        <v>0</v>
      </c>
      <c r="L437" s="4">
        <v>37.517000000000003</v>
      </c>
      <c r="M437" s="4">
        <v>37.517000000000003</v>
      </c>
      <c r="N437" s="4">
        <v>37.517000000000003</v>
      </c>
      <c r="O437" s="4">
        <v>37.517000000000003</v>
      </c>
      <c r="P437" s="4">
        <v>92</v>
      </c>
      <c r="Q437" s="3" t="s">
        <v>26</v>
      </c>
      <c r="R437" s="3">
        <v>0</v>
      </c>
      <c r="S437" s="4">
        <v>0</v>
      </c>
      <c r="T437" s="4">
        <v>39</v>
      </c>
      <c r="U437" s="4">
        <v>73</v>
      </c>
      <c r="V437" s="4">
        <f>IF(ISERROR(VLOOKUP($S$437,'TAR FIN'!$A$1:$O$85,15,0)),0,VLOOKUP($S$437,'TAR FIN'!$A$1:$O$85,15,0))</f>
        <v>0</v>
      </c>
      <c r="W437" s="4">
        <f>IF(ISERROR(VLOOKUP($T$437,'TAR FIN'!$A$1:$O$85,15,0)),0,VLOOKUP($T$437,'TAR FIN'!$A$1:$O$85,15,0))</f>
        <v>792.41</v>
      </c>
      <c r="X437" s="4">
        <f>IF(ISERROR(VLOOKUP($U$437,'TAR FIN'!$A$1:$O$85,15,0)),0,VLOOKUP($U$437,'TAR FIN'!$A$1:$O$85,15,0))</f>
        <v>231.33</v>
      </c>
      <c r="Y437" s="4"/>
      <c r="Z437" s="4">
        <f ca="1">('TUSD BE'!$AM$48+'TUSD BF'!$AM$48+'TUSD CVA'!$AM$48)*1</f>
        <v>969.52247148289666</v>
      </c>
      <c r="AA437" s="4">
        <f>('TE BE'!$AA$39+'TE BF'!$AA$39+'TE CVA'!$AA$39)*1</f>
        <v>260.80314197522284</v>
      </c>
      <c r="AB437" s="4">
        <f>$K$437*$V$437</f>
        <v>0</v>
      </c>
      <c r="AC437" s="4">
        <f>$M$437*$W$437</f>
        <v>29728.845970000002</v>
      </c>
      <c r="AD437" s="4">
        <f>$O$437*$X$437</f>
        <v>8678.8076100000017</v>
      </c>
      <c r="AE437" s="4">
        <f>$K$437*$Y$437</f>
        <v>0</v>
      </c>
      <c r="AF437" s="4">
        <f ca="1">$M$437*$Z$437</f>
        <v>36373.574562623835</v>
      </c>
      <c r="AG437" s="4">
        <f>$O$437*$AA$437</f>
        <v>9784.551477484436</v>
      </c>
    </row>
    <row r="438" spans="1:33" ht="11.25" customHeight="1" x14ac:dyDescent="0.25">
      <c r="A438" s="3" t="s">
        <v>21</v>
      </c>
      <c r="B438" s="3" t="s">
        <v>39</v>
      </c>
      <c r="C438" s="3" t="s">
        <v>23</v>
      </c>
      <c r="D438" s="3" t="s">
        <v>45</v>
      </c>
      <c r="E438" s="3" t="s">
        <v>25</v>
      </c>
      <c r="F438" s="3" t="s">
        <v>25</v>
      </c>
      <c r="G438" s="3" t="s">
        <v>25</v>
      </c>
      <c r="H438" s="3" t="s">
        <v>25</v>
      </c>
      <c r="I438" s="6">
        <v>44440</v>
      </c>
      <c r="J438" s="4">
        <v>0</v>
      </c>
      <c r="K438" s="4">
        <v>0</v>
      </c>
      <c r="L438" s="4">
        <v>42.250999999999998</v>
      </c>
      <c r="M438" s="4">
        <v>42.250999999999998</v>
      </c>
      <c r="N438" s="4">
        <v>42.250999999999998</v>
      </c>
      <c r="O438" s="4">
        <v>42.250999999999998</v>
      </c>
      <c r="P438" s="4">
        <v>91</v>
      </c>
      <c r="Q438" s="3" t="s">
        <v>26</v>
      </c>
      <c r="R438" s="3">
        <v>0</v>
      </c>
      <c r="S438" s="4">
        <v>0</v>
      </c>
      <c r="T438" s="4">
        <v>39</v>
      </c>
      <c r="U438" s="4">
        <v>73</v>
      </c>
      <c r="V438" s="4">
        <f>IF(ISERROR(VLOOKUP($S$438,'TAR FIN'!$A$1:$O$85,15,0)),0,VLOOKUP($S$438,'TAR FIN'!$A$1:$O$85,15,0))</f>
        <v>0</v>
      </c>
      <c r="W438" s="4">
        <f>IF(ISERROR(VLOOKUP($T$438,'TAR FIN'!$A$1:$O$85,15,0)),0,VLOOKUP($T$438,'TAR FIN'!$A$1:$O$85,15,0))</f>
        <v>792.41</v>
      </c>
      <c r="X438" s="4">
        <f>IF(ISERROR(VLOOKUP($U$438,'TAR FIN'!$A$1:$O$85,15,0)),0,VLOOKUP($U$438,'TAR FIN'!$A$1:$O$85,15,0))</f>
        <v>231.33</v>
      </c>
      <c r="Y438" s="4"/>
      <c r="Z438" s="4">
        <f ca="1">('TUSD BE'!$AM$48+'TUSD BF'!$AM$48+'TUSD CVA'!$AM$48)*1</f>
        <v>969.52247148289666</v>
      </c>
      <c r="AA438" s="4">
        <f>('TE BE'!$AA$39+'TE BF'!$AA$39+'TE CVA'!$AA$39)*1</f>
        <v>260.80314197522284</v>
      </c>
      <c r="AB438" s="4">
        <f>$K$438*$V$438</f>
        <v>0</v>
      </c>
      <c r="AC438" s="4">
        <f>$M$438*$W$438</f>
        <v>33480.114909999997</v>
      </c>
      <c r="AD438" s="4">
        <f>$O$438*$X$438</f>
        <v>9773.9238299999997</v>
      </c>
      <c r="AE438" s="4">
        <f>$K$438*$Y$438</f>
        <v>0</v>
      </c>
      <c r="AF438" s="4">
        <f ca="1">$M$438*$Z$438</f>
        <v>40963.293942623866</v>
      </c>
      <c r="AG438" s="4">
        <f>$O$438*$AA$438</f>
        <v>11019.193551595139</v>
      </c>
    </row>
    <row r="439" spans="1:33" ht="11.25" customHeight="1" x14ac:dyDescent="0.25">
      <c r="A439" s="3" t="s">
        <v>21</v>
      </c>
      <c r="B439" s="3" t="s">
        <v>39</v>
      </c>
      <c r="C439" s="3" t="s">
        <v>23</v>
      </c>
      <c r="D439" s="3" t="s">
        <v>45</v>
      </c>
      <c r="E439" s="3" t="s">
        <v>25</v>
      </c>
      <c r="F439" s="3" t="s">
        <v>25</v>
      </c>
      <c r="G439" s="3" t="s">
        <v>25</v>
      </c>
      <c r="H439" s="3" t="s">
        <v>25</v>
      </c>
      <c r="I439" s="6">
        <v>44470</v>
      </c>
      <c r="J439" s="4">
        <v>0</v>
      </c>
      <c r="K439" s="4">
        <v>0</v>
      </c>
      <c r="L439" s="4">
        <v>42.232999999999997</v>
      </c>
      <c r="M439" s="4">
        <v>42.232999999999997</v>
      </c>
      <c r="N439" s="4">
        <v>42.232999999999997</v>
      </c>
      <c r="O439" s="4">
        <v>42.232999999999997</v>
      </c>
      <c r="P439" s="4">
        <v>91</v>
      </c>
      <c r="Q439" s="3" t="s">
        <v>26</v>
      </c>
      <c r="R439" s="3">
        <v>0</v>
      </c>
      <c r="S439" s="4">
        <v>0</v>
      </c>
      <c r="T439" s="4">
        <v>39</v>
      </c>
      <c r="U439" s="4">
        <v>73</v>
      </c>
      <c r="V439" s="4">
        <f>IF(ISERROR(VLOOKUP($S$439,'TAR FIN'!$A$1:$O$85,15,0)),0,VLOOKUP($S$439,'TAR FIN'!$A$1:$O$85,15,0))</f>
        <v>0</v>
      </c>
      <c r="W439" s="4">
        <f>IF(ISERROR(VLOOKUP($T$439,'TAR FIN'!$A$1:$O$85,15,0)),0,VLOOKUP($T$439,'TAR FIN'!$A$1:$O$85,15,0))</f>
        <v>792.41</v>
      </c>
      <c r="X439" s="4">
        <f>IF(ISERROR(VLOOKUP($U$439,'TAR FIN'!$A$1:$O$85,15,0)),0,VLOOKUP($U$439,'TAR FIN'!$A$1:$O$85,15,0))</f>
        <v>231.33</v>
      </c>
      <c r="Y439" s="4"/>
      <c r="Z439" s="4">
        <f ca="1">('TUSD BE'!$AM$48+'TUSD BF'!$AM$48+'TUSD CVA'!$AM$48)*1</f>
        <v>969.52247148289666</v>
      </c>
      <c r="AA439" s="4">
        <f>('TE BE'!$AA$39+'TE BF'!$AA$39+'TE CVA'!$AA$39)*1</f>
        <v>260.80314197522284</v>
      </c>
      <c r="AB439" s="4">
        <f>$K$439*$V$439</f>
        <v>0</v>
      </c>
      <c r="AC439" s="4">
        <f>$M$439*$W$439</f>
        <v>33465.851529999993</v>
      </c>
      <c r="AD439" s="4">
        <f>$O$439*$X$439</f>
        <v>9769.7598899999994</v>
      </c>
      <c r="AE439" s="4">
        <f>$K$439*$Y$439</f>
        <v>0</v>
      </c>
      <c r="AF439" s="4">
        <f ca="1">$M$439*$Z$439</f>
        <v>40945.842538137171</v>
      </c>
      <c r="AG439" s="4">
        <f>$O$439*$AA$439</f>
        <v>11014.499095039586</v>
      </c>
    </row>
    <row r="440" spans="1:33" ht="11.25" customHeight="1" x14ac:dyDescent="0.25">
      <c r="A440" s="3" t="s">
        <v>21</v>
      </c>
      <c r="B440" s="3" t="s">
        <v>39</v>
      </c>
      <c r="C440" s="3" t="s">
        <v>23</v>
      </c>
      <c r="D440" s="3" t="s">
        <v>45</v>
      </c>
      <c r="E440" s="3" t="s">
        <v>25</v>
      </c>
      <c r="F440" s="3" t="s">
        <v>25</v>
      </c>
      <c r="G440" s="3" t="s">
        <v>25</v>
      </c>
      <c r="H440" s="3" t="s">
        <v>25</v>
      </c>
      <c r="I440" s="6">
        <v>44501</v>
      </c>
      <c r="J440" s="4">
        <v>0</v>
      </c>
      <c r="K440" s="4">
        <v>0</v>
      </c>
      <c r="L440" s="4">
        <v>41.207000000000001</v>
      </c>
      <c r="M440" s="4">
        <v>41.207000000000001</v>
      </c>
      <c r="N440" s="4">
        <v>41.207000000000001</v>
      </c>
      <c r="O440" s="4">
        <v>41.207000000000001</v>
      </c>
      <c r="P440" s="4">
        <v>91</v>
      </c>
      <c r="Q440" s="3" t="s">
        <v>26</v>
      </c>
      <c r="R440" s="3">
        <v>0</v>
      </c>
      <c r="S440" s="4">
        <v>0</v>
      </c>
      <c r="T440" s="4">
        <v>39</v>
      </c>
      <c r="U440" s="4">
        <v>73</v>
      </c>
      <c r="V440" s="4">
        <f>IF(ISERROR(VLOOKUP($S$440,'TAR FIN'!$A$1:$O$85,15,0)),0,VLOOKUP($S$440,'TAR FIN'!$A$1:$O$85,15,0))</f>
        <v>0</v>
      </c>
      <c r="W440" s="4">
        <f>IF(ISERROR(VLOOKUP($T$440,'TAR FIN'!$A$1:$O$85,15,0)),0,VLOOKUP($T$440,'TAR FIN'!$A$1:$O$85,15,0))</f>
        <v>792.41</v>
      </c>
      <c r="X440" s="4">
        <f>IF(ISERROR(VLOOKUP($U$440,'TAR FIN'!$A$1:$O$85,15,0)),0,VLOOKUP($U$440,'TAR FIN'!$A$1:$O$85,15,0))</f>
        <v>231.33</v>
      </c>
      <c r="Y440" s="4"/>
      <c r="Z440" s="4">
        <f ca="1">('TUSD BE'!$AM$48+'TUSD BF'!$AM$48+'TUSD CVA'!$AM$48)*1</f>
        <v>969.52247148289666</v>
      </c>
      <c r="AA440" s="4">
        <f>('TE BE'!$AA$39+'TE BF'!$AA$39+'TE CVA'!$AA$39)*1</f>
        <v>260.80314197522284</v>
      </c>
      <c r="AB440" s="4">
        <f>$K$440*$V$440</f>
        <v>0</v>
      </c>
      <c r="AC440" s="4">
        <f>$M$440*$W$440</f>
        <v>32652.83887</v>
      </c>
      <c r="AD440" s="4">
        <f>$O$440*$X$440</f>
        <v>9532.4153100000003</v>
      </c>
      <c r="AE440" s="4">
        <f>$K$440*$Y$440</f>
        <v>0</v>
      </c>
      <c r="AF440" s="4">
        <f ca="1">$M$440*$Z$440</f>
        <v>39951.112482395722</v>
      </c>
      <c r="AG440" s="4">
        <f>$O$440*$AA$440</f>
        <v>10746.915071373009</v>
      </c>
    </row>
    <row r="441" spans="1:33" ht="11.25" customHeight="1" x14ac:dyDescent="0.25">
      <c r="A441" s="3" t="s">
        <v>21</v>
      </c>
      <c r="B441" s="3" t="s">
        <v>39</v>
      </c>
      <c r="C441" s="3" t="s">
        <v>23</v>
      </c>
      <c r="D441" s="3" t="s">
        <v>45</v>
      </c>
      <c r="E441" s="3" t="s">
        <v>25</v>
      </c>
      <c r="F441" s="3" t="s">
        <v>25</v>
      </c>
      <c r="G441" s="3" t="s">
        <v>25</v>
      </c>
      <c r="H441" s="3" t="s">
        <v>25</v>
      </c>
      <c r="I441" s="6">
        <v>44531</v>
      </c>
      <c r="J441" s="4">
        <v>0</v>
      </c>
      <c r="K441" s="4">
        <v>0</v>
      </c>
      <c r="L441" s="4">
        <v>48.945</v>
      </c>
      <c r="M441" s="4">
        <v>48.945</v>
      </c>
      <c r="N441" s="4">
        <v>48.945</v>
      </c>
      <c r="O441" s="4">
        <v>48.945</v>
      </c>
      <c r="P441" s="4">
        <v>91</v>
      </c>
      <c r="Q441" s="3" t="s">
        <v>26</v>
      </c>
      <c r="R441" s="3">
        <v>0</v>
      </c>
      <c r="S441" s="4">
        <v>0</v>
      </c>
      <c r="T441" s="4">
        <v>39</v>
      </c>
      <c r="U441" s="4">
        <v>73</v>
      </c>
      <c r="V441" s="4">
        <f>IF(ISERROR(VLOOKUP($S$441,'TAR FIN'!$A$1:$O$85,15,0)),0,VLOOKUP($S$441,'TAR FIN'!$A$1:$O$85,15,0))</f>
        <v>0</v>
      </c>
      <c r="W441" s="4">
        <f>IF(ISERROR(VLOOKUP($T$441,'TAR FIN'!$A$1:$O$85,15,0)),0,VLOOKUP($T$441,'TAR FIN'!$A$1:$O$85,15,0))</f>
        <v>792.41</v>
      </c>
      <c r="X441" s="4">
        <f>IF(ISERROR(VLOOKUP($U$441,'TAR FIN'!$A$1:$O$85,15,0)),0,VLOOKUP($U$441,'TAR FIN'!$A$1:$O$85,15,0))</f>
        <v>231.33</v>
      </c>
      <c r="Y441" s="4"/>
      <c r="Z441" s="4">
        <f ca="1">('TUSD BE'!$AM$48+'TUSD BF'!$AM$48+'TUSD CVA'!$AM$48)*1</f>
        <v>969.52247148289666</v>
      </c>
      <c r="AA441" s="4">
        <f>('TE BE'!$AA$39+'TE BF'!$AA$39+'TE CVA'!$AA$39)*1</f>
        <v>260.80314197522284</v>
      </c>
      <c r="AB441" s="4">
        <f>$K$441*$V$441</f>
        <v>0</v>
      </c>
      <c r="AC441" s="4">
        <f>$M$441*$W$441</f>
        <v>38784.507449999997</v>
      </c>
      <c r="AD441" s="4">
        <f>$O$441*$X$441</f>
        <v>11322.44685</v>
      </c>
      <c r="AE441" s="4">
        <f>$K$441*$Y$441</f>
        <v>0</v>
      </c>
      <c r="AF441" s="4">
        <f ca="1">$M$441*$Z$441</f>
        <v>47453.277366730377</v>
      </c>
      <c r="AG441" s="4">
        <f>$O$441*$AA$441</f>
        <v>12765.009783977282</v>
      </c>
    </row>
    <row r="442" spans="1:33" ht="11.25" customHeight="1" x14ac:dyDescent="0.25">
      <c r="A442" s="3" t="s">
        <v>21</v>
      </c>
      <c r="B442" s="3" t="s">
        <v>39</v>
      </c>
      <c r="C442" s="3" t="s">
        <v>23</v>
      </c>
      <c r="D442" s="3" t="s">
        <v>45</v>
      </c>
      <c r="E442" s="3" t="s">
        <v>25</v>
      </c>
      <c r="F442" s="3" t="s">
        <v>25</v>
      </c>
      <c r="G442" s="3" t="s">
        <v>25</v>
      </c>
      <c r="H442" s="3" t="s">
        <v>25</v>
      </c>
      <c r="I442" s="6">
        <v>44562</v>
      </c>
      <c r="J442" s="4">
        <v>0</v>
      </c>
      <c r="K442" s="4">
        <v>0</v>
      </c>
      <c r="L442" s="4">
        <v>46.067</v>
      </c>
      <c r="M442" s="4">
        <v>46.067</v>
      </c>
      <c r="N442" s="4">
        <v>46.067</v>
      </c>
      <c r="O442" s="4">
        <v>46.067</v>
      </c>
      <c r="P442" s="4">
        <v>91</v>
      </c>
      <c r="Q442" s="3" t="s">
        <v>26</v>
      </c>
      <c r="R442" s="3">
        <v>0</v>
      </c>
      <c r="S442" s="4">
        <v>0</v>
      </c>
      <c r="T442" s="4">
        <v>39</v>
      </c>
      <c r="U442" s="4">
        <v>73</v>
      </c>
      <c r="V442" s="4">
        <f>IF(ISERROR(VLOOKUP($S$442,'TAR FIN'!$A$1:$O$85,15,0)),0,VLOOKUP($S$442,'TAR FIN'!$A$1:$O$85,15,0))</f>
        <v>0</v>
      </c>
      <c r="W442" s="4">
        <f>IF(ISERROR(VLOOKUP($T$442,'TAR FIN'!$A$1:$O$85,15,0)),0,VLOOKUP($T$442,'TAR FIN'!$A$1:$O$85,15,0))</f>
        <v>792.41</v>
      </c>
      <c r="X442" s="4">
        <f>IF(ISERROR(VLOOKUP($U$442,'TAR FIN'!$A$1:$O$85,15,0)),0,VLOOKUP($U$442,'TAR FIN'!$A$1:$O$85,15,0))</f>
        <v>231.33</v>
      </c>
      <c r="Y442" s="4"/>
      <c r="Z442" s="4">
        <f ca="1">('TUSD BE'!$AM$48+'TUSD BF'!$AM$48+'TUSD CVA'!$AM$48)*1</f>
        <v>969.52247148289666</v>
      </c>
      <c r="AA442" s="4">
        <f>('TE BE'!$AA$39+'TE BF'!$AA$39+'TE CVA'!$AA$39)*1</f>
        <v>260.80314197522284</v>
      </c>
      <c r="AB442" s="4">
        <f>$K$442*$V$442</f>
        <v>0</v>
      </c>
      <c r="AC442" s="4">
        <f>$M$442*$W$442</f>
        <v>36503.95147</v>
      </c>
      <c r="AD442" s="4">
        <f>$O$442*$X$442</f>
        <v>10656.679110000001</v>
      </c>
      <c r="AE442" s="4">
        <f>$K$442*$Y$442</f>
        <v>0</v>
      </c>
      <c r="AF442" s="4">
        <f ca="1">$M$442*$Z$442</f>
        <v>44662.9916938026</v>
      </c>
      <c r="AG442" s="4">
        <f>$O$442*$AA$442</f>
        <v>12014.418341372591</v>
      </c>
    </row>
    <row r="443" spans="1:33" ht="11.25" customHeight="1" x14ac:dyDescent="0.25">
      <c r="A443" s="3" t="s">
        <v>21</v>
      </c>
      <c r="B443" s="3" t="s">
        <v>39</v>
      </c>
      <c r="C443" s="3" t="s">
        <v>23</v>
      </c>
      <c r="D443" s="3" t="s">
        <v>45</v>
      </c>
      <c r="E443" s="3" t="s">
        <v>25</v>
      </c>
      <c r="F443" s="3" t="s">
        <v>25</v>
      </c>
      <c r="G443" s="3" t="s">
        <v>25</v>
      </c>
      <c r="H443" s="3" t="s">
        <v>25</v>
      </c>
      <c r="I443" s="6">
        <v>44593</v>
      </c>
      <c r="J443" s="4">
        <v>0</v>
      </c>
      <c r="K443" s="4">
        <v>0</v>
      </c>
      <c r="L443" s="4">
        <v>53.371000000000002</v>
      </c>
      <c r="M443" s="4">
        <v>53.371000000000002</v>
      </c>
      <c r="N443" s="4">
        <v>53.371000000000002</v>
      </c>
      <c r="O443" s="4">
        <v>53.371000000000002</v>
      </c>
      <c r="P443" s="4">
        <v>91</v>
      </c>
      <c r="Q443" s="3" t="s">
        <v>26</v>
      </c>
      <c r="R443" s="3">
        <v>0</v>
      </c>
      <c r="S443" s="4">
        <v>0</v>
      </c>
      <c r="T443" s="4">
        <v>39</v>
      </c>
      <c r="U443" s="4">
        <v>73</v>
      </c>
      <c r="V443" s="4">
        <f>IF(ISERROR(VLOOKUP($S$443,'TAR FIN'!$A$1:$O$85,15,0)),0,VLOOKUP($S$443,'TAR FIN'!$A$1:$O$85,15,0))</f>
        <v>0</v>
      </c>
      <c r="W443" s="4">
        <f>IF(ISERROR(VLOOKUP($T$443,'TAR FIN'!$A$1:$O$85,15,0)),0,VLOOKUP($T$443,'TAR FIN'!$A$1:$O$85,15,0))</f>
        <v>792.41</v>
      </c>
      <c r="X443" s="4">
        <f>IF(ISERROR(VLOOKUP($U$443,'TAR FIN'!$A$1:$O$85,15,0)),0,VLOOKUP($U$443,'TAR FIN'!$A$1:$O$85,15,0))</f>
        <v>231.33</v>
      </c>
      <c r="Y443" s="4"/>
      <c r="Z443" s="4">
        <f ca="1">('TUSD BE'!$AM$48+'TUSD BF'!$AM$48+'TUSD CVA'!$AM$48)*1</f>
        <v>969.52247148289666</v>
      </c>
      <c r="AA443" s="4">
        <f>('TE BE'!$AA$39+'TE BF'!$AA$39+'TE CVA'!$AA$39)*1</f>
        <v>260.80314197522284</v>
      </c>
      <c r="AB443" s="4">
        <f>$K$443*$V$443</f>
        <v>0</v>
      </c>
      <c r="AC443" s="4">
        <f>$M$443*$W$443</f>
        <v>42291.714110000001</v>
      </c>
      <c r="AD443" s="4">
        <f>$O$443*$X$443</f>
        <v>12346.313430000002</v>
      </c>
      <c r="AE443" s="4">
        <f>$K$443*$Y$443</f>
        <v>0</v>
      </c>
      <c r="AF443" s="4">
        <f ca="1">$M$443*$Z$443</f>
        <v>51744.38382551368</v>
      </c>
      <c r="AG443" s="4">
        <f>$O$443*$AA$443</f>
        <v>13919.324490359619</v>
      </c>
    </row>
    <row r="444" spans="1:33" ht="11.25" customHeight="1" x14ac:dyDescent="0.25">
      <c r="A444" s="3" t="s">
        <v>21</v>
      </c>
      <c r="B444" s="3" t="s">
        <v>39</v>
      </c>
      <c r="C444" s="3" t="s">
        <v>23</v>
      </c>
      <c r="D444" s="3" t="s">
        <v>45</v>
      </c>
      <c r="E444" s="3" t="s">
        <v>25</v>
      </c>
      <c r="F444" s="3" t="s">
        <v>25</v>
      </c>
      <c r="G444" s="3" t="s">
        <v>25</v>
      </c>
      <c r="H444" s="3" t="s">
        <v>25</v>
      </c>
      <c r="I444" s="6">
        <v>44621</v>
      </c>
      <c r="J444" s="4">
        <v>0</v>
      </c>
      <c r="K444" s="4">
        <v>0</v>
      </c>
      <c r="L444" s="4">
        <v>60.41</v>
      </c>
      <c r="M444" s="4">
        <v>60.41</v>
      </c>
      <c r="N444" s="4">
        <v>60.41</v>
      </c>
      <c r="O444" s="4">
        <v>60.41</v>
      </c>
      <c r="P444" s="4">
        <v>91</v>
      </c>
      <c r="Q444" s="3" t="s">
        <v>26</v>
      </c>
      <c r="R444" s="3">
        <v>0</v>
      </c>
      <c r="S444" s="4">
        <v>0</v>
      </c>
      <c r="T444" s="4">
        <v>39</v>
      </c>
      <c r="U444" s="4">
        <v>73</v>
      </c>
      <c r="V444" s="4">
        <f>IF(ISERROR(VLOOKUP($S$444,'TAR FIN'!$A$1:$O$85,15,0)),0,VLOOKUP($S$444,'TAR FIN'!$A$1:$O$85,15,0))</f>
        <v>0</v>
      </c>
      <c r="W444" s="4">
        <f>IF(ISERROR(VLOOKUP($T$444,'TAR FIN'!$A$1:$O$85,15,0)),0,VLOOKUP($T$444,'TAR FIN'!$A$1:$O$85,15,0))</f>
        <v>792.41</v>
      </c>
      <c r="X444" s="4">
        <f>IF(ISERROR(VLOOKUP($U$444,'TAR FIN'!$A$1:$O$85,15,0)),0,VLOOKUP($U$444,'TAR FIN'!$A$1:$O$85,15,0))</f>
        <v>231.33</v>
      </c>
      <c r="Y444" s="4"/>
      <c r="Z444" s="4">
        <f ca="1">('TUSD BE'!$AM$48+'TUSD BF'!$AM$48+'TUSD CVA'!$AM$48)*1</f>
        <v>969.52247148289666</v>
      </c>
      <c r="AA444" s="4">
        <f>('TE BE'!$AA$39+'TE BF'!$AA$39+'TE CVA'!$AA$39)*1</f>
        <v>260.80314197522284</v>
      </c>
      <c r="AB444" s="4">
        <f>$K$444*$V$444</f>
        <v>0</v>
      </c>
      <c r="AC444" s="4">
        <f>$M$444*$W$444</f>
        <v>47869.488099999995</v>
      </c>
      <c r="AD444" s="4">
        <f>$O$444*$X$444</f>
        <v>13974.6453</v>
      </c>
      <c r="AE444" s="4">
        <f>$K$444*$Y$444</f>
        <v>0</v>
      </c>
      <c r="AF444" s="4">
        <f ca="1">$M$444*$Z$444</f>
        <v>58568.852502281785</v>
      </c>
      <c r="AG444" s="4">
        <f>$O$444*$AA$444</f>
        <v>15755.11780672321</v>
      </c>
    </row>
    <row r="445" spans="1:33" ht="11.25" customHeight="1" x14ac:dyDescent="0.25">
      <c r="A445" s="3" t="s">
        <v>21</v>
      </c>
      <c r="B445" s="3" t="s">
        <v>39</v>
      </c>
      <c r="C445" s="3" t="s">
        <v>23</v>
      </c>
      <c r="D445" s="3" t="s">
        <v>49</v>
      </c>
      <c r="E445" s="3" t="s">
        <v>50</v>
      </c>
      <c r="F445" s="3" t="s">
        <v>25</v>
      </c>
      <c r="G445" s="3" t="s">
        <v>25</v>
      </c>
      <c r="H445" s="3" t="s">
        <v>25</v>
      </c>
      <c r="I445" s="6">
        <v>44287</v>
      </c>
      <c r="J445" s="4">
        <v>0</v>
      </c>
      <c r="K445" s="69">
        <v>0</v>
      </c>
      <c r="L445" s="4">
        <v>18.096</v>
      </c>
      <c r="M445" s="69">
        <v>18.096</v>
      </c>
      <c r="N445" s="4">
        <v>18.096</v>
      </c>
      <c r="O445" s="69">
        <v>18.096</v>
      </c>
      <c r="P445" s="4">
        <v>7</v>
      </c>
      <c r="Q445" s="3" t="s">
        <v>26</v>
      </c>
      <c r="R445" s="3">
        <v>0</v>
      </c>
      <c r="S445" s="4">
        <v>0</v>
      </c>
      <c r="T445" s="4">
        <v>39</v>
      </c>
      <c r="U445" s="4">
        <v>73</v>
      </c>
      <c r="V445" s="69">
        <f>IF(ISERROR(VLOOKUP($S$445,'TAR FIN'!$A$1:$O$85,15,0)),0,VLOOKUP($S$445,'TAR FIN'!$A$1:$O$85,15,0))</f>
        <v>0</v>
      </c>
      <c r="W445" s="69">
        <f>IF(ISERROR(VLOOKUP($T$445,'TAR FIN'!$A$1:$O$85,15,0)),0,VLOOKUP($T$445,'TAR FIN'!$A$1:$O$85,15,0))*(1-0.06)</f>
        <v>744.86539999999991</v>
      </c>
      <c r="X445" s="69">
        <f>IF(ISERROR(VLOOKUP($U$445,'TAR FIN'!$A$1:$O$85,15,0)),0,VLOOKUP($U$445,'TAR FIN'!$A$1:$O$85,15,0))*(1-0.06)</f>
        <v>217.4502</v>
      </c>
      <c r="Y445" s="69"/>
      <c r="Z445" s="69">
        <f ca="1">('TUSD BE'!$AM$48+'TUSD BF'!$AM$48+'TUSD CVA'!$AM$48)*1*(1-0.03)</f>
        <v>940.43679733840975</v>
      </c>
      <c r="AA445" s="69">
        <f>('TE BE'!$AA$39+'TE BF'!$AA$39+'TE CVA'!$AA$39)*1*(1-0.03)</f>
        <v>252.97904771596615</v>
      </c>
      <c r="AB445" s="4">
        <f>$K$445*$V$445</f>
        <v>0</v>
      </c>
      <c r="AC445" s="4">
        <f>$M$445*$W$445</f>
        <v>13479.084278399998</v>
      </c>
      <c r="AD445" s="4">
        <f>$O$445*$X$445</f>
        <v>3934.9788192000001</v>
      </c>
      <c r="AE445" s="4">
        <f>$K$445*$Y$445</f>
        <v>0</v>
      </c>
      <c r="AF445" s="4">
        <f ca="1">$M$445*$Z$445</f>
        <v>17018.144284635862</v>
      </c>
      <c r="AG445" s="4">
        <f>$O$445*$AA$445</f>
        <v>4577.908847468123</v>
      </c>
    </row>
    <row r="446" spans="1:33" ht="11.25" customHeight="1" x14ac:dyDescent="0.25">
      <c r="A446" s="3" t="s">
        <v>21</v>
      </c>
      <c r="B446" s="3" t="s">
        <v>39</v>
      </c>
      <c r="C446" s="3" t="s">
        <v>23</v>
      </c>
      <c r="D446" s="3" t="s">
        <v>49</v>
      </c>
      <c r="E446" s="3" t="s">
        <v>50</v>
      </c>
      <c r="F446" s="3" t="s">
        <v>25</v>
      </c>
      <c r="G446" s="3" t="s">
        <v>25</v>
      </c>
      <c r="H446" s="3" t="s">
        <v>25</v>
      </c>
      <c r="I446" s="6">
        <v>44317</v>
      </c>
      <c r="J446" s="4">
        <v>0</v>
      </c>
      <c r="K446" s="69">
        <v>0</v>
      </c>
      <c r="L446" s="4">
        <v>17.581</v>
      </c>
      <c r="M446" s="69">
        <v>17.581</v>
      </c>
      <c r="N446" s="4">
        <v>17.581</v>
      </c>
      <c r="O446" s="69">
        <v>17.581</v>
      </c>
      <c r="P446" s="4">
        <v>7</v>
      </c>
      <c r="Q446" s="3" t="s">
        <v>26</v>
      </c>
      <c r="R446" s="3">
        <v>0</v>
      </c>
      <c r="S446" s="4">
        <v>0</v>
      </c>
      <c r="T446" s="4">
        <v>39</v>
      </c>
      <c r="U446" s="4">
        <v>73</v>
      </c>
      <c r="V446" s="69">
        <f>IF(ISERROR(VLOOKUP($S$446,'TAR FIN'!$A$1:$O$85,15,0)),0,VLOOKUP($S$446,'TAR FIN'!$A$1:$O$85,15,0))</f>
        <v>0</v>
      </c>
      <c r="W446" s="69">
        <f>IF(ISERROR(VLOOKUP($T$446,'TAR FIN'!$A$1:$O$85,15,0)),0,VLOOKUP($T$446,'TAR FIN'!$A$1:$O$85,15,0))*(1-0.06)</f>
        <v>744.86539999999991</v>
      </c>
      <c r="X446" s="69">
        <f>IF(ISERROR(VLOOKUP($U$446,'TAR FIN'!$A$1:$O$85,15,0)),0,VLOOKUP($U$446,'TAR FIN'!$A$1:$O$85,15,0))*(1-0.06)</f>
        <v>217.4502</v>
      </c>
      <c r="Y446" s="69"/>
      <c r="Z446" s="69">
        <f ca="1">('TUSD BE'!$AM$48+'TUSD BF'!$AM$48+'TUSD CVA'!$AM$48)*1*(1-0.03)</f>
        <v>940.43679733840975</v>
      </c>
      <c r="AA446" s="69">
        <f>('TE BE'!$AA$39+'TE BF'!$AA$39+'TE CVA'!$AA$39)*1*(1-0.03)</f>
        <v>252.97904771596615</v>
      </c>
      <c r="AB446" s="4">
        <f>$K$446*$V$446</f>
        <v>0</v>
      </c>
      <c r="AC446" s="4">
        <f>$M$446*$W$446</f>
        <v>13095.478597399999</v>
      </c>
      <c r="AD446" s="4">
        <f>$O$446*$X$446</f>
        <v>3822.9919661999998</v>
      </c>
      <c r="AE446" s="4">
        <f>$K$446*$Y$446</f>
        <v>0</v>
      </c>
      <c r="AF446" s="4">
        <f ca="1">$M$446*$Z$446</f>
        <v>16533.819334006581</v>
      </c>
      <c r="AG446" s="4">
        <f>$O$446*$AA$446</f>
        <v>4447.6246378944006</v>
      </c>
    </row>
    <row r="447" spans="1:33" ht="11.25" customHeight="1" x14ac:dyDescent="0.25">
      <c r="A447" s="3" t="s">
        <v>21</v>
      </c>
      <c r="B447" s="3" t="s">
        <v>39</v>
      </c>
      <c r="C447" s="3" t="s">
        <v>23</v>
      </c>
      <c r="D447" s="3" t="s">
        <v>49</v>
      </c>
      <c r="E447" s="3" t="s">
        <v>50</v>
      </c>
      <c r="F447" s="3" t="s">
        <v>25</v>
      </c>
      <c r="G447" s="3" t="s">
        <v>25</v>
      </c>
      <c r="H447" s="3" t="s">
        <v>25</v>
      </c>
      <c r="I447" s="6">
        <v>44348</v>
      </c>
      <c r="J447" s="4">
        <v>0</v>
      </c>
      <c r="K447" s="69">
        <v>0</v>
      </c>
      <c r="L447" s="4">
        <v>17.135999999999999</v>
      </c>
      <c r="M447" s="69">
        <v>17.135999999999999</v>
      </c>
      <c r="N447" s="4">
        <v>17.135999999999999</v>
      </c>
      <c r="O447" s="69">
        <v>17.135999999999999</v>
      </c>
      <c r="P447" s="4">
        <v>7</v>
      </c>
      <c r="Q447" s="3" t="s">
        <v>26</v>
      </c>
      <c r="R447" s="3">
        <v>0</v>
      </c>
      <c r="S447" s="4">
        <v>0</v>
      </c>
      <c r="T447" s="4">
        <v>39</v>
      </c>
      <c r="U447" s="4">
        <v>73</v>
      </c>
      <c r="V447" s="69">
        <f>IF(ISERROR(VLOOKUP($S$447,'TAR FIN'!$A$1:$O$85,15,0)),0,VLOOKUP($S$447,'TAR FIN'!$A$1:$O$85,15,0))</f>
        <v>0</v>
      </c>
      <c r="W447" s="69">
        <f>IF(ISERROR(VLOOKUP($T$447,'TAR FIN'!$A$1:$O$85,15,0)),0,VLOOKUP($T$447,'TAR FIN'!$A$1:$O$85,15,0))*(1-0.06)</f>
        <v>744.86539999999991</v>
      </c>
      <c r="X447" s="69">
        <f>IF(ISERROR(VLOOKUP($U$447,'TAR FIN'!$A$1:$O$85,15,0)),0,VLOOKUP($U$447,'TAR FIN'!$A$1:$O$85,15,0))*(1-0.06)</f>
        <v>217.4502</v>
      </c>
      <c r="Y447" s="69"/>
      <c r="Z447" s="69">
        <f ca="1">('TUSD BE'!$AM$48+'TUSD BF'!$AM$48+'TUSD CVA'!$AM$48)*1*(1-0.03)</f>
        <v>940.43679733840975</v>
      </c>
      <c r="AA447" s="69">
        <f>('TE BE'!$AA$39+'TE BF'!$AA$39+'TE CVA'!$AA$39)*1*(1-0.03)</f>
        <v>252.97904771596615</v>
      </c>
      <c r="AB447" s="4">
        <f>$K$447*$V$447</f>
        <v>0</v>
      </c>
      <c r="AC447" s="4">
        <f>$M$447*$W$447</f>
        <v>12764.013494399998</v>
      </c>
      <c r="AD447" s="4">
        <f>$O$447*$X$447</f>
        <v>3726.2266271999997</v>
      </c>
      <c r="AE447" s="4">
        <f>$K$447*$Y$447</f>
        <v>0</v>
      </c>
      <c r="AF447" s="4">
        <f ca="1">$M$447*$Z$447</f>
        <v>16115.324959190988</v>
      </c>
      <c r="AG447" s="4">
        <f>$O$447*$AA$447</f>
        <v>4335.0489616607956</v>
      </c>
    </row>
    <row r="448" spans="1:33" ht="11.25" customHeight="1" x14ac:dyDescent="0.25">
      <c r="A448" s="3" t="s">
        <v>21</v>
      </c>
      <c r="B448" s="3" t="s">
        <v>39</v>
      </c>
      <c r="C448" s="3" t="s">
        <v>23</v>
      </c>
      <c r="D448" s="3" t="s">
        <v>49</v>
      </c>
      <c r="E448" s="3" t="s">
        <v>50</v>
      </c>
      <c r="F448" s="3" t="s">
        <v>25</v>
      </c>
      <c r="G448" s="3" t="s">
        <v>25</v>
      </c>
      <c r="H448" s="3" t="s">
        <v>25</v>
      </c>
      <c r="I448" s="6">
        <v>44378</v>
      </c>
      <c r="J448" s="4">
        <v>0</v>
      </c>
      <c r="K448" s="69">
        <v>0</v>
      </c>
      <c r="L448" s="4">
        <v>17.015999999999998</v>
      </c>
      <c r="M448" s="69">
        <v>17.015999999999998</v>
      </c>
      <c r="N448" s="4">
        <v>17.015999999999998</v>
      </c>
      <c r="O448" s="69">
        <v>17.015999999999998</v>
      </c>
      <c r="P448" s="4">
        <v>7</v>
      </c>
      <c r="Q448" s="3" t="s">
        <v>26</v>
      </c>
      <c r="R448" s="3">
        <v>0</v>
      </c>
      <c r="S448" s="4">
        <v>0</v>
      </c>
      <c r="T448" s="4">
        <v>39</v>
      </c>
      <c r="U448" s="4">
        <v>73</v>
      </c>
      <c r="V448" s="69">
        <f>IF(ISERROR(VLOOKUP($S$448,'TAR FIN'!$A$1:$O$85,15,0)),0,VLOOKUP($S$448,'TAR FIN'!$A$1:$O$85,15,0))</f>
        <v>0</v>
      </c>
      <c r="W448" s="69">
        <f>IF(ISERROR(VLOOKUP($T$448,'TAR FIN'!$A$1:$O$85,15,0)),0,VLOOKUP($T$448,'TAR FIN'!$A$1:$O$85,15,0))*(1-0.06)</f>
        <v>744.86539999999991</v>
      </c>
      <c r="X448" s="69">
        <f>IF(ISERROR(VLOOKUP($U$448,'TAR FIN'!$A$1:$O$85,15,0)),0,VLOOKUP($U$448,'TAR FIN'!$A$1:$O$85,15,0))*(1-0.06)</f>
        <v>217.4502</v>
      </c>
      <c r="Y448" s="69"/>
      <c r="Z448" s="69">
        <f ca="1">('TUSD BE'!$AM$48+'TUSD BF'!$AM$48+'TUSD CVA'!$AM$48)*1*(1-0.03)</f>
        <v>940.43679733840975</v>
      </c>
      <c r="AA448" s="69">
        <f>('TE BE'!$AA$39+'TE BF'!$AA$39+'TE CVA'!$AA$39)*1*(1-0.03)</f>
        <v>252.97904771596615</v>
      </c>
      <c r="AB448" s="4">
        <f>$K$448*$V$448</f>
        <v>0</v>
      </c>
      <c r="AC448" s="4">
        <f>$M$448*$W$448</f>
        <v>12674.629646399997</v>
      </c>
      <c r="AD448" s="4">
        <f>$O$448*$X$448</f>
        <v>3700.1326031999997</v>
      </c>
      <c r="AE448" s="4">
        <f>$K$448*$Y$448</f>
        <v>0</v>
      </c>
      <c r="AF448" s="4">
        <f ca="1">$M$448*$Z$448</f>
        <v>16002.472543510379</v>
      </c>
      <c r="AG448" s="4">
        <f>$O$448*$AA$448</f>
        <v>4304.6914759348792</v>
      </c>
    </row>
    <row r="449" spans="1:33" ht="11.25" customHeight="1" x14ac:dyDescent="0.25">
      <c r="A449" s="3" t="s">
        <v>21</v>
      </c>
      <c r="B449" s="3" t="s">
        <v>39</v>
      </c>
      <c r="C449" s="3" t="s">
        <v>23</v>
      </c>
      <c r="D449" s="3" t="s">
        <v>49</v>
      </c>
      <c r="E449" s="3" t="s">
        <v>50</v>
      </c>
      <c r="F449" s="3" t="s">
        <v>25</v>
      </c>
      <c r="G449" s="3" t="s">
        <v>25</v>
      </c>
      <c r="H449" s="3" t="s">
        <v>25</v>
      </c>
      <c r="I449" s="6">
        <v>44409</v>
      </c>
      <c r="J449" s="4">
        <v>0</v>
      </c>
      <c r="K449" s="69">
        <v>0</v>
      </c>
      <c r="L449" s="4">
        <v>16.446999999999999</v>
      </c>
      <c r="M449" s="69">
        <v>16.446999999999999</v>
      </c>
      <c r="N449" s="4">
        <v>16.446999999999999</v>
      </c>
      <c r="O449" s="69">
        <v>16.446999999999999</v>
      </c>
      <c r="P449" s="4">
        <v>7</v>
      </c>
      <c r="Q449" s="3" t="s">
        <v>26</v>
      </c>
      <c r="R449" s="3">
        <v>0</v>
      </c>
      <c r="S449" s="4">
        <v>0</v>
      </c>
      <c r="T449" s="4">
        <v>39</v>
      </c>
      <c r="U449" s="4">
        <v>73</v>
      </c>
      <c r="V449" s="69">
        <f>IF(ISERROR(VLOOKUP($S$449,'TAR FIN'!$A$1:$O$85,15,0)),0,VLOOKUP($S$449,'TAR FIN'!$A$1:$O$85,15,0))</f>
        <v>0</v>
      </c>
      <c r="W449" s="69">
        <f>IF(ISERROR(VLOOKUP($T$449,'TAR FIN'!$A$1:$O$85,15,0)),0,VLOOKUP($T$449,'TAR FIN'!$A$1:$O$85,15,0))*(1-0.06)</f>
        <v>744.86539999999991</v>
      </c>
      <c r="X449" s="69">
        <f>IF(ISERROR(VLOOKUP($U$449,'TAR FIN'!$A$1:$O$85,15,0)),0,VLOOKUP($U$449,'TAR FIN'!$A$1:$O$85,15,0))*(1-0.06)</f>
        <v>217.4502</v>
      </c>
      <c r="Y449" s="69"/>
      <c r="Z449" s="69">
        <f ca="1">('TUSD BE'!$AM$48+'TUSD BF'!$AM$48+'TUSD CVA'!$AM$48)*1*(1-0.03)</f>
        <v>940.43679733840975</v>
      </c>
      <c r="AA449" s="69">
        <f>('TE BE'!$AA$39+'TE BF'!$AA$39+'TE CVA'!$AA$39)*1*(1-0.03)</f>
        <v>252.97904771596615</v>
      </c>
      <c r="AB449" s="4">
        <f>$K$449*$V$449</f>
        <v>0</v>
      </c>
      <c r="AC449" s="4">
        <f>$M$449*$W$449</f>
        <v>12250.801233799997</v>
      </c>
      <c r="AD449" s="4">
        <f>$O$449*$X$449</f>
        <v>3576.4034393999996</v>
      </c>
      <c r="AE449" s="4">
        <f>$K$449*$Y$449</f>
        <v>0</v>
      </c>
      <c r="AF449" s="4">
        <f ca="1">$M$449*$Z$449</f>
        <v>15467.364005824824</v>
      </c>
      <c r="AG449" s="4">
        <f>$O$449*$AA$449</f>
        <v>4160.7463977844945</v>
      </c>
    </row>
    <row r="450" spans="1:33" ht="11.25" customHeight="1" x14ac:dyDescent="0.25">
      <c r="A450" s="3" t="s">
        <v>21</v>
      </c>
      <c r="B450" s="3" t="s">
        <v>39</v>
      </c>
      <c r="C450" s="3" t="s">
        <v>23</v>
      </c>
      <c r="D450" s="3" t="s">
        <v>49</v>
      </c>
      <c r="E450" s="3" t="s">
        <v>50</v>
      </c>
      <c r="F450" s="3" t="s">
        <v>25</v>
      </c>
      <c r="G450" s="3" t="s">
        <v>25</v>
      </c>
      <c r="H450" s="3" t="s">
        <v>25</v>
      </c>
      <c r="I450" s="6">
        <v>44440</v>
      </c>
      <c r="J450" s="4">
        <v>0</v>
      </c>
      <c r="K450" s="69">
        <v>0</v>
      </c>
      <c r="L450" s="4">
        <v>18.122</v>
      </c>
      <c r="M450" s="69">
        <v>18.122</v>
      </c>
      <c r="N450" s="4">
        <v>18.122</v>
      </c>
      <c r="O450" s="69">
        <v>18.122</v>
      </c>
      <c r="P450" s="4">
        <v>7</v>
      </c>
      <c r="Q450" s="3" t="s">
        <v>26</v>
      </c>
      <c r="R450" s="3">
        <v>0</v>
      </c>
      <c r="S450" s="4">
        <v>0</v>
      </c>
      <c r="T450" s="4">
        <v>39</v>
      </c>
      <c r="U450" s="4">
        <v>73</v>
      </c>
      <c r="V450" s="69">
        <f>IF(ISERROR(VLOOKUP($S$450,'TAR FIN'!$A$1:$O$85,15,0)),0,VLOOKUP($S$450,'TAR FIN'!$A$1:$O$85,15,0))</f>
        <v>0</v>
      </c>
      <c r="W450" s="69">
        <f>IF(ISERROR(VLOOKUP($T$450,'TAR FIN'!$A$1:$O$85,15,0)),0,VLOOKUP($T$450,'TAR FIN'!$A$1:$O$85,15,0))*(1-0.06)</f>
        <v>744.86539999999991</v>
      </c>
      <c r="X450" s="69">
        <f>IF(ISERROR(VLOOKUP($U$450,'TAR FIN'!$A$1:$O$85,15,0)),0,VLOOKUP($U$450,'TAR FIN'!$A$1:$O$85,15,0))*(1-0.06)</f>
        <v>217.4502</v>
      </c>
      <c r="Y450" s="69"/>
      <c r="Z450" s="69">
        <f ca="1">('TUSD BE'!$AM$48+'TUSD BF'!$AM$48+'TUSD CVA'!$AM$48)*1*(1-0.03)</f>
        <v>940.43679733840975</v>
      </c>
      <c r="AA450" s="69">
        <f>('TE BE'!$AA$39+'TE BF'!$AA$39+'TE CVA'!$AA$39)*1*(1-0.03)</f>
        <v>252.97904771596615</v>
      </c>
      <c r="AB450" s="4">
        <f>$K$450*$V$450</f>
        <v>0</v>
      </c>
      <c r="AC450" s="4">
        <f>$M$450*$W$450</f>
        <v>13498.450778799997</v>
      </c>
      <c r="AD450" s="4">
        <f>$O$450*$X$450</f>
        <v>3940.6325244</v>
      </c>
      <c r="AE450" s="4">
        <f>$K$450*$Y$450</f>
        <v>0</v>
      </c>
      <c r="AF450" s="4">
        <f ca="1">$M$450*$Z$450</f>
        <v>17042.595641366661</v>
      </c>
      <c r="AG450" s="4">
        <f>$O$450*$AA$450</f>
        <v>4584.4863027087385</v>
      </c>
    </row>
    <row r="451" spans="1:33" ht="11.25" customHeight="1" x14ac:dyDescent="0.25">
      <c r="A451" s="3" t="s">
        <v>21</v>
      </c>
      <c r="B451" s="3" t="s">
        <v>39</v>
      </c>
      <c r="C451" s="3" t="s">
        <v>23</v>
      </c>
      <c r="D451" s="3" t="s">
        <v>49</v>
      </c>
      <c r="E451" s="3" t="s">
        <v>50</v>
      </c>
      <c r="F451" s="3" t="s">
        <v>25</v>
      </c>
      <c r="G451" s="3" t="s">
        <v>25</v>
      </c>
      <c r="H451" s="3" t="s">
        <v>25</v>
      </c>
      <c r="I451" s="6">
        <v>44470</v>
      </c>
      <c r="J451" s="4">
        <v>0</v>
      </c>
      <c r="K451" s="69">
        <v>0</v>
      </c>
      <c r="L451" s="4">
        <v>16.600000000000001</v>
      </c>
      <c r="M451" s="69">
        <v>16.600000000000001</v>
      </c>
      <c r="N451" s="4">
        <v>16.600000000000001</v>
      </c>
      <c r="O451" s="69">
        <v>16.600000000000001</v>
      </c>
      <c r="P451" s="4">
        <v>7</v>
      </c>
      <c r="Q451" s="3" t="s">
        <v>26</v>
      </c>
      <c r="R451" s="3">
        <v>0</v>
      </c>
      <c r="S451" s="4">
        <v>0</v>
      </c>
      <c r="T451" s="4">
        <v>39</v>
      </c>
      <c r="U451" s="4">
        <v>73</v>
      </c>
      <c r="V451" s="69">
        <f>IF(ISERROR(VLOOKUP($S$451,'TAR FIN'!$A$1:$O$85,15,0)),0,VLOOKUP($S$451,'TAR FIN'!$A$1:$O$85,15,0))</f>
        <v>0</v>
      </c>
      <c r="W451" s="69">
        <f>IF(ISERROR(VLOOKUP($T$451,'TAR FIN'!$A$1:$O$85,15,0)),0,VLOOKUP($T$451,'TAR FIN'!$A$1:$O$85,15,0))*(1-0.06)</f>
        <v>744.86539999999991</v>
      </c>
      <c r="X451" s="69">
        <f>IF(ISERROR(VLOOKUP($U$451,'TAR FIN'!$A$1:$O$85,15,0)),0,VLOOKUP($U$451,'TAR FIN'!$A$1:$O$85,15,0))*(1-0.06)</f>
        <v>217.4502</v>
      </c>
      <c r="Y451" s="69"/>
      <c r="Z451" s="69">
        <f ca="1">('TUSD BE'!$AM$48+'TUSD BF'!$AM$48+'TUSD CVA'!$AM$48)*1*(1-0.03)</f>
        <v>940.43679733840975</v>
      </c>
      <c r="AA451" s="69">
        <f>('TE BE'!$AA$39+'TE BF'!$AA$39+'TE CVA'!$AA$39)*1*(1-0.03)</f>
        <v>252.97904771596615</v>
      </c>
      <c r="AB451" s="4">
        <f>$K$451*$V$451</f>
        <v>0</v>
      </c>
      <c r="AC451" s="4">
        <f>$M$451*$W$451</f>
        <v>12364.76564</v>
      </c>
      <c r="AD451" s="4">
        <f>$O$451*$X$451</f>
        <v>3609.6733200000003</v>
      </c>
      <c r="AE451" s="4">
        <f>$K$451*$Y$451</f>
        <v>0</v>
      </c>
      <c r="AF451" s="4">
        <f ca="1">$M$451*$Z$451</f>
        <v>15611.250835817604</v>
      </c>
      <c r="AG451" s="4">
        <f>$O$451*$AA$451</f>
        <v>4199.4521920850384</v>
      </c>
    </row>
    <row r="452" spans="1:33" ht="11.25" customHeight="1" x14ac:dyDescent="0.25">
      <c r="A452" s="3" t="s">
        <v>21</v>
      </c>
      <c r="B452" s="3" t="s">
        <v>39</v>
      </c>
      <c r="C452" s="3" t="s">
        <v>23</v>
      </c>
      <c r="D452" s="3" t="s">
        <v>49</v>
      </c>
      <c r="E452" s="3" t="s">
        <v>50</v>
      </c>
      <c r="F452" s="3" t="s">
        <v>25</v>
      </c>
      <c r="G452" s="3" t="s">
        <v>25</v>
      </c>
      <c r="H452" s="3" t="s">
        <v>25</v>
      </c>
      <c r="I452" s="6">
        <v>44501</v>
      </c>
      <c r="J452" s="4">
        <v>0</v>
      </c>
      <c r="K452" s="69">
        <v>0</v>
      </c>
      <c r="L452" s="4">
        <v>16.931999999999999</v>
      </c>
      <c r="M452" s="69">
        <v>16.931999999999999</v>
      </c>
      <c r="N452" s="4">
        <v>16.931999999999999</v>
      </c>
      <c r="O452" s="69">
        <v>16.931999999999999</v>
      </c>
      <c r="P452" s="4">
        <v>7</v>
      </c>
      <c r="Q452" s="3" t="s">
        <v>26</v>
      </c>
      <c r="R452" s="3">
        <v>0</v>
      </c>
      <c r="S452" s="4">
        <v>0</v>
      </c>
      <c r="T452" s="4">
        <v>39</v>
      </c>
      <c r="U452" s="4">
        <v>73</v>
      </c>
      <c r="V452" s="69">
        <f>IF(ISERROR(VLOOKUP($S$452,'TAR FIN'!$A$1:$O$85,15,0)),0,VLOOKUP($S$452,'TAR FIN'!$A$1:$O$85,15,0))</f>
        <v>0</v>
      </c>
      <c r="W452" s="69">
        <f>IF(ISERROR(VLOOKUP($T$452,'TAR FIN'!$A$1:$O$85,15,0)),0,VLOOKUP($T$452,'TAR FIN'!$A$1:$O$85,15,0))*(1-0.06)</f>
        <v>744.86539999999991</v>
      </c>
      <c r="X452" s="69">
        <f>IF(ISERROR(VLOOKUP($U$452,'TAR FIN'!$A$1:$O$85,15,0)),0,VLOOKUP($U$452,'TAR FIN'!$A$1:$O$85,15,0))*(1-0.06)</f>
        <v>217.4502</v>
      </c>
      <c r="Y452" s="69"/>
      <c r="Z452" s="69">
        <f ca="1">('TUSD BE'!$AM$48+'TUSD BF'!$AM$48+'TUSD CVA'!$AM$48)*1*(1-0.03)</f>
        <v>940.43679733840975</v>
      </c>
      <c r="AA452" s="69">
        <f>('TE BE'!$AA$39+'TE BF'!$AA$39+'TE CVA'!$AA$39)*1*(1-0.03)</f>
        <v>252.97904771596615</v>
      </c>
      <c r="AB452" s="4">
        <f>$K$452*$V$452</f>
        <v>0</v>
      </c>
      <c r="AC452" s="4">
        <f>$M$452*$W$452</f>
        <v>12612.060952799997</v>
      </c>
      <c r="AD452" s="4">
        <f>$O$452*$X$452</f>
        <v>3681.8667863999995</v>
      </c>
      <c r="AE452" s="4">
        <f>$K$452*$Y$452</f>
        <v>0</v>
      </c>
      <c r="AF452" s="4">
        <f ca="1">$M$452*$Z$452</f>
        <v>15923.475852533953</v>
      </c>
      <c r="AG452" s="4">
        <f>$O$452*$AA$452</f>
        <v>4283.441235926738</v>
      </c>
    </row>
    <row r="453" spans="1:33" ht="11.25" customHeight="1" x14ac:dyDescent="0.25">
      <c r="A453" s="3" t="s">
        <v>21</v>
      </c>
      <c r="B453" s="3" t="s">
        <v>39</v>
      </c>
      <c r="C453" s="3" t="s">
        <v>23</v>
      </c>
      <c r="D453" s="3" t="s">
        <v>49</v>
      </c>
      <c r="E453" s="3" t="s">
        <v>50</v>
      </c>
      <c r="F453" s="3" t="s">
        <v>25</v>
      </c>
      <c r="G453" s="3" t="s">
        <v>25</v>
      </c>
      <c r="H453" s="3" t="s">
        <v>25</v>
      </c>
      <c r="I453" s="6">
        <v>44531</v>
      </c>
      <c r="J453" s="4">
        <v>0</v>
      </c>
      <c r="K453" s="69">
        <v>0</v>
      </c>
      <c r="L453" s="4">
        <v>16.931000000000001</v>
      </c>
      <c r="M453" s="69">
        <v>16.931000000000001</v>
      </c>
      <c r="N453" s="4">
        <v>16.931000000000001</v>
      </c>
      <c r="O453" s="69">
        <v>16.931000000000001</v>
      </c>
      <c r="P453" s="4">
        <v>7</v>
      </c>
      <c r="Q453" s="3" t="s">
        <v>26</v>
      </c>
      <c r="R453" s="3">
        <v>0</v>
      </c>
      <c r="S453" s="4">
        <v>0</v>
      </c>
      <c r="T453" s="4">
        <v>39</v>
      </c>
      <c r="U453" s="4">
        <v>73</v>
      </c>
      <c r="V453" s="69">
        <f>IF(ISERROR(VLOOKUP($S$453,'TAR FIN'!$A$1:$O$85,15,0)),0,VLOOKUP($S$453,'TAR FIN'!$A$1:$O$85,15,0))</f>
        <v>0</v>
      </c>
      <c r="W453" s="69">
        <f>IF(ISERROR(VLOOKUP($T$453,'TAR FIN'!$A$1:$O$85,15,0)),0,VLOOKUP($T$453,'TAR FIN'!$A$1:$O$85,15,0))*(1-0.06)</f>
        <v>744.86539999999991</v>
      </c>
      <c r="X453" s="69">
        <f>IF(ISERROR(VLOOKUP($U$453,'TAR FIN'!$A$1:$O$85,15,0)),0,VLOOKUP($U$453,'TAR FIN'!$A$1:$O$85,15,0))*(1-0.06)</f>
        <v>217.4502</v>
      </c>
      <c r="Y453" s="69"/>
      <c r="Z453" s="69">
        <f ca="1">('TUSD BE'!$AM$48+'TUSD BF'!$AM$48+'TUSD CVA'!$AM$48)*1*(1-0.03)</f>
        <v>940.43679733840975</v>
      </c>
      <c r="AA453" s="69">
        <f>('TE BE'!$AA$39+'TE BF'!$AA$39+'TE CVA'!$AA$39)*1*(1-0.03)</f>
        <v>252.97904771596615</v>
      </c>
      <c r="AB453" s="4">
        <f>$K$453*$V$453</f>
        <v>0</v>
      </c>
      <c r="AC453" s="4">
        <f>$M$453*$W$453</f>
        <v>12611.316087399999</v>
      </c>
      <c r="AD453" s="4">
        <f>$O$453*$X$453</f>
        <v>3681.6493362000001</v>
      </c>
      <c r="AE453" s="4">
        <f>$K$453*$Y$453</f>
        <v>0</v>
      </c>
      <c r="AF453" s="4">
        <f ca="1">$M$453*$Z$453</f>
        <v>15922.535415736616</v>
      </c>
      <c r="AG453" s="4">
        <f>$O$453*$AA$453</f>
        <v>4283.1882568790234</v>
      </c>
    </row>
    <row r="454" spans="1:33" ht="11.25" customHeight="1" x14ac:dyDescent="0.25">
      <c r="A454" s="3" t="s">
        <v>21</v>
      </c>
      <c r="B454" s="3" t="s">
        <v>39</v>
      </c>
      <c r="C454" s="3" t="s">
        <v>23</v>
      </c>
      <c r="D454" s="3" t="s">
        <v>49</v>
      </c>
      <c r="E454" s="3" t="s">
        <v>50</v>
      </c>
      <c r="F454" s="3" t="s">
        <v>25</v>
      </c>
      <c r="G454" s="3" t="s">
        <v>25</v>
      </c>
      <c r="H454" s="3" t="s">
        <v>25</v>
      </c>
      <c r="I454" s="6">
        <v>44562</v>
      </c>
      <c r="J454" s="4">
        <v>0</v>
      </c>
      <c r="K454" s="69">
        <v>0</v>
      </c>
      <c r="L454" s="4">
        <v>17.318000000000001</v>
      </c>
      <c r="M454" s="69">
        <v>17.318000000000001</v>
      </c>
      <c r="N454" s="4">
        <v>17.318000000000001</v>
      </c>
      <c r="O454" s="69">
        <v>17.318000000000001</v>
      </c>
      <c r="P454" s="4">
        <v>7</v>
      </c>
      <c r="Q454" s="3" t="s">
        <v>26</v>
      </c>
      <c r="R454" s="3">
        <v>0</v>
      </c>
      <c r="S454" s="4">
        <v>0</v>
      </c>
      <c r="T454" s="4">
        <v>39</v>
      </c>
      <c r="U454" s="4">
        <v>73</v>
      </c>
      <c r="V454" s="69">
        <f>IF(ISERROR(VLOOKUP($S$454,'TAR FIN'!$A$1:$O$85,15,0)),0,VLOOKUP($S$454,'TAR FIN'!$A$1:$O$85,15,0))</f>
        <v>0</v>
      </c>
      <c r="W454" s="69">
        <f>IF(ISERROR(VLOOKUP($T$454,'TAR FIN'!$A$1:$O$85,15,0)),0,VLOOKUP($T$454,'TAR FIN'!$A$1:$O$85,15,0))*(1-0.06)</f>
        <v>744.86539999999991</v>
      </c>
      <c r="X454" s="69">
        <f>IF(ISERROR(VLOOKUP($U$454,'TAR FIN'!$A$1:$O$85,15,0)),0,VLOOKUP($U$454,'TAR FIN'!$A$1:$O$85,15,0))*(1-0.06)</f>
        <v>217.4502</v>
      </c>
      <c r="Y454" s="69"/>
      <c r="Z454" s="69">
        <f ca="1">('TUSD BE'!$AM$48+'TUSD BF'!$AM$48+'TUSD CVA'!$AM$48)*1*(1-0.03)</f>
        <v>940.43679733840975</v>
      </c>
      <c r="AA454" s="69">
        <f>('TE BE'!$AA$39+'TE BF'!$AA$39+'TE CVA'!$AA$39)*1*(1-0.03)</f>
        <v>252.97904771596615</v>
      </c>
      <c r="AB454" s="4">
        <f>$K$454*$V$454</f>
        <v>0</v>
      </c>
      <c r="AC454" s="4">
        <f>$M$454*$W$454</f>
        <v>12899.5789972</v>
      </c>
      <c r="AD454" s="4">
        <f>$O$454*$X$454</f>
        <v>3765.8025636000002</v>
      </c>
      <c r="AE454" s="4">
        <f>$K$454*$Y$454</f>
        <v>0</v>
      </c>
      <c r="AF454" s="4">
        <f ca="1">$M$454*$Z$454</f>
        <v>16286.484456306582</v>
      </c>
      <c r="AG454" s="4">
        <f>$O$454*$AA$454</f>
        <v>4381.0911483451018</v>
      </c>
    </row>
    <row r="455" spans="1:33" ht="11.25" customHeight="1" x14ac:dyDescent="0.25">
      <c r="A455" s="3" t="s">
        <v>21</v>
      </c>
      <c r="B455" s="3" t="s">
        <v>39</v>
      </c>
      <c r="C455" s="3" t="s">
        <v>23</v>
      </c>
      <c r="D455" s="3" t="s">
        <v>49</v>
      </c>
      <c r="E455" s="3" t="s">
        <v>50</v>
      </c>
      <c r="F455" s="3" t="s">
        <v>25</v>
      </c>
      <c r="G455" s="3" t="s">
        <v>25</v>
      </c>
      <c r="H455" s="3" t="s">
        <v>25</v>
      </c>
      <c r="I455" s="6">
        <v>44593</v>
      </c>
      <c r="J455" s="4">
        <v>0</v>
      </c>
      <c r="K455" s="69">
        <v>0</v>
      </c>
      <c r="L455" s="4">
        <v>18.584</v>
      </c>
      <c r="M455" s="69">
        <v>18.584</v>
      </c>
      <c r="N455" s="4">
        <v>18.584</v>
      </c>
      <c r="O455" s="69">
        <v>18.584</v>
      </c>
      <c r="P455" s="4">
        <v>7</v>
      </c>
      <c r="Q455" s="3" t="s">
        <v>26</v>
      </c>
      <c r="R455" s="3">
        <v>0</v>
      </c>
      <c r="S455" s="4">
        <v>0</v>
      </c>
      <c r="T455" s="4">
        <v>39</v>
      </c>
      <c r="U455" s="4">
        <v>73</v>
      </c>
      <c r="V455" s="69">
        <f>IF(ISERROR(VLOOKUP($S$455,'TAR FIN'!$A$1:$O$85,15,0)),0,VLOOKUP($S$455,'TAR FIN'!$A$1:$O$85,15,0))</f>
        <v>0</v>
      </c>
      <c r="W455" s="69">
        <f>IF(ISERROR(VLOOKUP($T$455,'TAR FIN'!$A$1:$O$85,15,0)),0,VLOOKUP($T$455,'TAR FIN'!$A$1:$O$85,15,0))*(1-0.06)</f>
        <v>744.86539999999991</v>
      </c>
      <c r="X455" s="69">
        <f>IF(ISERROR(VLOOKUP($U$455,'TAR FIN'!$A$1:$O$85,15,0)),0,VLOOKUP($U$455,'TAR FIN'!$A$1:$O$85,15,0))*(1-0.06)</f>
        <v>217.4502</v>
      </c>
      <c r="Y455" s="69"/>
      <c r="Z455" s="69">
        <f ca="1">('TUSD BE'!$AM$48+'TUSD BF'!$AM$48+'TUSD CVA'!$AM$48)*1*(1-0.03)</f>
        <v>940.43679733840975</v>
      </c>
      <c r="AA455" s="69">
        <f>('TE BE'!$AA$39+'TE BF'!$AA$39+'TE CVA'!$AA$39)*1*(1-0.03)</f>
        <v>252.97904771596615</v>
      </c>
      <c r="AB455" s="4">
        <f>$K$455*$V$455</f>
        <v>0</v>
      </c>
      <c r="AC455" s="4">
        <f>$M$455*$W$455</f>
        <v>13842.578593599997</v>
      </c>
      <c r="AD455" s="4">
        <f>$O$455*$X$455</f>
        <v>4041.0945167999998</v>
      </c>
      <c r="AE455" s="4">
        <f>$K$455*$Y$455</f>
        <v>0</v>
      </c>
      <c r="AF455" s="4">
        <f ca="1">$M$455*$Z$455</f>
        <v>17477.077441737005</v>
      </c>
      <c r="AG455" s="4">
        <f>$O$455*$AA$455</f>
        <v>4701.3626227535151</v>
      </c>
    </row>
    <row r="456" spans="1:33" ht="11.25" customHeight="1" x14ac:dyDescent="0.25">
      <c r="A456" s="3" t="s">
        <v>21</v>
      </c>
      <c r="B456" s="3" t="s">
        <v>39</v>
      </c>
      <c r="C456" s="3" t="s">
        <v>23</v>
      </c>
      <c r="D456" s="3" t="s">
        <v>49</v>
      </c>
      <c r="E456" s="3" t="s">
        <v>50</v>
      </c>
      <c r="F456" s="3" t="s">
        <v>25</v>
      </c>
      <c r="G456" s="3" t="s">
        <v>25</v>
      </c>
      <c r="H456" s="3" t="s">
        <v>25</v>
      </c>
      <c r="I456" s="6">
        <v>44621</v>
      </c>
      <c r="J456" s="4">
        <v>0</v>
      </c>
      <c r="K456" s="69">
        <v>0</v>
      </c>
      <c r="L456" s="4">
        <v>17.818000000000001</v>
      </c>
      <c r="M456" s="69">
        <v>17.818000000000001</v>
      </c>
      <c r="N456" s="4">
        <v>17.818000000000001</v>
      </c>
      <c r="O456" s="69">
        <v>17.818000000000001</v>
      </c>
      <c r="P456" s="4">
        <v>8</v>
      </c>
      <c r="Q456" s="3" t="s">
        <v>26</v>
      </c>
      <c r="R456" s="3">
        <v>0</v>
      </c>
      <c r="S456" s="4">
        <v>0</v>
      </c>
      <c r="T456" s="4">
        <v>39</v>
      </c>
      <c r="U456" s="4">
        <v>73</v>
      </c>
      <c r="V456" s="69">
        <f>IF(ISERROR(VLOOKUP($S$456,'TAR FIN'!$A$1:$O$85,15,0)),0,VLOOKUP($S$456,'TAR FIN'!$A$1:$O$85,15,0))</f>
        <v>0</v>
      </c>
      <c r="W456" s="69">
        <f>IF(ISERROR(VLOOKUP($T$456,'TAR FIN'!$A$1:$O$85,15,0)),0,VLOOKUP($T$456,'TAR FIN'!$A$1:$O$85,15,0))*(1-0.06)</f>
        <v>744.86539999999991</v>
      </c>
      <c r="X456" s="69">
        <f>IF(ISERROR(VLOOKUP($U$456,'TAR FIN'!$A$1:$O$85,15,0)),0,VLOOKUP($U$456,'TAR FIN'!$A$1:$O$85,15,0))*(1-0.06)</f>
        <v>217.4502</v>
      </c>
      <c r="Y456" s="69"/>
      <c r="Z456" s="69">
        <f ca="1">('TUSD BE'!$AM$48+'TUSD BF'!$AM$48+'TUSD CVA'!$AM$48)*1*(1-0.03)</f>
        <v>940.43679733840975</v>
      </c>
      <c r="AA456" s="69">
        <f>('TE BE'!$AA$39+'TE BF'!$AA$39+'TE CVA'!$AA$39)*1*(1-0.03)</f>
        <v>252.97904771596615</v>
      </c>
      <c r="AB456" s="4">
        <f>$K$456*$V$456</f>
        <v>0</v>
      </c>
      <c r="AC456" s="4">
        <f>$M$456*$W$456</f>
        <v>13272.0116972</v>
      </c>
      <c r="AD456" s="4">
        <f>$O$456*$X$456</f>
        <v>3874.5276636000003</v>
      </c>
      <c r="AE456" s="4">
        <f>$K$456*$Y$456</f>
        <v>0</v>
      </c>
      <c r="AF456" s="4">
        <f ca="1">$M$456*$Z$456</f>
        <v>16756.702854975785</v>
      </c>
      <c r="AG456" s="4">
        <f>$O$456*$AA$456</f>
        <v>4507.5806722030848</v>
      </c>
    </row>
    <row r="457" spans="1:33" ht="11.25" customHeight="1" x14ac:dyDescent="0.25">
      <c r="A457" s="3" t="s">
        <v>21</v>
      </c>
      <c r="B457" s="3" t="s">
        <v>46</v>
      </c>
      <c r="C457" s="3" t="s">
        <v>23</v>
      </c>
      <c r="D457" s="3" t="s">
        <v>47</v>
      </c>
      <c r="E457" s="3" t="s">
        <v>48</v>
      </c>
      <c r="F457" s="3" t="s">
        <v>25</v>
      </c>
      <c r="G457" s="3" t="s">
        <v>25</v>
      </c>
      <c r="H457" s="3" t="s">
        <v>25</v>
      </c>
      <c r="I457" s="6">
        <v>44287</v>
      </c>
      <c r="J457" s="4">
        <v>0</v>
      </c>
      <c r="K457" s="4">
        <v>0</v>
      </c>
      <c r="L457" s="4">
        <v>274.584</v>
      </c>
      <c r="M457" s="4">
        <v>274.584</v>
      </c>
      <c r="N457" s="4">
        <v>274.584</v>
      </c>
      <c r="O457" s="4">
        <v>274.584</v>
      </c>
      <c r="P457" s="4">
        <v>5</v>
      </c>
      <c r="Q457" s="3" t="s">
        <v>26</v>
      </c>
      <c r="R457" s="3">
        <v>0</v>
      </c>
      <c r="S457" s="4">
        <v>0</v>
      </c>
      <c r="T457" s="4">
        <v>41</v>
      </c>
      <c r="U457" s="4">
        <v>75</v>
      </c>
      <c r="V457" s="4">
        <f>IF(ISERROR(VLOOKUP($S$457,'TAR FIN'!$A$1:$O$85,15,0)),0,VLOOKUP($S$457,'TAR FIN'!$A$1:$O$85,15,0))</f>
        <v>0</v>
      </c>
      <c r="W457" s="4">
        <f>IF(ISERROR(VLOOKUP($T$457,'TAR FIN'!$A$1:$O$85,15,0)),0,VLOOKUP($T$457,'TAR FIN'!$A$1:$O$85,15,0))</f>
        <v>435.83</v>
      </c>
      <c r="X457" s="4">
        <f>IF(ISERROR(VLOOKUP($U$457,'TAR FIN'!$A$1:$O$85,15,0)),0,VLOOKUP($U$457,'TAR FIN'!$A$1:$O$85,15,0))</f>
        <v>127.23</v>
      </c>
      <c r="Y457" s="4"/>
      <c r="Z457" s="4">
        <f ca="1">('TUSD BE'!$AM$50+'TUSD BF'!$AM$50+'TUSD CVA'!$AM$50)*1</f>
        <v>533.23735931559327</v>
      </c>
      <c r="AA457" s="4">
        <f>('TE BE'!$AA$41+'TE BF'!$AA$41+'TE CVA'!$AA$41)*1</f>
        <v>143.44172808637256</v>
      </c>
      <c r="AB457" s="4">
        <f>$K$457*$V$457</f>
        <v>0</v>
      </c>
      <c r="AC457" s="4">
        <f>$M$457*$W$457</f>
        <v>119671.94472</v>
      </c>
      <c r="AD457" s="4">
        <f>$O$457*$X$457</f>
        <v>34935.322319999999</v>
      </c>
      <c r="AE457" s="4">
        <f>$K$457*$Y$457</f>
        <v>0</v>
      </c>
      <c r="AF457" s="4">
        <f ca="1">$M$457*$Z$457</f>
        <v>146418.44707031286</v>
      </c>
      <c r="AG457" s="4">
        <f>$O$457*$AA$457</f>
        <v>39386.803464868528</v>
      </c>
    </row>
    <row r="458" spans="1:33" ht="11.25" customHeight="1" x14ac:dyDescent="0.25">
      <c r="A458" s="3" t="s">
        <v>21</v>
      </c>
      <c r="B458" s="3" t="s">
        <v>46</v>
      </c>
      <c r="C458" s="3" t="s">
        <v>23</v>
      </c>
      <c r="D458" s="3" t="s">
        <v>47</v>
      </c>
      <c r="E458" s="3" t="s">
        <v>48</v>
      </c>
      <c r="F458" s="3" t="s">
        <v>25</v>
      </c>
      <c r="G458" s="3" t="s">
        <v>25</v>
      </c>
      <c r="H458" s="3" t="s">
        <v>25</v>
      </c>
      <c r="I458" s="6">
        <v>44317</v>
      </c>
      <c r="J458" s="4">
        <v>0</v>
      </c>
      <c r="K458" s="4">
        <v>0</v>
      </c>
      <c r="L458" s="4">
        <v>283.738</v>
      </c>
      <c r="M458" s="4">
        <v>283.738</v>
      </c>
      <c r="N458" s="4">
        <v>283.738</v>
      </c>
      <c r="O458" s="4">
        <v>283.738</v>
      </c>
      <c r="P458" s="4">
        <v>5</v>
      </c>
      <c r="Q458" s="3" t="s">
        <v>26</v>
      </c>
      <c r="R458" s="3">
        <v>0</v>
      </c>
      <c r="S458" s="4">
        <v>0</v>
      </c>
      <c r="T458" s="4">
        <v>41</v>
      </c>
      <c r="U458" s="4">
        <v>75</v>
      </c>
      <c r="V458" s="4">
        <f>IF(ISERROR(VLOOKUP($S$458,'TAR FIN'!$A$1:$O$85,15,0)),0,VLOOKUP($S$458,'TAR FIN'!$A$1:$O$85,15,0))</f>
        <v>0</v>
      </c>
      <c r="W458" s="4">
        <f>IF(ISERROR(VLOOKUP($T$458,'TAR FIN'!$A$1:$O$85,15,0)),0,VLOOKUP($T$458,'TAR FIN'!$A$1:$O$85,15,0))</f>
        <v>435.83</v>
      </c>
      <c r="X458" s="4">
        <f>IF(ISERROR(VLOOKUP($U$458,'TAR FIN'!$A$1:$O$85,15,0)),0,VLOOKUP($U$458,'TAR FIN'!$A$1:$O$85,15,0))</f>
        <v>127.23</v>
      </c>
      <c r="Y458" s="4"/>
      <c r="Z458" s="4">
        <f ca="1">('TUSD BE'!$AM$50+'TUSD BF'!$AM$50+'TUSD CVA'!$AM$50)*1</f>
        <v>533.23735931559327</v>
      </c>
      <c r="AA458" s="4">
        <f>('TE BE'!$AA$41+'TE BF'!$AA$41+'TE CVA'!$AA$41)*1</f>
        <v>143.44172808637256</v>
      </c>
      <c r="AB458" s="4">
        <f>$K$458*$V$458</f>
        <v>0</v>
      </c>
      <c r="AC458" s="4">
        <f>$M$458*$W$458</f>
        <v>123661.53254</v>
      </c>
      <c r="AD458" s="4">
        <f>$O$458*$X$458</f>
        <v>36099.985740000004</v>
      </c>
      <c r="AE458" s="4">
        <f>$K$458*$Y$458</f>
        <v>0</v>
      </c>
      <c r="AF458" s="4">
        <f ca="1">$M$458*$Z$458</f>
        <v>151299.70185748782</v>
      </c>
      <c r="AG458" s="4">
        <f>$O$458*$AA$458</f>
        <v>40699.869043771178</v>
      </c>
    </row>
    <row r="459" spans="1:33" ht="11.25" customHeight="1" x14ac:dyDescent="0.25">
      <c r="A459" s="3" t="s">
        <v>21</v>
      </c>
      <c r="B459" s="3" t="s">
        <v>46</v>
      </c>
      <c r="C459" s="3" t="s">
        <v>23</v>
      </c>
      <c r="D459" s="3" t="s">
        <v>47</v>
      </c>
      <c r="E459" s="3" t="s">
        <v>48</v>
      </c>
      <c r="F459" s="3" t="s">
        <v>25</v>
      </c>
      <c r="G459" s="3" t="s">
        <v>25</v>
      </c>
      <c r="H459" s="3" t="s">
        <v>25</v>
      </c>
      <c r="I459" s="6">
        <v>44348</v>
      </c>
      <c r="J459" s="4">
        <v>0</v>
      </c>
      <c r="K459" s="4">
        <v>0</v>
      </c>
      <c r="L459" s="4">
        <v>274.584</v>
      </c>
      <c r="M459" s="4">
        <v>274.584</v>
      </c>
      <c r="N459" s="4">
        <v>274.584</v>
      </c>
      <c r="O459" s="4">
        <v>274.584</v>
      </c>
      <c r="P459" s="4">
        <v>5</v>
      </c>
      <c r="Q459" s="3" t="s">
        <v>26</v>
      </c>
      <c r="R459" s="3">
        <v>0</v>
      </c>
      <c r="S459" s="4">
        <v>0</v>
      </c>
      <c r="T459" s="4">
        <v>41</v>
      </c>
      <c r="U459" s="4">
        <v>75</v>
      </c>
      <c r="V459" s="4">
        <f>IF(ISERROR(VLOOKUP($S$459,'TAR FIN'!$A$1:$O$85,15,0)),0,VLOOKUP($S$459,'TAR FIN'!$A$1:$O$85,15,0))</f>
        <v>0</v>
      </c>
      <c r="W459" s="4">
        <f>IF(ISERROR(VLOOKUP($T$459,'TAR FIN'!$A$1:$O$85,15,0)),0,VLOOKUP($T$459,'TAR FIN'!$A$1:$O$85,15,0))</f>
        <v>435.83</v>
      </c>
      <c r="X459" s="4">
        <f>IF(ISERROR(VLOOKUP($U$459,'TAR FIN'!$A$1:$O$85,15,0)),0,VLOOKUP($U$459,'TAR FIN'!$A$1:$O$85,15,0))</f>
        <v>127.23</v>
      </c>
      <c r="Y459" s="4"/>
      <c r="Z459" s="4">
        <f ca="1">('TUSD BE'!$AM$50+'TUSD BF'!$AM$50+'TUSD CVA'!$AM$50)*1</f>
        <v>533.23735931559327</v>
      </c>
      <c r="AA459" s="4">
        <f>('TE BE'!$AA$41+'TE BF'!$AA$41+'TE CVA'!$AA$41)*1</f>
        <v>143.44172808637256</v>
      </c>
      <c r="AB459" s="4">
        <f>$K$459*$V$459</f>
        <v>0</v>
      </c>
      <c r="AC459" s="4">
        <f>$M$459*$W$459</f>
        <v>119671.94472</v>
      </c>
      <c r="AD459" s="4">
        <f>$O$459*$X$459</f>
        <v>34935.322319999999</v>
      </c>
      <c r="AE459" s="4">
        <f>$K$459*$Y$459</f>
        <v>0</v>
      </c>
      <c r="AF459" s="4">
        <f ca="1">$M$459*$Z$459</f>
        <v>146418.44707031286</v>
      </c>
      <c r="AG459" s="4">
        <f>$O$459*$AA$459</f>
        <v>39386.803464868528</v>
      </c>
    </row>
    <row r="460" spans="1:33" ht="11.25" customHeight="1" x14ac:dyDescent="0.25">
      <c r="A460" s="3" t="s">
        <v>21</v>
      </c>
      <c r="B460" s="3" t="s">
        <v>46</v>
      </c>
      <c r="C460" s="3" t="s">
        <v>23</v>
      </c>
      <c r="D460" s="3" t="s">
        <v>47</v>
      </c>
      <c r="E460" s="3" t="s">
        <v>48</v>
      </c>
      <c r="F460" s="3" t="s">
        <v>25</v>
      </c>
      <c r="G460" s="3" t="s">
        <v>25</v>
      </c>
      <c r="H460" s="3" t="s">
        <v>25</v>
      </c>
      <c r="I460" s="6">
        <v>44378</v>
      </c>
      <c r="J460" s="4">
        <v>0</v>
      </c>
      <c r="K460" s="4">
        <v>0</v>
      </c>
      <c r="L460" s="4">
        <v>283.738</v>
      </c>
      <c r="M460" s="4">
        <v>283.738</v>
      </c>
      <c r="N460" s="4">
        <v>283.738</v>
      </c>
      <c r="O460" s="4">
        <v>283.738</v>
      </c>
      <c r="P460" s="4">
        <v>5</v>
      </c>
      <c r="Q460" s="3" t="s">
        <v>26</v>
      </c>
      <c r="R460" s="3">
        <v>0</v>
      </c>
      <c r="S460" s="4">
        <v>0</v>
      </c>
      <c r="T460" s="4">
        <v>41</v>
      </c>
      <c r="U460" s="4">
        <v>75</v>
      </c>
      <c r="V460" s="4">
        <f>IF(ISERROR(VLOOKUP($S$460,'TAR FIN'!$A$1:$O$85,15,0)),0,VLOOKUP($S$460,'TAR FIN'!$A$1:$O$85,15,0))</f>
        <v>0</v>
      </c>
      <c r="W460" s="4">
        <f>IF(ISERROR(VLOOKUP($T$460,'TAR FIN'!$A$1:$O$85,15,0)),0,VLOOKUP($T$460,'TAR FIN'!$A$1:$O$85,15,0))</f>
        <v>435.83</v>
      </c>
      <c r="X460" s="4">
        <f>IF(ISERROR(VLOOKUP($U$460,'TAR FIN'!$A$1:$O$85,15,0)),0,VLOOKUP($U$460,'TAR FIN'!$A$1:$O$85,15,0))</f>
        <v>127.23</v>
      </c>
      <c r="Y460" s="4"/>
      <c r="Z460" s="4">
        <f ca="1">('TUSD BE'!$AM$50+'TUSD BF'!$AM$50+'TUSD CVA'!$AM$50)*1</f>
        <v>533.23735931559327</v>
      </c>
      <c r="AA460" s="4">
        <f>('TE BE'!$AA$41+'TE BF'!$AA$41+'TE CVA'!$AA$41)*1</f>
        <v>143.44172808637256</v>
      </c>
      <c r="AB460" s="4">
        <f>$K$460*$V$460</f>
        <v>0</v>
      </c>
      <c r="AC460" s="4">
        <f>$M$460*$W$460</f>
        <v>123661.53254</v>
      </c>
      <c r="AD460" s="4">
        <f>$O$460*$X$460</f>
        <v>36099.985740000004</v>
      </c>
      <c r="AE460" s="4">
        <f>$K$460*$Y$460</f>
        <v>0</v>
      </c>
      <c r="AF460" s="4">
        <f ca="1">$M$460*$Z$460</f>
        <v>151299.70185748782</v>
      </c>
      <c r="AG460" s="4">
        <f>$O$460*$AA$460</f>
        <v>40699.869043771178</v>
      </c>
    </row>
    <row r="461" spans="1:33" ht="11.25" customHeight="1" x14ac:dyDescent="0.25">
      <c r="A461" s="3" t="s">
        <v>21</v>
      </c>
      <c r="B461" s="3" t="s">
        <v>46</v>
      </c>
      <c r="C461" s="3" t="s">
        <v>23</v>
      </c>
      <c r="D461" s="3" t="s">
        <v>47</v>
      </c>
      <c r="E461" s="3" t="s">
        <v>48</v>
      </c>
      <c r="F461" s="3" t="s">
        <v>25</v>
      </c>
      <c r="G461" s="3" t="s">
        <v>25</v>
      </c>
      <c r="H461" s="3" t="s">
        <v>25</v>
      </c>
      <c r="I461" s="6">
        <v>44409</v>
      </c>
      <c r="J461" s="4">
        <v>0</v>
      </c>
      <c r="K461" s="4">
        <v>0</v>
      </c>
      <c r="L461" s="4">
        <v>283.738</v>
      </c>
      <c r="M461" s="4">
        <v>283.738</v>
      </c>
      <c r="N461" s="4">
        <v>283.738</v>
      </c>
      <c r="O461" s="4">
        <v>283.738</v>
      </c>
      <c r="P461" s="4">
        <v>5</v>
      </c>
      <c r="Q461" s="3" t="s">
        <v>26</v>
      </c>
      <c r="R461" s="3">
        <v>0</v>
      </c>
      <c r="S461" s="4">
        <v>0</v>
      </c>
      <c r="T461" s="4">
        <v>41</v>
      </c>
      <c r="U461" s="4">
        <v>75</v>
      </c>
      <c r="V461" s="4">
        <f>IF(ISERROR(VLOOKUP($S$461,'TAR FIN'!$A$1:$O$85,15,0)),0,VLOOKUP($S$461,'TAR FIN'!$A$1:$O$85,15,0))</f>
        <v>0</v>
      </c>
      <c r="W461" s="4">
        <f>IF(ISERROR(VLOOKUP($T$461,'TAR FIN'!$A$1:$O$85,15,0)),0,VLOOKUP($T$461,'TAR FIN'!$A$1:$O$85,15,0))</f>
        <v>435.83</v>
      </c>
      <c r="X461" s="4">
        <f>IF(ISERROR(VLOOKUP($U$461,'TAR FIN'!$A$1:$O$85,15,0)),0,VLOOKUP($U$461,'TAR FIN'!$A$1:$O$85,15,0))</f>
        <v>127.23</v>
      </c>
      <c r="Y461" s="4"/>
      <c r="Z461" s="4">
        <f ca="1">('TUSD BE'!$AM$50+'TUSD BF'!$AM$50+'TUSD CVA'!$AM$50)*1</f>
        <v>533.23735931559327</v>
      </c>
      <c r="AA461" s="4">
        <f>('TE BE'!$AA$41+'TE BF'!$AA$41+'TE CVA'!$AA$41)*1</f>
        <v>143.44172808637256</v>
      </c>
      <c r="AB461" s="4">
        <f>$K$461*$V$461</f>
        <v>0</v>
      </c>
      <c r="AC461" s="4">
        <f>$M$461*$W$461</f>
        <v>123661.53254</v>
      </c>
      <c r="AD461" s="4">
        <f>$O$461*$X$461</f>
        <v>36099.985740000004</v>
      </c>
      <c r="AE461" s="4">
        <f>$K$461*$Y$461</f>
        <v>0</v>
      </c>
      <c r="AF461" s="4">
        <f ca="1">$M$461*$Z$461</f>
        <v>151299.70185748782</v>
      </c>
      <c r="AG461" s="4">
        <f>$O$461*$AA$461</f>
        <v>40699.869043771178</v>
      </c>
    </row>
    <row r="462" spans="1:33" ht="11.25" customHeight="1" x14ac:dyDescent="0.25">
      <c r="A462" s="3" t="s">
        <v>21</v>
      </c>
      <c r="B462" s="3" t="s">
        <v>46</v>
      </c>
      <c r="C462" s="3" t="s">
        <v>23</v>
      </c>
      <c r="D462" s="3" t="s">
        <v>47</v>
      </c>
      <c r="E462" s="3" t="s">
        <v>48</v>
      </c>
      <c r="F462" s="3" t="s">
        <v>25</v>
      </c>
      <c r="G462" s="3" t="s">
        <v>25</v>
      </c>
      <c r="H462" s="3" t="s">
        <v>25</v>
      </c>
      <c r="I462" s="6">
        <v>44440</v>
      </c>
      <c r="J462" s="4">
        <v>0</v>
      </c>
      <c r="K462" s="4">
        <v>0</v>
      </c>
      <c r="L462" s="4">
        <v>274.584</v>
      </c>
      <c r="M462" s="4">
        <v>274.584</v>
      </c>
      <c r="N462" s="4">
        <v>274.584</v>
      </c>
      <c r="O462" s="4">
        <v>274.584</v>
      </c>
      <c r="P462" s="4">
        <v>5</v>
      </c>
      <c r="Q462" s="3" t="s">
        <v>26</v>
      </c>
      <c r="R462" s="3">
        <v>0</v>
      </c>
      <c r="S462" s="4">
        <v>0</v>
      </c>
      <c r="T462" s="4">
        <v>41</v>
      </c>
      <c r="U462" s="4">
        <v>75</v>
      </c>
      <c r="V462" s="4">
        <f>IF(ISERROR(VLOOKUP($S$462,'TAR FIN'!$A$1:$O$85,15,0)),0,VLOOKUP($S$462,'TAR FIN'!$A$1:$O$85,15,0))</f>
        <v>0</v>
      </c>
      <c r="W462" s="4">
        <f>IF(ISERROR(VLOOKUP($T$462,'TAR FIN'!$A$1:$O$85,15,0)),0,VLOOKUP($T$462,'TAR FIN'!$A$1:$O$85,15,0))</f>
        <v>435.83</v>
      </c>
      <c r="X462" s="4">
        <f>IF(ISERROR(VLOOKUP($U$462,'TAR FIN'!$A$1:$O$85,15,0)),0,VLOOKUP($U$462,'TAR FIN'!$A$1:$O$85,15,0))</f>
        <v>127.23</v>
      </c>
      <c r="Y462" s="4"/>
      <c r="Z462" s="4">
        <f ca="1">('TUSD BE'!$AM$50+'TUSD BF'!$AM$50+'TUSD CVA'!$AM$50)*1</f>
        <v>533.23735931559327</v>
      </c>
      <c r="AA462" s="4">
        <f>('TE BE'!$AA$41+'TE BF'!$AA$41+'TE CVA'!$AA$41)*1</f>
        <v>143.44172808637256</v>
      </c>
      <c r="AB462" s="4">
        <f>$K$462*$V$462</f>
        <v>0</v>
      </c>
      <c r="AC462" s="4">
        <f>$M$462*$W$462</f>
        <v>119671.94472</v>
      </c>
      <c r="AD462" s="4">
        <f>$O$462*$X$462</f>
        <v>34935.322319999999</v>
      </c>
      <c r="AE462" s="4">
        <f>$K$462*$Y$462</f>
        <v>0</v>
      </c>
      <c r="AF462" s="4">
        <f ca="1">$M$462*$Z$462</f>
        <v>146418.44707031286</v>
      </c>
      <c r="AG462" s="4">
        <f>$O$462*$AA$462</f>
        <v>39386.803464868528</v>
      </c>
    </row>
    <row r="463" spans="1:33" ht="11.25" customHeight="1" x14ac:dyDescent="0.25">
      <c r="A463" s="3" t="s">
        <v>21</v>
      </c>
      <c r="B463" s="3" t="s">
        <v>46</v>
      </c>
      <c r="C463" s="3" t="s">
        <v>23</v>
      </c>
      <c r="D463" s="3" t="s">
        <v>47</v>
      </c>
      <c r="E463" s="3" t="s">
        <v>48</v>
      </c>
      <c r="F463" s="3" t="s">
        <v>25</v>
      </c>
      <c r="G463" s="3" t="s">
        <v>25</v>
      </c>
      <c r="H463" s="3" t="s">
        <v>25</v>
      </c>
      <c r="I463" s="6">
        <v>44470</v>
      </c>
      <c r="J463" s="4">
        <v>0</v>
      </c>
      <c r="K463" s="4">
        <v>0</v>
      </c>
      <c r="L463" s="4">
        <v>283.738</v>
      </c>
      <c r="M463" s="4">
        <v>283.738</v>
      </c>
      <c r="N463" s="4">
        <v>283.738</v>
      </c>
      <c r="O463" s="4">
        <v>283.738</v>
      </c>
      <c r="P463" s="4">
        <v>5</v>
      </c>
      <c r="Q463" s="3" t="s">
        <v>26</v>
      </c>
      <c r="R463" s="3">
        <v>0</v>
      </c>
      <c r="S463" s="4">
        <v>0</v>
      </c>
      <c r="T463" s="4">
        <v>41</v>
      </c>
      <c r="U463" s="4">
        <v>75</v>
      </c>
      <c r="V463" s="4">
        <f>IF(ISERROR(VLOOKUP($S$463,'TAR FIN'!$A$1:$O$85,15,0)),0,VLOOKUP($S$463,'TAR FIN'!$A$1:$O$85,15,0))</f>
        <v>0</v>
      </c>
      <c r="W463" s="4">
        <f>IF(ISERROR(VLOOKUP($T$463,'TAR FIN'!$A$1:$O$85,15,0)),0,VLOOKUP($T$463,'TAR FIN'!$A$1:$O$85,15,0))</f>
        <v>435.83</v>
      </c>
      <c r="X463" s="4">
        <f>IF(ISERROR(VLOOKUP($U$463,'TAR FIN'!$A$1:$O$85,15,0)),0,VLOOKUP($U$463,'TAR FIN'!$A$1:$O$85,15,0))</f>
        <v>127.23</v>
      </c>
      <c r="Y463" s="4"/>
      <c r="Z463" s="4">
        <f ca="1">('TUSD BE'!$AM$50+'TUSD BF'!$AM$50+'TUSD CVA'!$AM$50)*1</f>
        <v>533.23735931559327</v>
      </c>
      <c r="AA463" s="4">
        <f>('TE BE'!$AA$41+'TE BF'!$AA$41+'TE CVA'!$AA$41)*1</f>
        <v>143.44172808637256</v>
      </c>
      <c r="AB463" s="4">
        <f>$K$463*$V$463</f>
        <v>0</v>
      </c>
      <c r="AC463" s="4">
        <f>$M$463*$W$463</f>
        <v>123661.53254</v>
      </c>
      <c r="AD463" s="4">
        <f>$O$463*$X$463</f>
        <v>36099.985740000004</v>
      </c>
      <c r="AE463" s="4">
        <f>$K$463*$Y$463</f>
        <v>0</v>
      </c>
      <c r="AF463" s="4">
        <f ca="1">$M$463*$Z$463</f>
        <v>151299.70185748782</v>
      </c>
      <c r="AG463" s="4">
        <f>$O$463*$AA$463</f>
        <v>40699.869043771178</v>
      </c>
    </row>
    <row r="464" spans="1:33" ht="11.25" customHeight="1" x14ac:dyDescent="0.25">
      <c r="A464" s="3" t="s">
        <v>27</v>
      </c>
      <c r="B464" s="3" t="s">
        <v>46</v>
      </c>
      <c r="C464" s="3" t="s">
        <v>23</v>
      </c>
      <c r="D464" s="3" t="s">
        <v>47</v>
      </c>
      <c r="E464" s="3" t="s">
        <v>48</v>
      </c>
      <c r="F464" s="3" t="s">
        <v>25</v>
      </c>
      <c r="G464" s="3" t="s">
        <v>25</v>
      </c>
      <c r="H464" s="3" t="s">
        <v>25</v>
      </c>
      <c r="I464" s="6">
        <v>44470</v>
      </c>
      <c r="J464" s="4">
        <v>0</v>
      </c>
      <c r="K464" s="4">
        <v>0</v>
      </c>
      <c r="L464" s="4">
        <v>6.3860000000000001</v>
      </c>
      <c r="M464" s="4">
        <v>6.3860000000000001</v>
      </c>
      <c r="N464" s="4">
        <v>6.3860000000000001</v>
      </c>
      <c r="O464" s="4">
        <v>6.3860000000000001</v>
      </c>
      <c r="P464" s="4">
        <v>0</v>
      </c>
      <c r="Q464" s="3" t="s">
        <v>26</v>
      </c>
      <c r="R464" s="3">
        <v>0</v>
      </c>
      <c r="S464" s="4">
        <v>0</v>
      </c>
      <c r="T464" s="4">
        <v>41</v>
      </c>
      <c r="U464" s="4">
        <v>75</v>
      </c>
      <c r="V464" s="4">
        <f>IF(ISERROR(VLOOKUP($S$464,'TAR FIN'!$A$1:$O$85,15,0)),0,VLOOKUP($S$464,'TAR FIN'!$A$1:$O$85,15,0))</f>
        <v>0</v>
      </c>
      <c r="W464" s="4">
        <f>IF(ISERROR(VLOOKUP($T$464,'TAR FIN'!$A$1:$O$85,15,0)),0,VLOOKUP($T$464,'TAR FIN'!$A$1:$O$85,15,0))</f>
        <v>435.83</v>
      </c>
      <c r="X464" s="4">
        <f>IF(ISERROR(VLOOKUP($U$464,'TAR FIN'!$A$1:$O$85,15,0)),0,VLOOKUP($U$464,'TAR FIN'!$A$1:$O$85,15,0))</f>
        <v>127.23</v>
      </c>
      <c r="Y464" s="4"/>
      <c r="Z464" s="4">
        <f ca="1">('TUSD BE'!$AM$50+'TUSD BF'!$AM$50+'TUSD CVA'!$AM$50)*1</f>
        <v>533.23735931559327</v>
      </c>
      <c r="AA464" s="4">
        <f>('TE BE'!$AA$41+'TE BF'!$AA$41+'TE CVA'!$AA$41)*1</f>
        <v>143.44172808637256</v>
      </c>
      <c r="AB464" s="4">
        <f>$K$464*$V$464</f>
        <v>0</v>
      </c>
      <c r="AC464" s="4">
        <f>$M$464*$W$464</f>
        <v>2783.21038</v>
      </c>
      <c r="AD464" s="4">
        <f>$O$464*$X$464</f>
        <v>812.49078000000009</v>
      </c>
      <c r="AE464" s="4">
        <f>$K$464*$Y$464</f>
        <v>0</v>
      </c>
      <c r="AF464" s="4">
        <f ca="1">$M$464*$Z$464</f>
        <v>3405.2537765893785</v>
      </c>
      <c r="AG464" s="4">
        <f>$O$464*$AA$464</f>
        <v>916.01887555957524</v>
      </c>
    </row>
    <row r="465" spans="1:33" ht="11.25" customHeight="1" x14ac:dyDescent="0.25">
      <c r="A465" s="3" t="s">
        <v>21</v>
      </c>
      <c r="B465" s="3" t="s">
        <v>46</v>
      </c>
      <c r="C465" s="3" t="s">
        <v>23</v>
      </c>
      <c r="D465" s="3" t="s">
        <v>47</v>
      </c>
      <c r="E465" s="3" t="s">
        <v>48</v>
      </c>
      <c r="F465" s="3" t="s">
        <v>25</v>
      </c>
      <c r="G465" s="3" t="s">
        <v>25</v>
      </c>
      <c r="H465" s="3" t="s">
        <v>25</v>
      </c>
      <c r="I465" s="6">
        <v>44501</v>
      </c>
      <c r="J465" s="4">
        <v>0</v>
      </c>
      <c r="K465" s="4">
        <v>0</v>
      </c>
      <c r="L465" s="4">
        <v>274.584</v>
      </c>
      <c r="M465" s="4">
        <v>274.584</v>
      </c>
      <c r="N465" s="4">
        <v>274.584</v>
      </c>
      <c r="O465" s="4">
        <v>274.584</v>
      </c>
      <c r="P465" s="4">
        <v>5</v>
      </c>
      <c r="Q465" s="3" t="s">
        <v>26</v>
      </c>
      <c r="R465" s="3">
        <v>0</v>
      </c>
      <c r="S465" s="4">
        <v>0</v>
      </c>
      <c r="T465" s="4">
        <v>41</v>
      </c>
      <c r="U465" s="4">
        <v>75</v>
      </c>
      <c r="V465" s="4">
        <f>IF(ISERROR(VLOOKUP($S$465,'TAR FIN'!$A$1:$O$85,15,0)),0,VLOOKUP($S$465,'TAR FIN'!$A$1:$O$85,15,0))</f>
        <v>0</v>
      </c>
      <c r="W465" s="4">
        <f>IF(ISERROR(VLOOKUP($T$465,'TAR FIN'!$A$1:$O$85,15,0)),0,VLOOKUP($T$465,'TAR FIN'!$A$1:$O$85,15,0))</f>
        <v>435.83</v>
      </c>
      <c r="X465" s="4">
        <f>IF(ISERROR(VLOOKUP($U$465,'TAR FIN'!$A$1:$O$85,15,0)),0,VLOOKUP($U$465,'TAR FIN'!$A$1:$O$85,15,0))</f>
        <v>127.23</v>
      </c>
      <c r="Y465" s="4"/>
      <c r="Z465" s="4">
        <f ca="1">('TUSD BE'!$AM$50+'TUSD BF'!$AM$50+'TUSD CVA'!$AM$50)*1</f>
        <v>533.23735931559327</v>
      </c>
      <c r="AA465" s="4">
        <f>('TE BE'!$AA$41+'TE BF'!$AA$41+'TE CVA'!$AA$41)*1</f>
        <v>143.44172808637256</v>
      </c>
      <c r="AB465" s="4">
        <f>$K$465*$V$465</f>
        <v>0</v>
      </c>
      <c r="AC465" s="4">
        <f>$M$465*$W$465</f>
        <v>119671.94472</v>
      </c>
      <c r="AD465" s="4">
        <f>$O$465*$X$465</f>
        <v>34935.322319999999</v>
      </c>
      <c r="AE465" s="4">
        <f>$K$465*$Y$465</f>
        <v>0</v>
      </c>
      <c r="AF465" s="4">
        <f ca="1">$M$465*$Z$465</f>
        <v>146418.44707031286</v>
      </c>
      <c r="AG465" s="4">
        <f>$O$465*$AA$465</f>
        <v>39386.803464868528</v>
      </c>
    </row>
    <row r="466" spans="1:33" ht="11.25" customHeight="1" x14ac:dyDescent="0.25">
      <c r="A466" s="3" t="s">
        <v>21</v>
      </c>
      <c r="B466" s="3" t="s">
        <v>46</v>
      </c>
      <c r="C466" s="3" t="s">
        <v>23</v>
      </c>
      <c r="D466" s="3" t="s">
        <v>47</v>
      </c>
      <c r="E466" s="3" t="s">
        <v>48</v>
      </c>
      <c r="F466" s="3" t="s">
        <v>25</v>
      </c>
      <c r="G466" s="3" t="s">
        <v>25</v>
      </c>
      <c r="H466" s="3" t="s">
        <v>25</v>
      </c>
      <c r="I466" s="6">
        <v>44531</v>
      </c>
      <c r="J466" s="4">
        <v>0</v>
      </c>
      <c r="K466" s="4">
        <v>0</v>
      </c>
      <c r="L466" s="4">
        <v>283.738</v>
      </c>
      <c r="M466" s="4">
        <v>283.738</v>
      </c>
      <c r="N466" s="4">
        <v>283.738</v>
      </c>
      <c r="O466" s="4">
        <v>283.738</v>
      </c>
      <c r="P466" s="4">
        <v>5</v>
      </c>
      <c r="Q466" s="3" t="s">
        <v>26</v>
      </c>
      <c r="R466" s="3">
        <v>0</v>
      </c>
      <c r="S466" s="4">
        <v>0</v>
      </c>
      <c r="T466" s="4">
        <v>41</v>
      </c>
      <c r="U466" s="4">
        <v>75</v>
      </c>
      <c r="V466" s="4">
        <f>IF(ISERROR(VLOOKUP($S$466,'TAR FIN'!$A$1:$O$85,15,0)),0,VLOOKUP($S$466,'TAR FIN'!$A$1:$O$85,15,0))</f>
        <v>0</v>
      </c>
      <c r="W466" s="4">
        <f>IF(ISERROR(VLOOKUP($T$466,'TAR FIN'!$A$1:$O$85,15,0)),0,VLOOKUP($T$466,'TAR FIN'!$A$1:$O$85,15,0))</f>
        <v>435.83</v>
      </c>
      <c r="X466" s="4">
        <f>IF(ISERROR(VLOOKUP($U$466,'TAR FIN'!$A$1:$O$85,15,0)),0,VLOOKUP($U$466,'TAR FIN'!$A$1:$O$85,15,0))</f>
        <v>127.23</v>
      </c>
      <c r="Y466" s="4"/>
      <c r="Z466" s="4">
        <f ca="1">('TUSD BE'!$AM$50+'TUSD BF'!$AM$50+'TUSD CVA'!$AM$50)*1</f>
        <v>533.23735931559327</v>
      </c>
      <c r="AA466" s="4">
        <f>('TE BE'!$AA$41+'TE BF'!$AA$41+'TE CVA'!$AA$41)*1</f>
        <v>143.44172808637256</v>
      </c>
      <c r="AB466" s="4">
        <f>$K$466*$V$466</f>
        <v>0</v>
      </c>
      <c r="AC466" s="4">
        <f>$M$466*$W$466</f>
        <v>123661.53254</v>
      </c>
      <c r="AD466" s="4">
        <f>$O$466*$X$466</f>
        <v>36099.985740000004</v>
      </c>
      <c r="AE466" s="4">
        <f>$K$466*$Y$466</f>
        <v>0</v>
      </c>
      <c r="AF466" s="4">
        <f ca="1">$M$466*$Z$466</f>
        <v>151299.70185748782</v>
      </c>
      <c r="AG466" s="4">
        <f>$O$466*$AA$466</f>
        <v>40699.869043771178</v>
      </c>
    </row>
    <row r="467" spans="1:33" ht="11.25" customHeight="1" x14ac:dyDescent="0.25">
      <c r="A467" s="3" t="s">
        <v>21</v>
      </c>
      <c r="B467" s="3" t="s">
        <v>46</v>
      </c>
      <c r="C467" s="3" t="s">
        <v>23</v>
      </c>
      <c r="D467" s="3" t="s">
        <v>47</v>
      </c>
      <c r="E467" s="3" t="s">
        <v>48</v>
      </c>
      <c r="F467" s="3" t="s">
        <v>25</v>
      </c>
      <c r="G467" s="3" t="s">
        <v>25</v>
      </c>
      <c r="H467" s="3" t="s">
        <v>25</v>
      </c>
      <c r="I467" s="6">
        <v>44562</v>
      </c>
      <c r="J467" s="4">
        <v>0</v>
      </c>
      <c r="K467" s="4">
        <v>0</v>
      </c>
      <c r="L467" s="4">
        <v>283.738</v>
      </c>
      <c r="M467" s="4">
        <v>283.738</v>
      </c>
      <c r="N467" s="4">
        <v>283.738</v>
      </c>
      <c r="O467" s="4">
        <v>283.738</v>
      </c>
      <c r="P467" s="4">
        <v>5</v>
      </c>
      <c r="Q467" s="3" t="s">
        <v>26</v>
      </c>
      <c r="R467" s="3">
        <v>0</v>
      </c>
      <c r="S467" s="4">
        <v>0</v>
      </c>
      <c r="T467" s="4">
        <v>41</v>
      </c>
      <c r="U467" s="4">
        <v>75</v>
      </c>
      <c r="V467" s="4">
        <f>IF(ISERROR(VLOOKUP($S$467,'TAR FIN'!$A$1:$O$85,15,0)),0,VLOOKUP($S$467,'TAR FIN'!$A$1:$O$85,15,0))</f>
        <v>0</v>
      </c>
      <c r="W467" s="4">
        <f>IF(ISERROR(VLOOKUP($T$467,'TAR FIN'!$A$1:$O$85,15,0)),0,VLOOKUP($T$467,'TAR FIN'!$A$1:$O$85,15,0))</f>
        <v>435.83</v>
      </c>
      <c r="X467" s="4">
        <f>IF(ISERROR(VLOOKUP($U$467,'TAR FIN'!$A$1:$O$85,15,0)),0,VLOOKUP($U$467,'TAR FIN'!$A$1:$O$85,15,0))</f>
        <v>127.23</v>
      </c>
      <c r="Y467" s="4"/>
      <c r="Z467" s="4">
        <f ca="1">('TUSD BE'!$AM$50+'TUSD BF'!$AM$50+'TUSD CVA'!$AM$50)*1</f>
        <v>533.23735931559327</v>
      </c>
      <c r="AA467" s="4">
        <f>('TE BE'!$AA$41+'TE BF'!$AA$41+'TE CVA'!$AA$41)*1</f>
        <v>143.44172808637256</v>
      </c>
      <c r="AB467" s="4">
        <f>$K$467*$V$467</f>
        <v>0</v>
      </c>
      <c r="AC467" s="4">
        <f>$M$467*$W$467</f>
        <v>123661.53254</v>
      </c>
      <c r="AD467" s="4">
        <f>$O$467*$X$467</f>
        <v>36099.985740000004</v>
      </c>
      <c r="AE467" s="4">
        <f>$K$467*$Y$467</f>
        <v>0</v>
      </c>
      <c r="AF467" s="4">
        <f ca="1">$M$467*$Z$467</f>
        <v>151299.70185748782</v>
      </c>
      <c r="AG467" s="4">
        <f>$O$467*$AA$467</f>
        <v>40699.869043771178</v>
      </c>
    </row>
    <row r="468" spans="1:33" ht="11.25" customHeight="1" x14ac:dyDescent="0.25">
      <c r="A468" s="3" t="s">
        <v>21</v>
      </c>
      <c r="B468" s="3" t="s">
        <v>46</v>
      </c>
      <c r="C468" s="3" t="s">
        <v>23</v>
      </c>
      <c r="D468" s="3" t="s">
        <v>47</v>
      </c>
      <c r="E468" s="3" t="s">
        <v>48</v>
      </c>
      <c r="F468" s="3" t="s">
        <v>25</v>
      </c>
      <c r="G468" s="3" t="s">
        <v>25</v>
      </c>
      <c r="H468" s="3" t="s">
        <v>25</v>
      </c>
      <c r="I468" s="6">
        <v>44593</v>
      </c>
      <c r="J468" s="4">
        <v>0</v>
      </c>
      <c r="K468" s="4">
        <v>0</v>
      </c>
      <c r="L468" s="4">
        <v>256.27999999999997</v>
      </c>
      <c r="M468" s="4">
        <v>256.27999999999997</v>
      </c>
      <c r="N468" s="4">
        <v>256.27999999999997</v>
      </c>
      <c r="O468" s="4">
        <v>256.27999999999997</v>
      </c>
      <c r="P468" s="4">
        <v>5</v>
      </c>
      <c r="Q468" s="3" t="s">
        <v>26</v>
      </c>
      <c r="R468" s="3">
        <v>0</v>
      </c>
      <c r="S468" s="4">
        <v>0</v>
      </c>
      <c r="T468" s="4">
        <v>41</v>
      </c>
      <c r="U468" s="4">
        <v>75</v>
      </c>
      <c r="V468" s="4">
        <f>IF(ISERROR(VLOOKUP($S$468,'TAR FIN'!$A$1:$O$85,15,0)),0,VLOOKUP($S$468,'TAR FIN'!$A$1:$O$85,15,0))</f>
        <v>0</v>
      </c>
      <c r="W468" s="4">
        <f>IF(ISERROR(VLOOKUP($T$468,'TAR FIN'!$A$1:$O$85,15,0)),0,VLOOKUP($T$468,'TAR FIN'!$A$1:$O$85,15,0))</f>
        <v>435.83</v>
      </c>
      <c r="X468" s="4">
        <f>IF(ISERROR(VLOOKUP($U$468,'TAR FIN'!$A$1:$O$85,15,0)),0,VLOOKUP($U$468,'TAR FIN'!$A$1:$O$85,15,0))</f>
        <v>127.23</v>
      </c>
      <c r="Y468" s="4"/>
      <c r="Z468" s="4">
        <f ca="1">('TUSD BE'!$AM$50+'TUSD BF'!$AM$50+'TUSD CVA'!$AM$50)*1</f>
        <v>533.23735931559327</v>
      </c>
      <c r="AA468" s="4">
        <f>('TE BE'!$AA$41+'TE BF'!$AA$41+'TE CVA'!$AA$41)*1</f>
        <v>143.44172808637256</v>
      </c>
      <c r="AB468" s="4">
        <f>$K$468*$V$468</f>
        <v>0</v>
      </c>
      <c r="AC468" s="4">
        <f>$M$468*$W$468</f>
        <v>111694.51239999998</v>
      </c>
      <c r="AD468" s="4">
        <f>$O$468*$X$468</f>
        <v>32606.504399999998</v>
      </c>
      <c r="AE468" s="4">
        <f>$K$468*$Y$468</f>
        <v>0</v>
      </c>
      <c r="AF468" s="4">
        <f ca="1">$M$468*$Z$468</f>
        <v>136658.07044540023</v>
      </c>
      <c r="AG468" s="4">
        <f>$O$468*$AA$468</f>
        <v>36761.246073975555</v>
      </c>
    </row>
    <row r="469" spans="1:33" ht="11.25" customHeight="1" x14ac:dyDescent="0.25">
      <c r="A469" s="3" t="s">
        <v>21</v>
      </c>
      <c r="B469" s="3" t="s">
        <v>46</v>
      </c>
      <c r="C469" s="3" t="s">
        <v>23</v>
      </c>
      <c r="D469" s="3" t="s">
        <v>47</v>
      </c>
      <c r="E469" s="3" t="s">
        <v>48</v>
      </c>
      <c r="F469" s="3" t="s">
        <v>25</v>
      </c>
      <c r="G469" s="3" t="s">
        <v>25</v>
      </c>
      <c r="H469" s="3" t="s">
        <v>25</v>
      </c>
      <c r="I469" s="6">
        <v>44621</v>
      </c>
      <c r="J469" s="4">
        <v>0</v>
      </c>
      <c r="K469" s="4">
        <v>0</v>
      </c>
      <c r="L469" s="4">
        <v>283.738</v>
      </c>
      <c r="M469" s="4">
        <v>283.738</v>
      </c>
      <c r="N469" s="4">
        <v>283.738</v>
      </c>
      <c r="O469" s="4">
        <v>283.738</v>
      </c>
      <c r="P469" s="4">
        <v>5</v>
      </c>
      <c r="Q469" s="3" t="s">
        <v>26</v>
      </c>
      <c r="R469" s="3">
        <v>0</v>
      </c>
      <c r="S469" s="4">
        <v>0</v>
      </c>
      <c r="T469" s="4">
        <v>41</v>
      </c>
      <c r="U469" s="4">
        <v>75</v>
      </c>
      <c r="V469" s="4">
        <f>IF(ISERROR(VLOOKUP($S$469,'TAR FIN'!$A$1:$O$85,15,0)),0,VLOOKUP($S$469,'TAR FIN'!$A$1:$O$85,15,0))</f>
        <v>0</v>
      </c>
      <c r="W469" s="4">
        <f>IF(ISERROR(VLOOKUP($T$469,'TAR FIN'!$A$1:$O$85,15,0)),0,VLOOKUP($T$469,'TAR FIN'!$A$1:$O$85,15,0))</f>
        <v>435.83</v>
      </c>
      <c r="X469" s="4">
        <f>IF(ISERROR(VLOOKUP($U$469,'TAR FIN'!$A$1:$O$85,15,0)),0,VLOOKUP($U$469,'TAR FIN'!$A$1:$O$85,15,0))</f>
        <v>127.23</v>
      </c>
      <c r="Y469" s="4"/>
      <c r="Z469" s="4">
        <f ca="1">('TUSD BE'!$AM$50+'TUSD BF'!$AM$50+'TUSD CVA'!$AM$50)*1</f>
        <v>533.23735931559327</v>
      </c>
      <c r="AA469" s="4">
        <f>('TE BE'!$AA$41+'TE BF'!$AA$41+'TE CVA'!$AA$41)*1</f>
        <v>143.44172808637256</v>
      </c>
      <c r="AB469" s="4">
        <f>$K$469*$V$469</f>
        <v>0</v>
      </c>
      <c r="AC469" s="4">
        <f>$M$469*$W$469</f>
        <v>123661.53254</v>
      </c>
      <c r="AD469" s="4">
        <f>$O$469*$X$469</f>
        <v>36099.985740000004</v>
      </c>
      <c r="AE469" s="4">
        <f>$K$469*$Y$469</f>
        <v>0</v>
      </c>
      <c r="AF469" s="4">
        <f ca="1">$M$469*$Z$469</f>
        <v>151299.70185748782</v>
      </c>
      <c r="AG469" s="4">
        <f>$O$469*$AA$469</f>
        <v>40699.869043771178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0" r:id="rId1"/>
  <tableParts count="1"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6D545-A49C-486A-87D8-179F91FB795D}">
  <dimension ref="A1:AJ470"/>
  <sheetViews>
    <sheetView showGridLines="0" topLeftCell="W1" workbookViewId="0">
      <selection activeCell="AH25" sqref="AH25"/>
    </sheetView>
  </sheetViews>
  <sheetFormatPr defaultRowHeight="11.25" customHeight="1" x14ac:dyDescent="0.25"/>
  <cols>
    <col min="1" max="1" width="19.140625" style="3" bestFit="1" customWidth="1"/>
    <col min="2" max="2" width="13.28515625" style="3" bestFit="1" customWidth="1"/>
    <col min="3" max="3" width="14.5703125" style="3" bestFit="1" customWidth="1"/>
    <col min="4" max="4" width="11.5703125" style="3" bestFit="1" customWidth="1"/>
    <col min="5" max="5" width="25.140625" style="3" bestFit="1" customWidth="1"/>
    <col min="6" max="6" width="12.85546875" style="3" bestFit="1" customWidth="1"/>
    <col min="7" max="7" width="11.28515625" style="3" bestFit="1" customWidth="1"/>
    <col min="8" max="8" width="10.28515625" style="3" bestFit="1" customWidth="1"/>
    <col min="9" max="9" width="12.140625" style="6" bestFit="1" customWidth="1"/>
    <col min="10" max="10" width="6.5703125" style="4" bestFit="1" customWidth="1"/>
    <col min="11" max="11" width="7.85546875" style="4" bestFit="1" customWidth="1"/>
    <col min="12" max="12" width="11.28515625" style="4" bestFit="1" customWidth="1"/>
    <col min="13" max="13" width="12.5703125" style="4" bestFit="1" customWidth="1"/>
    <col min="14" max="14" width="9.140625" style="4" bestFit="1" customWidth="1"/>
    <col min="15" max="15" width="10.42578125" style="4" bestFit="1" customWidth="1"/>
    <col min="16" max="16" width="7.85546875" style="4" bestFit="1" customWidth="1"/>
    <col min="17" max="17" width="11.140625" style="3" bestFit="1" customWidth="1"/>
    <col min="18" max="18" width="13.140625" style="3" bestFit="1" customWidth="1"/>
    <col min="19" max="19" width="23" style="3" bestFit="1" customWidth="1"/>
    <col min="20" max="20" width="24.42578125" style="3" bestFit="1" customWidth="1"/>
    <col min="21" max="21" width="22.28515625" style="3" bestFit="1" customWidth="1"/>
    <col min="22" max="22" width="15.85546875" style="3" bestFit="1" customWidth="1"/>
    <col min="23" max="23" width="17.28515625" style="3" bestFit="1" customWidth="1"/>
    <col min="24" max="24" width="15.140625" style="3" bestFit="1" customWidth="1"/>
    <col min="25" max="25" width="20.85546875" style="3" bestFit="1" customWidth="1"/>
    <col min="26" max="26" width="22.42578125" style="3" bestFit="1" customWidth="1"/>
    <col min="27" max="27" width="20.140625" style="3" bestFit="1" customWidth="1"/>
    <col min="28" max="28" width="19.140625" style="3" bestFit="1" customWidth="1"/>
    <col min="29" max="29" width="20.5703125" style="3" bestFit="1" customWidth="1"/>
    <col min="30" max="30" width="19" style="3" bestFit="1" customWidth="1"/>
    <col min="31" max="31" width="20.42578125" style="3" bestFit="1" customWidth="1"/>
    <col min="32" max="32" width="32.140625" style="3" bestFit="1" customWidth="1"/>
    <col min="33" max="33" width="9.140625" style="3"/>
    <col min="34" max="34" width="32.140625" style="3" bestFit="1" customWidth="1"/>
    <col min="35" max="36" width="8.7109375" style="3" bestFit="1" customWidth="1"/>
    <col min="37" max="16384" width="9.140625" style="3"/>
  </cols>
  <sheetData>
    <row r="1" spans="1:36" s="1" customFormat="1" ht="11.2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5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593</v>
      </c>
      <c r="W1" s="1" t="s">
        <v>594</v>
      </c>
      <c r="X1" s="1" t="s">
        <v>595</v>
      </c>
      <c r="Y1" s="1" t="s">
        <v>596</v>
      </c>
      <c r="Z1" s="1" t="s">
        <v>597</v>
      </c>
      <c r="AA1" s="1" t="s">
        <v>598</v>
      </c>
      <c r="AB1" s="1" t="s">
        <v>636</v>
      </c>
      <c r="AC1" s="1" t="s">
        <v>637</v>
      </c>
      <c r="AD1" s="1" t="s">
        <v>638</v>
      </c>
      <c r="AE1" s="1" t="s">
        <v>639</v>
      </c>
      <c r="AF1" s="1" t="s">
        <v>640</v>
      </c>
      <c r="AH1" s="51" t="s">
        <v>640</v>
      </c>
      <c r="AI1" s="51" t="s">
        <v>645</v>
      </c>
      <c r="AJ1" s="51" t="s">
        <v>646</v>
      </c>
    </row>
    <row r="2" spans="1:36" ht="11.25" customHeight="1" x14ac:dyDescent="0.25">
      <c r="A2" s="3" t="s">
        <v>21</v>
      </c>
      <c r="B2" s="3" t="s">
        <v>22</v>
      </c>
      <c r="C2" s="3" t="s">
        <v>23</v>
      </c>
      <c r="D2" s="3" t="s">
        <v>24</v>
      </c>
      <c r="E2" s="3" t="s">
        <v>24</v>
      </c>
      <c r="F2" s="3" t="s">
        <v>25</v>
      </c>
      <c r="G2" s="3" t="s">
        <v>25</v>
      </c>
      <c r="H2" s="3" t="s">
        <v>25</v>
      </c>
      <c r="I2" s="6">
        <v>44287</v>
      </c>
      <c r="J2" s="4">
        <v>0</v>
      </c>
      <c r="K2" s="4">
        <v>0</v>
      </c>
      <c r="L2" s="4">
        <v>2505.59</v>
      </c>
      <c r="M2" s="4">
        <v>2505.59</v>
      </c>
      <c r="N2" s="4">
        <v>2505.59</v>
      </c>
      <c r="O2" s="4">
        <v>2505.59</v>
      </c>
      <c r="P2" s="4">
        <v>14846</v>
      </c>
      <c r="Q2" s="3" t="s">
        <v>26</v>
      </c>
      <c r="R2" s="3">
        <v>0</v>
      </c>
      <c r="S2" s="3">
        <v>0</v>
      </c>
      <c r="T2" s="3">
        <v>36</v>
      </c>
      <c r="U2" s="3">
        <v>45</v>
      </c>
      <c r="V2" s="4">
        <f>IF(ISERROR(VLOOKUP($S$2,'TAR FIN'!$A$1:$O$85,15,0)),0,VLOOKUP($S$2,'TAR FIN'!$A$1:$O$85,15,0))</f>
        <v>0</v>
      </c>
      <c r="W2" s="4">
        <f>IF(ISERROR(VLOOKUP($T$2,'TAR FIN'!$A$1:$O$85,15,0)),0,VLOOKUP($T$2,'TAR FIN'!$A$1:$O$85,15,0))</f>
        <v>792.41</v>
      </c>
      <c r="X2" s="4">
        <f>IF(ISERROR(VLOOKUP($U$2,'TAR FIN'!$A$1:$O$85,15,0)),0,VLOOKUP($U$2,'TAR FIN'!$A$1:$O$85,15,0))</f>
        <v>231.33</v>
      </c>
      <c r="Y2" s="4"/>
      <c r="Z2" s="4">
        <f ca="1">('TUSD BE'!$AM$20+'TUSD BF'!$AM$20+'TUSD CVA'!$AM$20)*1</f>
        <v>969.52247148289666</v>
      </c>
      <c r="AA2" s="4">
        <f>('TE BE'!$AA$11+'TE BF'!$AA$11+'TE CVA'!$AA$11)*1</f>
        <v>260.80314197522284</v>
      </c>
      <c r="AB2" s="4">
        <f t="shared" ref="AB2:AB33" si="0">(J2-K2)*V2</f>
        <v>0</v>
      </c>
      <c r="AC2" s="4">
        <f>(L2-M2)*W2+(N2-O2)*X2</f>
        <v>0</v>
      </c>
      <c r="AD2" s="4">
        <f t="shared" ref="AD2:AD33" si="1">(J2-K2)*Y2</f>
        <v>0</v>
      </c>
      <c r="AE2" s="4">
        <f ca="1">(L2-M2)*Z2+(N2-O2)*AA2</f>
        <v>0</v>
      </c>
      <c r="AH2" s="52" t="s">
        <v>647</v>
      </c>
      <c r="AI2" s="53">
        <f t="shared" ref="AI2:AI9" si="2">SUMIF($AF$2:$AF$470,AH2,$AB$2:$AB$470)+SUMIF($AF$2:$AF$470,AH2,$AC$2:$AC$470)</f>
        <v>0</v>
      </c>
      <c r="AJ2" s="53">
        <f t="shared" ref="AJ2:AJ9" si="3">SUMIF($AF$2:$AF$470,AH2,$AD$2:$AD$470)+SUMIF($AF$2:$AF$470,AH2,$AE$2:$AE$470)</f>
        <v>0</v>
      </c>
    </row>
    <row r="3" spans="1:36" ht="11.25" customHeight="1" x14ac:dyDescent="0.25">
      <c r="A3" s="3" t="s">
        <v>21</v>
      </c>
      <c r="B3" s="3" t="s">
        <v>22</v>
      </c>
      <c r="C3" s="3" t="s">
        <v>23</v>
      </c>
      <c r="D3" s="3" t="s">
        <v>24</v>
      </c>
      <c r="E3" s="3" t="s">
        <v>29</v>
      </c>
      <c r="F3" s="3" t="s">
        <v>25</v>
      </c>
      <c r="G3" s="3" t="s">
        <v>25</v>
      </c>
      <c r="H3" s="3" t="s">
        <v>25</v>
      </c>
      <c r="I3" s="6">
        <v>44287</v>
      </c>
      <c r="J3" s="4">
        <v>0</v>
      </c>
      <c r="K3" s="4">
        <v>0</v>
      </c>
      <c r="L3" s="4">
        <v>12.57</v>
      </c>
      <c r="M3" s="4">
        <v>12.57</v>
      </c>
      <c r="N3" s="4">
        <v>12.57</v>
      </c>
      <c r="O3" s="4">
        <v>12.57</v>
      </c>
      <c r="P3" s="4">
        <v>15</v>
      </c>
      <c r="Q3" s="3" t="s">
        <v>26</v>
      </c>
      <c r="R3" s="3">
        <v>0</v>
      </c>
      <c r="S3" s="3">
        <v>0</v>
      </c>
      <c r="T3" s="3">
        <v>29</v>
      </c>
      <c r="U3" s="3">
        <v>50</v>
      </c>
      <c r="V3" s="4">
        <f>IF(ISERROR(VLOOKUP($S$3,'TAR FIN'!$A$1:$O$85,15,0)),0,VLOOKUP($S$3,'TAR FIN'!$A$1:$O$85,15,0))</f>
        <v>0</v>
      </c>
      <c r="W3" s="4">
        <f>IF(ISERROR(VLOOKUP($T$3,'TAR FIN'!$A$1:$O$85,15,0)),0,VLOOKUP($T$3,'TAR FIN'!$A$1:$O$85,15,0))</f>
        <v>244.97</v>
      </c>
      <c r="X3" s="4">
        <f>IF(ISERROR(VLOOKUP($U$3,'TAR FIN'!$A$1:$O$85,15,0)),0,VLOOKUP($U$3,'TAR FIN'!$A$1:$O$85,15,0))</f>
        <v>80.97</v>
      </c>
      <c r="Y3" s="4"/>
      <c r="Z3" s="4">
        <f ca="1">('TUSD BE'!$AM$21+'TUSD BF'!$AM$21+'TUSD CVA'!$AM$21-('TUSD BE'!$P$21+'TUSD BF'!$P$21+'TUSD CVA'!$P$21)-('TUSD BE'!$Q$21+'TUSD BF'!$Q$21+'TUSD CVA'!$Q$21)-('TUSD BE'!$R$21+'TUSD BF'!$R$21+'TUSD CVA'!$R$21))*(1-CUSTOS!$M$34)</f>
        <v>293.22899061728316</v>
      </c>
      <c r="AA3" s="4">
        <f>('TE BE'!$AA$12+'TE BF'!$AA$12+'TE CVA'!$AA$12)*(1-CUSTOS!$M$34)</f>
        <v>91.281099691327995</v>
      </c>
      <c r="AB3" s="4">
        <f t="shared" si="0"/>
        <v>0</v>
      </c>
      <c r="AC3" s="4">
        <f>(L3-M3)*(W3+X3)+($W$63+$X$63-$W$3-$X$3)*(L3)</f>
        <v>7608.6209999999992</v>
      </c>
      <c r="AD3" s="4">
        <f t="shared" si="1"/>
        <v>0</v>
      </c>
      <c r="AE3" s="4">
        <f ca="1">(L3-M3)*(Z3+AA3)+($Z$63+$AA$63-$Z$3-$AA$3)*(L3)</f>
        <v>8976.1134081900218</v>
      </c>
      <c r="AF3" s="3" t="s">
        <v>641</v>
      </c>
      <c r="AH3" s="52" t="s">
        <v>648</v>
      </c>
      <c r="AI3" s="53">
        <f t="shared" si="2"/>
        <v>0</v>
      </c>
      <c r="AJ3" s="53">
        <f t="shared" si="3"/>
        <v>0</v>
      </c>
    </row>
    <row r="4" spans="1:36" ht="11.25" customHeight="1" x14ac:dyDescent="0.25">
      <c r="A4" s="3" t="s">
        <v>21</v>
      </c>
      <c r="B4" s="3" t="s">
        <v>22</v>
      </c>
      <c r="C4" s="3" t="s">
        <v>23</v>
      </c>
      <c r="D4" s="3" t="s">
        <v>24</v>
      </c>
      <c r="E4" s="3" t="s">
        <v>29</v>
      </c>
      <c r="F4" s="3" t="s">
        <v>25</v>
      </c>
      <c r="G4" s="3" t="s">
        <v>25</v>
      </c>
      <c r="H4" s="3" t="s">
        <v>25</v>
      </c>
      <c r="I4" s="6">
        <v>44317</v>
      </c>
      <c r="J4" s="4">
        <v>0</v>
      </c>
      <c r="K4" s="4">
        <v>0</v>
      </c>
      <c r="L4" s="4">
        <v>20.033999999999999</v>
      </c>
      <c r="M4" s="4">
        <v>20.033999999999999</v>
      </c>
      <c r="N4" s="4">
        <v>20.033999999999999</v>
      </c>
      <c r="O4" s="4">
        <v>20.033999999999999</v>
      </c>
      <c r="P4" s="4">
        <v>68</v>
      </c>
      <c r="Q4" s="3" t="s">
        <v>26</v>
      </c>
      <c r="R4" s="3">
        <v>0</v>
      </c>
      <c r="S4" s="3">
        <v>0</v>
      </c>
      <c r="T4" s="3">
        <v>29</v>
      </c>
      <c r="U4" s="3">
        <v>50</v>
      </c>
      <c r="V4" s="4">
        <f>IF(ISERROR(VLOOKUP($S$4,'TAR FIN'!$A$1:$O$85,15,0)),0,VLOOKUP($S$4,'TAR FIN'!$A$1:$O$85,15,0))</f>
        <v>0</v>
      </c>
      <c r="W4" s="4">
        <f>IF(ISERROR(VLOOKUP($T$4,'TAR FIN'!$A$1:$O$85,15,0)),0,VLOOKUP($T$4,'TAR FIN'!$A$1:$O$85,15,0))</f>
        <v>244.97</v>
      </c>
      <c r="X4" s="4">
        <f>IF(ISERROR(VLOOKUP($U$4,'TAR FIN'!$A$1:$O$85,15,0)),0,VLOOKUP($U$4,'TAR FIN'!$A$1:$O$85,15,0))</f>
        <v>80.97</v>
      </c>
      <c r="Y4" s="4"/>
      <c r="Z4" s="4">
        <f ca="1">('TUSD BE'!$AM$21+'TUSD BF'!$AM$21+'TUSD CVA'!$AM$21-('TUSD BE'!$P$21+'TUSD BF'!$P$21+'TUSD CVA'!$P$21)-('TUSD BE'!$Q$21+'TUSD BF'!$Q$21+'TUSD CVA'!$Q$21)-('TUSD BE'!$R$21+'TUSD BF'!$R$21+'TUSD CVA'!$R$21))*(1-CUSTOS!$M$34)</f>
        <v>293.22899061728316</v>
      </c>
      <c r="AA4" s="4">
        <f>('TE BE'!$AA$12+'TE BF'!$AA$12+'TE CVA'!$AA$12)*(1-CUSTOS!$M$34)</f>
        <v>91.281099691327995</v>
      </c>
      <c r="AB4" s="4">
        <f t="shared" si="0"/>
        <v>0</v>
      </c>
      <c r="AC4" s="4">
        <f>(L4-M4)*(W4+X4)+($W$63+$X$63-$W$4-$X$4)*(L4)</f>
        <v>12126.580199999999</v>
      </c>
      <c r="AD4" s="4">
        <f t="shared" si="1"/>
        <v>0</v>
      </c>
      <c r="AE4" s="4">
        <f ca="1">(L4-M4)*(Z4+AA4)+($Z$63+$AA$63-$Z$4-$AA$4)*(L4)</f>
        <v>14306.082420022187</v>
      </c>
      <c r="AF4" s="3" t="s">
        <v>641</v>
      </c>
      <c r="AH4" s="52" t="s">
        <v>649</v>
      </c>
      <c r="AI4" s="53">
        <f t="shared" si="2"/>
        <v>0</v>
      </c>
      <c r="AJ4" s="53">
        <f t="shared" si="3"/>
        <v>0</v>
      </c>
    </row>
    <row r="5" spans="1:36" ht="11.25" customHeight="1" x14ac:dyDescent="0.25">
      <c r="A5" s="3" t="s">
        <v>27</v>
      </c>
      <c r="B5" s="3" t="s">
        <v>22</v>
      </c>
      <c r="C5" s="3" t="s">
        <v>23</v>
      </c>
      <c r="D5" s="3" t="s">
        <v>24</v>
      </c>
      <c r="E5" s="3" t="s">
        <v>29</v>
      </c>
      <c r="F5" s="3" t="s">
        <v>25</v>
      </c>
      <c r="G5" s="3" t="s">
        <v>25</v>
      </c>
      <c r="H5" s="3" t="s">
        <v>25</v>
      </c>
      <c r="I5" s="6">
        <v>44317</v>
      </c>
      <c r="J5" s="4">
        <v>0</v>
      </c>
      <c r="K5" s="4">
        <v>0</v>
      </c>
      <c r="L5" s="4">
        <v>-5.1070000000000002</v>
      </c>
      <c r="M5" s="4">
        <v>-5.1070000000000002</v>
      </c>
      <c r="N5" s="4">
        <v>-5.1070000000000002</v>
      </c>
      <c r="O5" s="4">
        <v>-5.1070000000000002</v>
      </c>
      <c r="P5" s="4">
        <v>0</v>
      </c>
      <c r="Q5" s="3" t="s">
        <v>26</v>
      </c>
      <c r="R5" s="3">
        <v>0</v>
      </c>
      <c r="S5" s="3">
        <v>0</v>
      </c>
      <c r="T5" s="3">
        <v>29</v>
      </c>
      <c r="U5" s="3">
        <v>50</v>
      </c>
      <c r="V5" s="4">
        <f>IF(ISERROR(VLOOKUP($S$5,'TAR FIN'!$A$1:$O$85,15,0)),0,VLOOKUP($S$5,'TAR FIN'!$A$1:$O$85,15,0))</f>
        <v>0</v>
      </c>
      <c r="W5" s="4">
        <f>IF(ISERROR(VLOOKUP($T$5,'TAR FIN'!$A$1:$O$85,15,0)),0,VLOOKUP($T$5,'TAR FIN'!$A$1:$O$85,15,0))</f>
        <v>244.97</v>
      </c>
      <c r="X5" s="4">
        <f>IF(ISERROR(VLOOKUP($U$5,'TAR FIN'!$A$1:$O$85,15,0)),0,VLOOKUP($U$5,'TAR FIN'!$A$1:$O$85,15,0))</f>
        <v>80.97</v>
      </c>
      <c r="Y5" s="4"/>
      <c r="Z5" s="4">
        <f ca="1">('TUSD BE'!$AM$21+'TUSD BF'!$AM$21+'TUSD CVA'!$AM$21-('TUSD BE'!$P$21+'TUSD BF'!$P$21+'TUSD CVA'!$P$21)-('TUSD BE'!$Q$21+'TUSD BF'!$Q$21+'TUSD CVA'!$Q$21)-('TUSD BE'!$R$21+'TUSD BF'!$R$21+'TUSD CVA'!$R$21))*(1-CUSTOS!$M$34)</f>
        <v>293.22899061728316</v>
      </c>
      <c r="AA5" s="4">
        <f>('TE BE'!$AA$12+'TE BF'!$AA$12+'TE CVA'!$AA$12)*(1-CUSTOS!$M$34)</f>
        <v>91.281099691327995</v>
      </c>
      <c r="AB5" s="4">
        <f t="shared" si="0"/>
        <v>0</v>
      </c>
      <c r="AC5" s="4">
        <f>(L5-M5)*(W5+X5)+($W$63+$X$63-$W$5-$X$5)*(L5)</f>
        <v>-3091.2671</v>
      </c>
      <c r="AD5" s="4">
        <f t="shared" si="1"/>
        <v>0</v>
      </c>
      <c r="AE5" s="4">
        <f ca="1">(L5-M5)*(Z5+AA5)+($Z$63+$AA$63-$Z$5-$AA$5)*(L5)</f>
        <v>-3646.8584865255721</v>
      </c>
      <c r="AF5" s="3" t="s">
        <v>641</v>
      </c>
      <c r="AH5" s="52" t="s">
        <v>644</v>
      </c>
      <c r="AI5" s="53">
        <f t="shared" si="2"/>
        <v>12811.962776399998</v>
      </c>
      <c r="AJ5" s="53">
        <f t="shared" ca="1" si="3"/>
        <v>7698.6764034212401</v>
      </c>
    </row>
    <row r="6" spans="1:36" ht="11.25" customHeight="1" x14ac:dyDescent="0.25">
      <c r="A6" s="3" t="s">
        <v>28</v>
      </c>
      <c r="B6" s="3" t="s">
        <v>22</v>
      </c>
      <c r="C6" s="3" t="s">
        <v>23</v>
      </c>
      <c r="D6" s="3" t="s">
        <v>24</v>
      </c>
      <c r="E6" s="3" t="s">
        <v>29</v>
      </c>
      <c r="F6" s="3" t="s">
        <v>25</v>
      </c>
      <c r="G6" s="3" t="s">
        <v>25</v>
      </c>
      <c r="H6" s="3" t="s">
        <v>25</v>
      </c>
      <c r="I6" s="6">
        <v>44317</v>
      </c>
      <c r="J6" s="4">
        <v>0</v>
      </c>
      <c r="K6" s="4">
        <v>0</v>
      </c>
      <c r="L6" s="4">
        <v>0.03</v>
      </c>
      <c r="M6" s="4">
        <v>1.0500000000000001E-2</v>
      </c>
      <c r="N6" s="4">
        <v>0.03</v>
      </c>
      <c r="O6" s="4">
        <v>1.0500000000000001E-2</v>
      </c>
      <c r="P6" s="4">
        <v>1</v>
      </c>
      <c r="Q6" s="3" t="s">
        <v>26</v>
      </c>
      <c r="R6" s="3">
        <v>0</v>
      </c>
      <c r="S6" s="3">
        <v>0</v>
      </c>
      <c r="T6" s="3">
        <v>29</v>
      </c>
      <c r="U6" s="3">
        <v>50</v>
      </c>
      <c r="V6" s="4">
        <f>IF(ISERROR(VLOOKUP($S$6,'TAR FIN'!$A$1:$O$85,15,0)),0,VLOOKUP($S$6,'TAR FIN'!$A$1:$O$85,15,0))</f>
        <v>0</v>
      </c>
      <c r="W6" s="4">
        <f>IF(ISERROR(VLOOKUP($T$6,'TAR FIN'!$A$1:$O$85,15,0)),0,VLOOKUP($T$6,'TAR FIN'!$A$1:$O$85,15,0))</f>
        <v>244.97</v>
      </c>
      <c r="X6" s="4">
        <f>IF(ISERROR(VLOOKUP($U$6,'TAR FIN'!$A$1:$O$85,15,0)),0,VLOOKUP($U$6,'TAR FIN'!$A$1:$O$85,15,0))</f>
        <v>80.97</v>
      </c>
      <c r="Y6" s="4"/>
      <c r="Z6" s="4">
        <f ca="1">('TUSD BE'!$AM$21+'TUSD BF'!$AM$21+'TUSD CVA'!$AM$21-('TUSD BE'!$P$21+'TUSD BF'!$P$21+'TUSD CVA'!$P$21)-('TUSD BE'!$Q$21+'TUSD BF'!$Q$21+'TUSD CVA'!$Q$21)-('TUSD BE'!$R$21+'TUSD BF'!$R$21+'TUSD CVA'!$R$21))*(1-CUSTOS!$M$34)</f>
        <v>293.22899061728316</v>
      </c>
      <c r="AA6" s="4">
        <f>('TE BE'!$AA$12+'TE BF'!$AA$12+'TE CVA'!$AA$12)*(1-CUSTOS!$M$34)</f>
        <v>91.281099691327995</v>
      </c>
      <c r="AB6" s="4">
        <f t="shared" si="0"/>
        <v>0</v>
      </c>
      <c r="AC6" s="4">
        <f>(L6-M6)*(W6+X6)+($W$63+$X$63-$W$6-$X$6)*(L6)</f>
        <v>24.514829999999996</v>
      </c>
      <c r="AD6" s="4">
        <f t="shared" si="1"/>
        <v>0</v>
      </c>
      <c r="AE6" s="4">
        <f ca="1">(L6-M6)*(Z6+AA6)+($Z$63+$AA$63-$Z$6-$AA$6)*(L6)</f>
        <v>28.920651792497679</v>
      </c>
      <c r="AF6" s="3" t="s">
        <v>641</v>
      </c>
      <c r="AH6" s="52" t="s">
        <v>642</v>
      </c>
      <c r="AI6" s="53">
        <f t="shared" si="2"/>
        <v>402370.97354999982</v>
      </c>
      <c r="AJ6" s="53">
        <f t="shared" ca="1" si="3"/>
        <v>241781.35036417327</v>
      </c>
    </row>
    <row r="7" spans="1:36" ht="11.25" customHeight="1" x14ac:dyDescent="0.25">
      <c r="A7" s="3" t="s">
        <v>21</v>
      </c>
      <c r="B7" s="3" t="s">
        <v>22</v>
      </c>
      <c r="C7" s="3" t="s">
        <v>23</v>
      </c>
      <c r="D7" s="3" t="s">
        <v>24</v>
      </c>
      <c r="E7" s="3" t="s">
        <v>29</v>
      </c>
      <c r="F7" s="3" t="s">
        <v>25</v>
      </c>
      <c r="G7" s="3" t="s">
        <v>25</v>
      </c>
      <c r="H7" s="3" t="s">
        <v>25</v>
      </c>
      <c r="I7" s="6">
        <v>44348</v>
      </c>
      <c r="J7" s="4">
        <v>0</v>
      </c>
      <c r="K7" s="4">
        <v>0</v>
      </c>
      <c r="L7" s="4">
        <v>14.04</v>
      </c>
      <c r="M7" s="4">
        <v>14.04</v>
      </c>
      <c r="N7" s="4">
        <v>14.04</v>
      </c>
      <c r="O7" s="4">
        <v>14.04</v>
      </c>
      <c r="P7" s="4">
        <v>18</v>
      </c>
      <c r="Q7" s="3" t="s">
        <v>26</v>
      </c>
      <c r="R7" s="3">
        <v>0</v>
      </c>
      <c r="S7" s="3">
        <v>0</v>
      </c>
      <c r="T7" s="3">
        <v>29</v>
      </c>
      <c r="U7" s="3">
        <v>50</v>
      </c>
      <c r="V7" s="4">
        <f>IF(ISERROR(VLOOKUP($S$7,'TAR FIN'!$A$1:$O$85,15,0)),0,VLOOKUP($S$7,'TAR FIN'!$A$1:$O$85,15,0))</f>
        <v>0</v>
      </c>
      <c r="W7" s="4">
        <f>IF(ISERROR(VLOOKUP($T$7,'TAR FIN'!$A$1:$O$85,15,0)),0,VLOOKUP($T$7,'TAR FIN'!$A$1:$O$85,15,0))</f>
        <v>244.97</v>
      </c>
      <c r="X7" s="4">
        <f>IF(ISERROR(VLOOKUP($U$7,'TAR FIN'!$A$1:$O$85,15,0)),0,VLOOKUP($U$7,'TAR FIN'!$A$1:$O$85,15,0))</f>
        <v>80.97</v>
      </c>
      <c r="Y7" s="4"/>
      <c r="Z7" s="4">
        <f ca="1">('TUSD BE'!$AM$21+'TUSD BF'!$AM$21+'TUSD CVA'!$AM$21-('TUSD BE'!$P$21+'TUSD BF'!$P$21+'TUSD CVA'!$P$21)-('TUSD BE'!$Q$21+'TUSD BF'!$Q$21+'TUSD CVA'!$Q$21)-('TUSD BE'!$R$21+'TUSD BF'!$R$21+'TUSD CVA'!$R$21))*(1-CUSTOS!$M$34)</f>
        <v>293.22899061728316</v>
      </c>
      <c r="AA7" s="4">
        <f>('TE BE'!$AA$12+'TE BF'!$AA$12+'TE CVA'!$AA$12)*(1-CUSTOS!$M$34)</f>
        <v>91.281099691327995</v>
      </c>
      <c r="AB7" s="4">
        <f t="shared" si="0"/>
        <v>0</v>
      </c>
      <c r="AC7" s="4">
        <f>(L7-M7)*(W7+X7)+($W$63+$X$63-$W$7-$X$7)*(L7)</f>
        <v>8498.4119999999984</v>
      </c>
      <c r="AD7" s="4">
        <f t="shared" si="1"/>
        <v>0</v>
      </c>
      <c r="AE7" s="4">
        <f ca="1">(L7-M7)*(Z7+AA7)+($Z$63+$AA$63-$Z$7-$AA$7)*(L7)</f>
        <v>10025.825954732529</v>
      </c>
      <c r="AF7" s="3" t="s">
        <v>641</v>
      </c>
      <c r="AH7" s="52" t="s">
        <v>643</v>
      </c>
      <c r="AI7" s="53">
        <f t="shared" si="2"/>
        <v>25276.257168</v>
      </c>
      <c r="AJ7" s="53">
        <f t="shared" ca="1" si="3"/>
        <v>29251.788710964309</v>
      </c>
    </row>
    <row r="8" spans="1:36" ht="11.25" customHeight="1" x14ac:dyDescent="0.25">
      <c r="A8" s="3" t="s">
        <v>27</v>
      </c>
      <c r="B8" s="3" t="s">
        <v>22</v>
      </c>
      <c r="C8" s="3" t="s">
        <v>23</v>
      </c>
      <c r="D8" s="3" t="s">
        <v>24</v>
      </c>
      <c r="E8" s="3" t="s">
        <v>29</v>
      </c>
      <c r="F8" s="3" t="s">
        <v>25</v>
      </c>
      <c r="G8" s="3" t="s">
        <v>25</v>
      </c>
      <c r="H8" s="3" t="s">
        <v>25</v>
      </c>
      <c r="I8" s="6">
        <v>44348</v>
      </c>
      <c r="J8" s="4">
        <v>0</v>
      </c>
      <c r="K8" s="4">
        <v>0</v>
      </c>
      <c r="L8" s="4">
        <v>-1.528</v>
      </c>
      <c r="M8" s="4">
        <v>-1.528</v>
      </c>
      <c r="N8" s="4">
        <v>-1.528</v>
      </c>
      <c r="O8" s="4">
        <v>-1.528</v>
      </c>
      <c r="P8" s="4">
        <v>0</v>
      </c>
      <c r="Q8" s="3" t="s">
        <v>26</v>
      </c>
      <c r="R8" s="3">
        <v>0</v>
      </c>
      <c r="S8" s="3">
        <v>0</v>
      </c>
      <c r="T8" s="3">
        <v>29</v>
      </c>
      <c r="U8" s="3">
        <v>50</v>
      </c>
      <c r="V8" s="4">
        <f>IF(ISERROR(VLOOKUP($S$8,'TAR FIN'!$A$1:$O$85,15,0)),0,VLOOKUP($S$8,'TAR FIN'!$A$1:$O$85,15,0))</f>
        <v>0</v>
      </c>
      <c r="W8" s="4">
        <f>IF(ISERROR(VLOOKUP($T$8,'TAR FIN'!$A$1:$O$85,15,0)),0,VLOOKUP($T$8,'TAR FIN'!$A$1:$O$85,15,0))</f>
        <v>244.97</v>
      </c>
      <c r="X8" s="4">
        <f>IF(ISERROR(VLOOKUP($U$8,'TAR FIN'!$A$1:$O$85,15,0)),0,VLOOKUP($U$8,'TAR FIN'!$A$1:$O$85,15,0))</f>
        <v>80.97</v>
      </c>
      <c r="Y8" s="4"/>
      <c r="Z8" s="4">
        <f ca="1">('TUSD BE'!$AM$21+'TUSD BF'!$AM$21+'TUSD CVA'!$AM$21-('TUSD BE'!$P$21+'TUSD BF'!$P$21+'TUSD CVA'!$P$21)-('TUSD BE'!$Q$21+'TUSD BF'!$Q$21+'TUSD CVA'!$Q$21)-('TUSD BE'!$R$21+'TUSD BF'!$R$21+'TUSD CVA'!$R$21))*(1-CUSTOS!$M$34)</f>
        <v>293.22899061728316</v>
      </c>
      <c r="AA8" s="4">
        <f>('TE BE'!$AA$12+'TE BF'!$AA$12+'TE CVA'!$AA$12)*(1-CUSTOS!$M$34)</f>
        <v>91.281099691327995</v>
      </c>
      <c r="AB8" s="4">
        <f t="shared" si="0"/>
        <v>0</v>
      </c>
      <c r="AC8" s="4">
        <f>(L8-M8)*(W8+X8)+($W$63+$X$63-$W$8-$X$8)*(L8)</f>
        <v>-924.89839999999992</v>
      </c>
      <c r="AD8" s="4">
        <f t="shared" si="1"/>
        <v>0</v>
      </c>
      <c r="AE8" s="4">
        <f ca="1">(L8-M8)*(Z8+AA8)+($Z$63+$AA$63-$Z$8-$AA$8)*(L8)</f>
        <v>-1091.129776270036</v>
      </c>
      <c r="AF8" s="3" t="s">
        <v>641</v>
      </c>
      <c r="AH8" s="52" t="s">
        <v>641</v>
      </c>
      <c r="AI8" s="53">
        <f t="shared" si="2"/>
        <v>340605.82589800004</v>
      </c>
      <c r="AJ8" s="53">
        <f t="shared" ca="1" si="3"/>
        <v>401825.25531436637</v>
      </c>
    </row>
    <row r="9" spans="1:36" ht="11.25" customHeight="1" x14ac:dyDescent="0.25">
      <c r="A9" s="3" t="s">
        <v>28</v>
      </c>
      <c r="B9" s="3" t="s">
        <v>22</v>
      </c>
      <c r="C9" s="3" t="s">
        <v>23</v>
      </c>
      <c r="D9" s="3" t="s">
        <v>24</v>
      </c>
      <c r="E9" s="3" t="s">
        <v>29</v>
      </c>
      <c r="F9" s="3" t="s">
        <v>25</v>
      </c>
      <c r="G9" s="3" t="s">
        <v>25</v>
      </c>
      <c r="H9" s="3" t="s">
        <v>25</v>
      </c>
      <c r="I9" s="6">
        <v>44348</v>
      </c>
      <c r="J9" s="4">
        <v>0</v>
      </c>
      <c r="K9" s="4">
        <v>0</v>
      </c>
      <c r="L9" s="4">
        <v>0.03</v>
      </c>
      <c r="M9" s="4">
        <v>1.0500000000000001E-2</v>
      </c>
      <c r="N9" s="4">
        <v>0.03</v>
      </c>
      <c r="O9" s="4">
        <v>1.0500000000000001E-2</v>
      </c>
      <c r="P9" s="4">
        <v>1</v>
      </c>
      <c r="Q9" s="3" t="s">
        <v>26</v>
      </c>
      <c r="R9" s="3">
        <v>0</v>
      </c>
      <c r="S9" s="3">
        <v>0</v>
      </c>
      <c r="T9" s="3">
        <v>29</v>
      </c>
      <c r="U9" s="3">
        <v>50</v>
      </c>
      <c r="V9" s="4">
        <f>IF(ISERROR(VLOOKUP($S$9,'TAR FIN'!$A$1:$O$85,15,0)),0,VLOOKUP($S$9,'TAR FIN'!$A$1:$O$85,15,0))</f>
        <v>0</v>
      </c>
      <c r="W9" s="4">
        <f>IF(ISERROR(VLOOKUP($T$9,'TAR FIN'!$A$1:$O$85,15,0)),0,VLOOKUP($T$9,'TAR FIN'!$A$1:$O$85,15,0))</f>
        <v>244.97</v>
      </c>
      <c r="X9" s="4">
        <f>IF(ISERROR(VLOOKUP($U$9,'TAR FIN'!$A$1:$O$85,15,0)),0,VLOOKUP($U$9,'TAR FIN'!$A$1:$O$85,15,0))</f>
        <v>80.97</v>
      </c>
      <c r="Y9" s="4"/>
      <c r="Z9" s="4">
        <f ca="1">('TUSD BE'!$AM$21+'TUSD BF'!$AM$21+'TUSD CVA'!$AM$21-('TUSD BE'!$P$21+'TUSD BF'!$P$21+'TUSD CVA'!$P$21)-('TUSD BE'!$Q$21+'TUSD BF'!$Q$21+'TUSD CVA'!$Q$21)-('TUSD BE'!$R$21+'TUSD BF'!$R$21+'TUSD CVA'!$R$21))*(1-CUSTOS!$M$34)</f>
        <v>293.22899061728316</v>
      </c>
      <c r="AA9" s="4">
        <f>('TE BE'!$AA$12+'TE BF'!$AA$12+'TE CVA'!$AA$12)*(1-CUSTOS!$M$34)</f>
        <v>91.281099691327995</v>
      </c>
      <c r="AB9" s="4">
        <f t="shared" si="0"/>
        <v>0</v>
      </c>
      <c r="AC9" s="4">
        <f>(L9-M9)*(W9+X9)+($W$63+$X$63-$W$9-$X$9)*(L9)</f>
        <v>24.514829999999996</v>
      </c>
      <c r="AD9" s="4">
        <f t="shared" si="1"/>
        <v>0</v>
      </c>
      <c r="AE9" s="4">
        <f ca="1">(L9-M9)*(Z9+AA9)+($Z$63+$AA$63-$Z$9-$AA$9)*(L9)</f>
        <v>28.920651792497679</v>
      </c>
      <c r="AF9" s="3" t="s">
        <v>641</v>
      </c>
      <c r="AH9" s="52" t="s">
        <v>650</v>
      </c>
      <c r="AI9" s="53">
        <f t="shared" si="2"/>
        <v>0</v>
      </c>
      <c r="AJ9" s="53">
        <f t="shared" si="3"/>
        <v>0</v>
      </c>
    </row>
    <row r="10" spans="1:36" ht="11.25" customHeight="1" x14ac:dyDescent="0.25">
      <c r="A10" s="3" t="s">
        <v>21</v>
      </c>
      <c r="B10" s="3" t="s">
        <v>22</v>
      </c>
      <c r="C10" s="3" t="s">
        <v>23</v>
      </c>
      <c r="D10" s="3" t="s">
        <v>24</v>
      </c>
      <c r="E10" s="3" t="s">
        <v>29</v>
      </c>
      <c r="F10" s="3" t="s">
        <v>25</v>
      </c>
      <c r="G10" s="3" t="s">
        <v>25</v>
      </c>
      <c r="H10" s="3" t="s">
        <v>25</v>
      </c>
      <c r="I10" s="6">
        <v>44378</v>
      </c>
      <c r="J10" s="4">
        <v>0</v>
      </c>
      <c r="K10" s="4">
        <v>0</v>
      </c>
      <c r="L10" s="4">
        <v>14.82</v>
      </c>
      <c r="M10" s="4">
        <v>14.82</v>
      </c>
      <c r="N10" s="4">
        <v>14.82</v>
      </c>
      <c r="O10" s="4">
        <v>14.82</v>
      </c>
      <c r="P10" s="4">
        <v>23</v>
      </c>
      <c r="Q10" s="3" t="s">
        <v>26</v>
      </c>
      <c r="R10" s="3">
        <v>0</v>
      </c>
      <c r="S10" s="3">
        <v>0</v>
      </c>
      <c r="T10" s="3">
        <v>29</v>
      </c>
      <c r="U10" s="3">
        <v>50</v>
      </c>
      <c r="V10" s="4">
        <f>IF(ISERROR(VLOOKUP($S$10,'TAR FIN'!$A$1:$O$85,15,0)),0,VLOOKUP($S$10,'TAR FIN'!$A$1:$O$85,15,0))</f>
        <v>0</v>
      </c>
      <c r="W10" s="4">
        <f>IF(ISERROR(VLOOKUP($T$10,'TAR FIN'!$A$1:$O$85,15,0)),0,VLOOKUP($T$10,'TAR FIN'!$A$1:$O$85,15,0))</f>
        <v>244.97</v>
      </c>
      <c r="X10" s="4">
        <f>IF(ISERROR(VLOOKUP($U$10,'TAR FIN'!$A$1:$O$85,15,0)),0,VLOOKUP($U$10,'TAR FIN'!$A$1:$O$85,15,0))</f>
        <v>80.97</v>
      </c>
      <c r="Y10" s="4"/>
      <c r="Z10" s="4">
        <f ca="1">('TUSD BE'!$AM$21+'TUSD BF'!$AM$21+'TUSD CVA'!$AM$21-('TUSD BE'!$P$21+'TUSD BF'!$P$21+'TUSD CVA'!$P$21)-('TUSD BE'!$Q$21+'TUSD BF'!$Q$21+'TUSD CVA'!$Q$21)-('TUSD BE'!$R$21+'TUSD BF'!$R$21+'TUSD CVA'!$R$21))*(1-CUSTOS!$M$34)</f>
        <v>293.22899061728316</v>
      </c>
      <c r="AA10" s="4">
        <f>('TE BE'!$AA$12+'TE BF'!$AA$12+'TE CVA'!$AA$12)*(1-CUSTOS!$M$34)</f>
        <v>91.281099691327995</v>
      </c>
      <c r="AB10" s="4">
        <f t="shared" si="0"/>
        <v>0</v>
      </c>
      <c r="AC10" s="4">
        <f>(L10-M10)*(W10+X10)+($W$63+$X$63-$W$10-$X$10)*(L10)</f>
        <v>8970.5460000000003</v>
      </c>
      <c r="AD10" s="4">
        <f t="shared" si="1"/>
        <v>0</v>
      </c>
      <c r="AE10" s="4">
        <f ca="1">(L10-M10)*(Z10+AA10)+($Z$63+$AA$63-$Z$10-$AA$10)*(L10)</f>
        <v>10582.816285551004</v>
      </c>
      <c r="AF10" s="3" t="s">
        <v>641</v>
      </c>
    </row>
    <row r="11" spans="1:36" ht="11.25" customHeight="1" x14ac:dyDescent="0.25">
      <c r="A11" s="3" t="s">
        <v>28</v>
      </c>
      <c r="B11" s="3" t="s">
        <v>22</v>
      </c>
      <c r="C11" s="3" t="s">
        <v>23</v>
      </c>
      <c r="D11" s="3" t="s">
        <v>24</v>
      </c>
      <c r="E11" s="3" t="s">
        <v>29</v>
      </c>
      <c r="F11" s="3" t="s">
        <v>25</v>
      </c>
      <c r="G11" s="3" t="s">
        <v>25</v>
      </c>
      <c r="H11" s="3" t="s">
        <v>25</v>
      </c>
      <c r="I11" s="6">
        <v>44378</v>
      </c>
      <c r="J11" s="4">
        <v>0</v>
      </c>
      <c r="K11" s="4">
        <v>0</v>
      </c>
      <c r="L11" s="4">
        <v>0.03</v>
      </c>
      <c r="M11" s="4">
        <v>1.0500000000000001E-2</v>
      </c>
      <c r="N11" s="4">
        <v>0.03</v>
      </c>
      <c r="O11" s="4">
        <v>1.0500000000000001E-2</v>
      </c>
      <c r="P11" s="4">
        <v>1</v>
      </c>
      <c r="Q11" s="3" t="s">
        <v>26</v>
      </c>
      <c r="R11" s="3">
        <v>0</v>
      </c>
      <c r="S11" s="3">
        <v>0</v>
      </c>
      <c r="T11" s="3">
        <v>29</v>
      </c>
      <c r="U11" s="3">
        <v>50</v>
      </c>
      <c r="V11" s="4">
        <f>IF(ISERROR(VLOOKUP($S$11,'TAR FIN'!$A$1:$O$85,15,0)),0,VLOOKUP($S$11,'TAR FIN'!$A$1:$O$85,15,0))</f>
        <v>0</v>
      </c>
      <c r="W11" s="4">
        <f>IF(ISERROR(VLOOKUP($T$11,'TAR FIN'!$A$1:$O$85,15,0)),0,VLOOKUP($T$11,'TAR FIN'!$A$1:$O$85,15,0))</f>
        <v>244.97</v>
      </c>
      <c r="X11" s="4">
        <f>IF(ISERROR(VLOOKUP($U$11,'TAR FIN'!$A$1:$O$85,15,0)),0,VLOOKUP($U$11,'TAR FIN'!$A$1:$O$85,15,0))</f>
        <v>80.97</v>
      </c>
      <c r="Y11" s="4"/>
      <c r="Z11" s="4">
        <f ca="1">('TUSD BE'!$AM$21+'TUSD BF'!$AM$21+'TUSD CVA'!$AM$21-('TUSD BE'!$P$21+'TUSD BF'!$P$21+'TUSD CVA'!$P$21)-('TUSD BE'!$Q$21+'TUSD BF'!$Q$21+'TUSD CVA'!$Q$21)-('TUSD BE'!$R$21+'TUSD BF'!$R$21+'TUSD CVA'!$R$21))*(1-CUSTOS!$M$34)</f>
        <v>293.22899061728316</v>
      </c>
      <c r="AA11" s="4">
        <f>('TE BE'!$AA$12+'TE BF'!$AA$12+'TE CVA'!$AA$12)*(1-CUSTOS!$M$34)</f>
        <v>91.281099691327995</v>
      </c>
      <c r="AB11" s="4">
        <f t="shared" si="0"/>
        <v>0</v>
      </c>
      <c r="AC11" s="4">
        <f>(L11-M11)*(W11+X11)+($W$63+$X$63-$W$11-$X$11)*(L11)</f>
        <v>24.514829999999996</v>
      </c>
      <c r="AD11" s="4">
        <f t="shared" si="1"/>
        <v>0</v>
      </c>
      <c r="AE11" s="4">
        <f ca="1">(L11-M11)*(Z11+AA11)+($Z$63+$AA$63-$Z$11-$AA$11)*(L11)</f>
        <v>28.920651792497679</v>
      </c>
      <c r="AF11" s="3" t="s">
        <v>641</v>
      </c>
    </row>
    <row r="12" spans="1:36" ht="11.25" customHeight="1" x14ac:dyDescent="0.25">
      <c r="A12" s="3" t="s">
        <v>21</v>
      </c>
      <c r="B12" s="3" t="s">
        <v>22</v>
      </c>
      <c r="C12" s="3" t="s">
        <v>23</v>
      </c>
      <c r="D12" s="3" t="s">
        <v>24</v>
      </c>
      <c r="E12" s="3" t="s">
        <v>29</v>
      </c>
      <c r="F12" s="3" t="s">
        <v>25</v>
      </c>
      <c r="G12" s="3" t="s">
        <v>25</v>
      </c>
      <c r="H12" s="3" t="s">
        <v>25</v>
      </c>
      <c r="I12" s="6">
        <v>44409</v>
      </c>
      <c r="J12" s="4">
        <v>0</v>
      </c>
      <c r="K12" s="4">
        <v>0</v>
      </c>
      <c r="L12" s="4">
        <v>15.33</v>
      </c>
      <c r="M12" s="4">
        <v>15.33</v>
      </c>
      <c r="N12" s="4">
        <v>15.33</v>
      </c>
      <c r="O12" s="4">
        <v>15.33</v>
      </c>
      <c r="P12" s="4">
        <v>26</v>
      </c>
      <c r="Q12" s="3" t="s">
        <v>26</v>
      </c>
      <c r="R12" s="3">
        <v>0</v>
      </c>
      <c r="S12" s="3">
        <v>0</v>
      </c>
      <c r="T12" s="3">
        <v>29</v>
      </c>
      <c r="U12" s="3">
        <v>50</v>
      </c>
      <c r="V12" s="4">
        <f>IF(ISERROR(VLOOKUP($S$12,'TAR FIN'!$A$1:$O$85,15,0)),0,VLOOKUP($S$12,'TAR FIN'!$A$1:$O$85,15,0))</f>
        <v>0</v>
      </c>
      <c r="W12" s="4">
        <f>IF(ISERROR(VLOOKUP($T$12,'TAR FIN'!$A$1:$O$85,15,0)),0,VLOOKUP($T$12,'TAR FIN'!$A$1:$O$85,15,0))</f>
        <v>244.97</v>
      </c>
      <c r="X12" s="4">
        <f>IF(ISERROR(VLOOKUP($U$12,'TAR FIN'!$A$1:$O$85,15,0)),0,VLOOKUP($U$12,'TAR FIN'!$A$1:$O$85,15,0))</f>
        <v>80.97</v>
      </c>
      <c r="Y12" s="4"/>
      <c r="Z12" s="4">
        <f ca="1">('TUSD BE'!$AM$21+'TUSD BF'!$AM$21+'TUSD CVA'!$AM$21-('TUSD BE'!$P$21+'TUSD BF'!$P$21+'TUSD CVA'!$P$21)-('TUSD BE'!$Q$21+'TUSD BF'!$Q$21+'TUSD CVA'!$Q$21)-('TUSD BE'!$R$21+'TUSD BF'!$R$21+'TUSD CVA'!$R$21))*(1-CUSTOS!$M$34)</f>
        <v>293.22899061728316</v>
      </c>
      <c r="AA12" s="4">
        <f>('TE BE'!$AA$12+'TE BF'!$AA$12+'TE CVA'!$AA$12)*(1-CUSTOS!$M$34)</f>
        <v>91.281099691327995</v>
      </c>
      <c r="AB12" s="4">
        <f t="shared" si="0"/>
        <v>0</v>
      </c>
      <c r="AC12" s="4">
        <f>(L12-M12)*(W12+X12)+($W$63+$X$63-$W$12-$X$12)*(L12)</f>
        <v>9279.2489999999998</v>
      </c>
      <c r="AD12" s="4">
        <f t="shared" si="1"/>
        <v>0</v>
      </c>
      <c r="AE12" s="4">
        <f ca="1">(L12-M12)*(Z12+AA12)+($Z$63+$AA$63-$Z$12-$AA$12)*(L12)</f>
        <v>10947.002271086159</v>
      </c>
      <c r="AF12" s="3" t="s">
        <v>641</v>
      </c>
    </row>
    <row r="13" spans="1:36" ht="11.25" customHeight="1" x14ac:dyDescent="0.25">
      <c r="A13" s="3" t="s">
        <v>28</v>
      </c>
      <c r="B13" s="3" t="s">
        <v>22</v>
      </c>
      <c r="C13" s="3" t="s">
        <v>23</v>
      </c>
      <c r="D13" s="3" t="s">
        <v>24</v>
      </c>
      <c r="E13" s="3" t="s">
        <v>29</v>
      </c>
      <c r="F13" s="3" t="s">
        <v>25</v>
      </c>
      <c r="G13" s="3" t="s">
        <v>25</v>
      </c>
      <c r="H13" s="3" t="s">
        <v>25</v>
      </c>
      <c r="I13" s="6">
        <v>44409</v>
      </c>
      <c r="J13" s="4">
        <v>0</v>
      </c>
      <c r="K13" s="4">
        <v>0</v>
      </c>
      <c r="L13" s="4">
        <v>0.03</v>
      </c>
      <c r="M13" s="4">
        <v>1.0500000000000001E-2</v>
      </c>
      <c r="N13" s="4">
        <v>0.03</v>
      </c>
      <c r="O13" s="4">
        <v>1.0500000000000001E-2</v>
      </c>
      <c r="P13" s="4">
        <v>1</v>
      </c>
      <c r="Q13" s="3" t="s">
        <v>26</v>
      </c>
      <c r="R13" s="3">
        <v>0</v>
      </c>
      <c r="S13" s="3">
        <v>0</v>
      </c>
      <c r="T13" s="3">
        <v>29</v>
      </c>
      <c r="U13" s="3">
        <v>50</v>
      </c>
      <c r="V13" s="4">
        <f>IF(ISERROR(VLOOKUP($S$13,'TAR FIN'!$A$1:$O$85,15,0)),0,VLOOKUP($S$13,'TAR FIN'!$A$1:$O$85,15,0))</f>
        <v>0</v>
      </c>
      <c r="W13" s="4">
        <f>IF(ISERROR(VLOOKUP($T$13,'TAR FIN'!$A$1:$O$85,15,0)),0,VLOOKUP($T$13,'TAR FIN'!$A$1:$O$85,15,0))</f>
        <v>244.97</v>
      </c>
      <c r="X13" s="4">
        <f>IF(ISERROR(VLOOKUP($U$13,'TAR FIN'!$A$1:$O$85,15,0)),0,VLOOKUP($U$13,'TAR FIN'!$A$1:$O$85,15,0))</f>
        <v>80.97</v>
      </c>
      <c r="Y13" s="4"/>
      <c r="Z13" s="4">
        <f ca="1">('TUSD BE'!$AM$21+'TUSD BF'!$AM$21+'TUSD CVA'!$AM$21-('TUSD BE'!$P$21+'TUSD BF'!$P$21+'TUSD CVA'!$P$21)-('TUSD BE'!$Q$21+'TUSD BF'!$Q$21+'TUSD CVA'!$Q$21)-('TUSD BE'!$R$21+'TUSD BF'!$R$21+'TUSD CVA'!$R$21))*(1-CUSTOS!$M$34)</f>
        <v>293.22899061728316</v>
      </c>
      <c r="AA13" s="4">
        <f>('TE BE'!$AA$12+'TE BF'!$AA$12+'TE CVA'!$AA$12)*(1-CUSTOS!$M$34)</f>
        <v>91.281099691327995</v>
      </c>
      <c r="AB13" s="4">
        <f t="shared" si="0"/>
        <v>0</v>
      </c>
      <c r="AC13" s="4">
        <f>(L13-M13)*(W13+X13)+($W$63+$X$63-$W$13-$X$13)*(L13)</f>
        <v>24.514829999999996</v>
      </c>
      <c r="AD13" s="4">
        <f t="shared" si="1"/>
        <v>0</v>
      </c>
      <c r="AE13" s="4">
        <f ca="1">(L13-M13)*(Z13+AA13)+($Z$63+$AA$63-$Z$13-$AA$13)*(L13)</f>
        <v>28.920651792497679</v>
      </c>
      <c r="AF13" s="3" t="s">
        <v>641</v>
      </c>
    </row>
    <row r="14" spans="1:36" ht="11.25" customHeight="1" x14ac:dyDescent="0.25">
      <c r="A14" s="3" t="s">
        <v>21</v>
      </c>
      <c r="B14" s="3" t="s">
        <v>22</v>
      </c>
      <c r="C14" s="3" t="s">
        <v>23</v>
      </c>
      <c r="D14" s="3" t="s">
        <v>24</v>
      </c>
      <c r="E14" s="3" t="s">
        <v>29</v>
      </c>
      <c r="F14" s="3" t="s">
        <v>25</v>
      </c>
      <c r="G14" s="3" t="s">
        <v>25</v>
      </c>
      <c r="H14" s="3" t="s">
        <v>25</v>
      </c>
      <c r="I14" s="6">
        <v>44440</v>
      </c>
      <c r="J14" s="4">
        <v>0</v>
      </c>
      <c r="K14" s="4">
        <v>0</v>
      </c>
      <c r="L14" s="4">
        <v>15.45</v>
      </c>
      <c r="M14" s="4">
        <v>15.45</v>
      </c>
      <c r="N14" s="4">
        <v>15.45</v>
      </c>
      <c r="O14" s="4">
        <v>15.45</v>
      </c>
      <c r="P14" s="4">
        <v>18</v>
      </c>
      <c r="Q14" s="3" t="s">
        <v>26</v>
      </c>
      <c r="R14" s="3">
        <v>0</v>
      </c>
      <c r="S14" s="3">
        <v>0</v>
      </c>
      <c r="T14" s="3">
        <v>29</v>
      </c>
      <c r="U14" s="3">
        <v>50</v>
      </c>
      <c r="V14" s="4">
        <f>IF(ISERROR(VLOOKUP($S$14,'TAR FIN'!$A$1:$O$85,15,0)),0,VLOOKUP($S$14,'TAR FIN'!$A$1:$O$85,15,0))</f>
        <v>0</v>
      </c>
      <c r="W14" s="4">
        <f>IF(ISERROR(VLOOKUP($T$14,'TAR FIN'!$A$1:$O$85,15,0)),0,VLOOKUP($T$14,'TAR FIN'!$A$1:$O$85,15,0))</f>
        <v>244.97</v>
      </c>
      <c r="X14" s="4">
        <f>IF(ISERROR(VLOOKUP($U$14,'TAR FIN'!$A$1:$O$85,15,0)),0,VLOOKUP($U$14,'TAR FIN'!$A$1:$O$85,15,0))</f>
        <v>80.97</v>
      </c>
      <c r="Y14" s="4"/>
      <c r="Z14" s="4">
        <f ca="1">('TUSD BE'!$AM$21+'TUSD BF'!$AM$21+'TUSD CVA'!$AM$21-('TUSD BE'!$P$21+'TUSD BF'!$P$21+'TUSD CVA'!$P$21)-('TUSD BE'!$Q$21+'TUSD BF'!$Q$21+'TUSD CVA'!$Q$21)-('TUSD BE'!$R$21+'TUSD BF'!$R$21+'TUSD CVA'!$R$21))*(1-CUSTOS!$M$34)</f>
        <v>293.22899061728316</v>
      </c>
      <c r="AA14" s="4">
        <f>('TE BE'!$AA$12+'TE BF'!$AA$12+'TE CVA'!$AA$12)*(1-CUSTOS!$M$34)</f>
        <v>91.281099691327995</v>
      </c>
      <c r="AB14" s="4">
        <f t="shared" si="0"/>
        <v>0</v>
      </c>
      <c r="AC14" s="4">
        <f>(L14-M14)*(W14+X14)+($W$63+$X$63-$W$14-$X$14)*(L14)</f>
        <v>9351.8849999999984</v>
      </c>
      <c r="AD14" s="4">
        <f t="shared" si="1"/>
        <v>0</v>
      </c>
      <c r="AE14" s="4">
        <f ca="1">(L14-M14)*(Z14+AA14)+($Z$63+$AA$63-$Z$14-$AA$14)*(L14)</f>
        <v>11032.693091212079</v>
      </c>
      <c r="AF14" s="3" t="s">
        <v>641</v>
      </c>
    </row>
    <row r="15" spans="1:36" ht="11.25" customHeight="1" x14ac:dyDescent="0.25">
      <c r="A15" s="3" t="s">
        <v>28</v>
      </c>
      <c r="B15" s="3" t="s">
        <v>22</v>
      </c>
      <c r="C15" s="3" t="s">
        <v>23</v>
      </c>
      <c r="D15" s="3" t="s">
        <v>24</v>
      </c>
      <c r="E15" s="3" t="s">
        <v>29</v>
      </c>
      <c r="F15" s="3" t="s">
        <v>25</v>
      </c>
      <c r="G15" s="3" t="s">
        <v>25</v>
      </c>
      <c r="H15" s="3" t="s">
        <v>25</v>
      </c>
      <c r="I15" s="6">
        <v>44440</v>
      </c>
      <c r="J15" s="4">
        <v>0</v>
      </c>
      <c r="K15" s="4">
        <v>0</v>
      </c>
      <c r="L15" s="4">
        <v>0.03</v>
      </c>
      <c r="M15" s="4">
        <v>1.0500000000000001E-2</v>
      </c>
      <c r="N15" s="4">
        <v>0.03</v>
      </c>
      <c r="O15" s="4">
        <v>1.0500000000000001E-2</v>
      </c>
      <c r="P15" s="4">
        <v>1</v>
      </c>
      <c r="Q15" s="3" t="s">
        <v>26</v>
      </c>
      <c r="R15" s="3">
        <v>0</v>
      </c>
      <c r="S15" s="3">
        <v>0</v>
      </c>
      <c r="T15" s="3">
        <v>29</v>
      </c>
      <c r="U15" s="3">
        <v>50</v>
      </c>
      <c r="V15" s="4">
        <f>IF(ISERROR(VLOOKUP($S$15,'TAR FIN'!$A$1:$O$85,15,0)),0,VLOOKUP($S$15,'TAR FIN'!$A$1:$O$85,15,0))</f>
        <v>0</v>
      </c>
      <c r="W15" s="4">
        <f>IF(ISERROR(VLOOKUP($T$15,'TAR FIN'!$A$1:$O$85,15,0)),0,VLOOKUP($T$15,'TAR FIN'!$A$1:$O$85,15,0))</f>
        <v>244.97</v>
      </c>
      <c r="X15" s="4">
        <f>IF(ISERROR(VLOOKUP($U$15,'TAR FIN'!$A$1:$O$85,15,0)),0,VLOOKUP($U$15,'TAR FIN'!$A$1:$O$85,15,0))</f>
        <v>80.97</v>
      </c>
      <c r="Y15" s="4"/>
      <c r="Z15" s="4">
        <f ca="1">('TUSD BE'!$AM$21+'TUSD BF'!$AM$21+'TUSD CVA'!$AM$21-('TUSD BE'!$P$21+'TUSD BF'!$P$21+'TUSD CVA'!$P$21)-('TUSD BE'!$Q$21+'TUSD BF'!$Q$21+'TUSD CVA'!$Q$21)-('TUSD BE'!$R$21+'TUSD BF'!$R$21+'TUSD CVA'!$R$21))*(1-CUSTOS!$M$34)</f>
        <v>293.22899061728316</v>
      </c>
      <c r="AA15" s="4">
        <f>('TE BE'!$AA$12+'TE BF'!$AA$12+'TE CVA'!$AA$12)*(1-CUSTOS!$M$34)</f>
        <v>91.281099691327995</v>
      </c>
      <c r="AB15" s="4">
        <f t="shared" si="0"/>
        <v>0</v>
      </c>
      <c r="AC15" s="4">
        <f>(L15-M15)*(W15+X15)+($W$63+$X$63-$W$15-$X$15)*(L15)</f>
        <v>24.514829999999996</v>
      </c>
      <c r="AD15" s="4">
        <f t="shared" si="1"/>
        <v>0</v>
      </c>
      <c r="AE15" s="4">
        <f ca="1">(L15-M15)*(Z15+AA15)+($Z$63+$AA$63-$Z$15-$AA$15)*(L15)</f>
        <v>28.920651792497679</v>
      </c>
      <c r="AF15" s="3" t="s">
        <v>641</v>
      </c>
    </row>
    <row r="16" spans="1:36" ht="11.25" customHeight="1" x14ac:dyDescent="0.25">
      <c r="A16" s="3" t="s">
        <v>21</v>
      </c>
      <c r="B16" s="3" t="s">
        <v>22</v>
      </c>
      <c r="C16" s="3" t="s">
        <v>23</v>
      </c>
      <c r="D16" s="3" t="s">
        <v>24</v>
      </c>
      <c r="E16" s="3" t="s">
        <v>29</v>
      </c>
      <c r="F16" s="3" t="s">
        <v>25</v>
      </c>
      <c r="G16" s="3" t="s">
        <v>25</v>
      </c>
      <c r="H16" s="3" t="s">
        <v>25</v>
      </c>
      <c r="I16" s="6">
        <v>44470</v>
      </c>
      <c r="J16" s="4">
        <v>0</v>
      </c>
      <c r="K16" s="4">
        <v>0</v>
      </c>
      <c r="L16" s="4">
        <v>17.07</v>
      </c>
      <c r="M16" s="4">
        <v>17.07</v>
      </c>
      <c r="N16" s="4">
        <v>17.07</v>
      </c>
      <c r="O16" s="4">
        <v>17.07</v>
      </c>
      <c r="P16" s="4">
        <v>20</v>
      </c>
      <c r="Q16" s="3" t="s">
        <v>26</v>
      </c>
      <c r="R16" s="3">
        <v>0</v>
      </c>
      <c r="S16" s="3">
        <v>0</v>
      </c>
      <c r="T16" s="3">
        <v>29</v>
      </c>
      <c r="U16" s="3">
        <v>50</v>
      </c>
      <c r="V16" s="4">
        <f>IF(ISERROR(VLOOKUP($S$16,'TAR FIN'!$A$1:$O$85,15,0)),0,VLOOKUP($S$16,'TAR FIN'!$A$1:$O$85,15,0))</f>
        <v>0</v>
      </c>
      <c r="W16" s="4">
        <f>IF(ISERROR(VLOOKUP($T$16,'TAR FIN'!$A$1:$O$85,15,0)),0,VLOOKUP($T$16,'TAR FIN'!$A$1:$O$85,15,0))</f>
        <v>244.97</v>
      </c>
      <c r="X16" s="4">
        <f>IF(ISERROR(VLOOKUP($U$16,'TAR FIN'!$A$1:$O$85,15,0)),0,VLOOKUP($U$16,'TAR FIN'!$A$1:$O$85,15,0))</f>
        <v>80.97</v>
      </c>
      <c r="Y16" s="4"/>
      <c r="Z16" s="4">
        <f ca="1">('TUSD BE'!$AM$21+'TUSD BF'!$AM$21+'TUSD CVA'!$AM$21-('TUSD BE'!$P$21+'TUSD BF'!$P$21+'TUSD CVA'!$P$21)-('TUSD BE'!$Q$21+'TUSD BF'!$Q$21+'TUSD CVA'!$Q$21)-('TUSD BE'!$R$21+'TUSD BF'!$R$21+'TUSD CVA'!$R$21))*(1-CUSTOS!$M$34)</f>
        <v>293.22899061728316</v>
      </c>
      <c r="AA16" s="4">
        <f>('TE BE'!$AA$12+'TE BF'!$AA$12+'TE CVA'!$AA$12)*(1-CUSTOS!$M$34)</f>
        <v>91.281099691327995</v>
      </c>
      <c r="AB16" s="4">
        <f t="shared" si="0"/>
        <v>0</v>
      </c>
      <c r="AC16" s="4">
        <f>(L16-M16)*(W16+X16)+($W$63+$X$63-$W$16-$X$16)*(L16)</f>
        <v>10332.471</v>
      </c>
      <c r="AD16" s="4">
        <f t="shared" si="1"/>
        <v>0</v>
      </c>
      <c r="AE16" s="4">
        <f ca="1">(L16-M16)*(Z16+AA16)+($Z$63+$AA$63-$Z$16-$AA$16)*(L16)</f>
        <v>12189.519162911985</v>
      </c>
      <c r="AF16" s="3" t="s">
        <v>641</v>
      </c>
    </row>
    <row r="17" spans="1:32" ht="11.25" customHeight="1" x14ac:dyDescent="0.25">
      <c r="A17" s="3" t="s">
        <v>28</v>
      </c>
      <c r="B17" s="3" t="s">
        <v>22</v>
      </c>
      <c r="C17" s="3" t="s">
        <v>23</v>
      </c>
      <c r="D17" s="3" t="s">
        <v>24</v>
      </c>
      <c r="E17" s="3" t="s">
        <v>29</v>
      </c>
      <c r="F17" s="3" t="s">
        <v>25</v>
      </c>
      <c r="G17" s="3" t="s">
        <v>25</v>
      </c>
      <c r="H17" s="3" t="s">
        <v>25</v>
      </c>
      <c r="I17" s="6">
        <v>44470</v>
      </c>
      <c r="J17" s="4">
        <v>0</v>
      </c>
      <c r="K17" s="4">
        <v>0</v>
      </c>
      <c r="L17" s="4">
        <v>0.03</v>
      </c>
      <c r="M17" s="4">
        <v>1.0500000000000001E-2</v>
      </c>
      <c r="N17" s="4">
        <v>0.03</v>
      </c>
      <c r="O17" s="4">
        <v>1.0500000000000001E-2</v>
      </c>
      <c r="P17" s="4">
        <v>1</v>
      </c>
      <c r="Q17" s="3" t="s">
        <v>26</v>
      </c>
      <c r="R17" s="3">
        <v>0</v>
      </c>
      <c r="S17" s="3">
        <v>0</v>
      </c>
      <c r="T17" s="3">
        <v>29</v>
      </c>
      <c r="U17" s="3">
        <v>50</v>
      </c>
      <c r="V17" s="4">
        <f>IF(ISERROR(VLOOKUP($S$17,'TAR FIN'!$A$1:$O$85,15,0)),0,VLOOKUP($S$17,'TAR FIN'!$A$1:$O$85,15,0))</f>
        <v>0</v>
      </c>
      <c r="W17" s="4">
        <f>IF(ISERROR(VLOOKUP($T$17,'TAR FIN'!$A$1:$O$85,15,0)),0,VLOOKUP($T$17,'TAR FIN'!$A$1:$O$85,15,0))</f>
        <v>244.97</v>
      </c>
      <c r="X17" s="4">
        <f>IF(ISERROR(VLOOKUP($U$17,'TAR FIN'!$A$1:$O$85,15,0)),0,VLOOKUP($U$17,'TAR FIN'!$A$1:$O$85,15,0))</f>
        <v>80.97</v>
      </c>
      <c r="Y17" s="4"/>
      <c r="Z17" s="4">
        <f ca="1">('TUSD BE'!$AM$21+'TUSD BF'!$AM$21+'TUSD CVA'!$AM$21-('TUSD BE'!$P$21+'TUSD BF'!$P$21+'TUSD CVA'!$P$21)-('TUSD BE'!$Q$21+'TUSD BF'!$Q$21+'TUSD CVA'!$Q$21)-('TUSD BE'!$R$21+'TUSD BF'!$R$21+'TUSD CVA'!$R$21))*(1-CUSTOS!$M$34)</f>
        <v>293.22899061728316</v>
      </c>
      <c r="AA17" s="4">
        <f>('TE BE'!$AA$12+'TE BF'!$AA$12+'TE CVA'!$AA$12)*(1-CUSTOS!$M$34)</f>
        <v>91.281099691327995</v>
      </c>
      <c r="AB17" s="4">
        <f t="shared" si="0"/>
        <v>0</v>
      </c>
      <c r="AC17" s="4">
        <f>(L17-M17)*(W17+X17)+($W$63+$X$63-$W$17-$X$17)*(L17)</f>
        <v>24.514829999999996</v>
      </c>
      <c r="AD17" s="4">
        <f t="shared" si="1"/>
        <v>0</v>
      </c>
      <c r="AE17" s="4">
        <f ca="1">(L17-M17)*(Z17+AA17)+($Z$63+$AA$63-$Z$17-$AA$17)*(L17)</f>
        <v>28.920651792497679</v>
      </c>
      <c r="AF17" s="3" t="s">
        <v>641</v>
      </c>
    </row>
    <row r="18" spans="1:32" ht="11.25" customHeight="1" x14ac:dyDescent="0.25">
      <c r="A18" s="3" t="s">
        <v>21</v>
      </c>
      <c r="B18" s="3" t="s">
        <v>22</v>
      </c>
      <c r="C18" s="3" t="s">
        <v>23</v>
      </c>
      <c r="D18" s="3" t="s">
        <v>24</v>
      </c>
      <c r="E18" s="3" t="s">
        <v>29</v>
      </c>
      <c r="F18" s="3" t="s">
        <v>25</v>
      </c>
      <c r="G18" s="3" t="s">
        <v>25</v>
      </c>
      <c r="H18" s="3" t="s">
        <v>25</v>
      </c>
      <c r="I18" s="6">
        <v>44501</v>
      </c>
      <c r="J18" s="4">
        <v>0</v>
      </c>
      <c r="K18" s="4">
        <v>0</v>
      </c>
      <c r="L18" s="4">
        <v>18.035</v>
      </c>
      <c r="M18" s="4">
        <v>18.035</v>
      </c>
      <c r="N18" s="4">
        <v>18.035</v>
      </c>
      <c r="O18" s="4">
        <v>18.035</v>
      </c>
      <c r="P18" s="4">
        <v>18</v>
      </c>
      <c r="Q18" s="3" t="s">
        <v>26</v>
      </c>
      <c r="R18" s="3">
        <v>0</v>
      </c>
      <c r="S18" s="3">
        <v>0</v>
      </c>
      <c r="T18" s="3">
        <v>29</v>
      </c>
      <c r="U18" s="3">
        <v>50</v>
      </c>
      <c r="V18" s="4">
        <f>IF(ISERROR(VLOOKUP($S$18,'TAR FIN'!$A$1:$O$85,15,0)),0,VLOOKUP($S$18,'TAR FIN'!$A$1:$O$85,15,0))</f>
        <v>0</v>
      </c>
      <c r="W18" s="4">
        <f>IF(ISERROR(VLOOKUP($T$18,'TAR FIN'!$A$1:$O$85,15,0)),0,VLOOKUP($T$18,'TAR FIN'!$A$1:$O$85,15,0))</f>
        <v>244.97</v>
      </c>
      <c r="X18" s="4">
        <f>IF(ISERROR(VLOOKUP($U$18,'TAR FIN'!$A$1:$O$85,15,0)),0,VLOOKUP($U$18,'TAR FIN'!$A$1:$O$85,15,0))</f>
        <v>80.97</v>
      </c>
      <c r="Y18" s="4"/>
      <c r="Z18" s="4">
        <f ca="1">('TUSD BE'!$AM$21+'TUSD BF'!$AM$21+'TUSD CVA'!$AM$21-('TUSD BE'!$P$21+'TUSD BF'!$P$21+'TUSD CVA'!$P$21)-('TUSD BE'!$Q$21+'TUSD BF'!$Q$21+'TUSD CVA'!$Q$21)-('TUSD BE'!$R$21+'TUSD BF'!$R$21+'TUSD CVA'!$R$21))*(1-CUSTOS!$M$34)</f>
        <v>293.22899061728316</v>
      </c>
      <c r="AA18" s="4">
        <f>('TE BE'!$AA$12+'TE BF'!$AA$12+'TE CVA'!$AA$12)*(1-CUSTOS!$M$34)</f>
        <v>91.281099691327995</v>
      </c>
      <c r="AB18" s="4">
        <f t="shared" si="0"/>
        <v>0</v>
      </c>
      <c r="AC18" s="4">
        <f>(L18-M18)*(W18+X18)+($W$63+$X$63-$W$18-$X$18)*(L18)</f>
        <v>10916.585499999999</v>
      </c>
      <c r="AD18" s="4">
        <f t="shared" si="1"/>
        <v>0</v>
      </c>
      <c r="AE18" s="4">
        <f ca="1">(L18-M18)*(Z18+AA18)+($Z$63+$AA$63-$Z$18-$AA$18)*(L18)</f>
        <v>12878.616174757919</v>
      </c>
      <c r="AF18" s="3" t="s">
        <v>641</v>
      </c>
    </row>
    <row r="19" spans="1:32" ht="11.25" customHeight="1" x14ac:dyDescent="0.25">
      <c r="A19" s="3" t="s">
        <v>28</v>
      </c>
      <c r="B19" s="3" t="s">
        <v>22</v>
      </c>
      <c r="C19" s="3" t="s">
        <v>23</v>
      </c>
      <c r="D19" s="3" t="s">
        <v>24</v>
      </c>
      <c r="E19" s="3" t="s">
        <v>29</v>
      </c>
      <c r="F19" s="3" t="s">
        <v>25</v>
      </c>
      <c r="G19" s="3" t="s">
        <v>25</v>
      </c>
      <c r="H19" s="3" t="s">
        <v>25</v>
      </c>
      <c r="I19" s="6">
        <v>44501</v>
      </c>
      <c r="J19" s="4">
        <v>0</v>
      </c>
      <c r="K19" s="4">
        <v>0</v>
      </c>
      <c r="L19" s="4">
        <v>0.06</v>
      </c>
      <c r="M19" s="4">
        <v>2.1000000000000001E-2</v>
      </c>
      <c r="N19" s="4">
        <v>0.06</v>
      </c>
      <c r="O19" s="4">
        <v>2.1000000000000001E-2</v>
      </c>
      <c r="P19" s="4">
        <v>1</v>
      </c>
      <c r="Q19" s="3" t="s">
        <v>26</v>
      </c>
      <c r="R19" s="3">
        <v>0</v>
      </c>
      <c r="S19" s="3">
        <v>0</v>
      </c>
      <c r="T19" s="3">
        <v>29</v>
      </c>
      <c r="U19" s="3">
        <v>50</v>
      </c>
      <c r="V19" s="4">
        <f>IF(ISERROR(VLOOKUP($S$19,'TAR FIN'!$A$1:$O$85,15,0)),0,VLOOKUP($S$19,'TAR FIN'!$A$1:$O$85,15,0))</f>
        <v>0</v>
      </c>
      <c r="W19" s="4">
        <f>IF(ISERROR(VLOOKUP($T$19,'TAR FIN'!$A$1:$O$85,15,0)),0,VLOOKUP($T$19,'TAR FIN'!$A$1:$O$85,15,0))</f>
        <v>244.97</v>
      </c>
      <c r="X19" s="4">
        <f>IF(ISERROR(VLOOKUP($U$19,'TAR FIN'!$A$1:$O$85,15,0)),0,VLOOKUP($U$19,'TAR FIN'!$A$1:$O$85,15,0))</f>
        <v>80.97</v>
      </c>
      <c r="Y19" s="4"/>
      <c r="Z19" s="4">
        <f ca="1">('TUSD BE'!$AM$21+'TUSD BF'!$AM$21+'TUSD CVA'!$AM$21-('TUSD BE'!$P$21+'TUSD BF'!$P$21+'TUSD CVA'!$P$21)-('TUSD BE'!$Q$21+'TUSD BF'!$Q$21+'TUSD CVA'!$Q$21)-('TUSD BE'!$R$21+'TUSD BF'!$R$21+'TUSD CVA'!$R$21))*(1-CUSTOS!$M$34)</f>
        <v>293.22899061728316</v>
      </c>
      <c r="AA19" s="4">
        <f>('TE BE'!$AA$12+'TE BF'!$AA$12+'TE CVA'!$AA$12)*(1-CUSTOS!$M$34)</f>
        <v>91.281099691327995</v>
      </c>
      <c r="AB19" s="4">
        <f t="shared" si="0"/>
        <v>0</v>
      </c>
      <c r="AC19" s="4">
        <f>(L19-M19)*(W19+X19)+($W$63+$X$63-$W$19-$X$19)*(L19)</f>
        <v>49.029659999999993</v>
      </c>
      <c r="AD19" s="4">
        <f t="shared" si="1"/>
        <v>0</v>
      </c>
      <c r="AE19" s="4">
        <f ca="1">(L19-M19)*(Z19+AA19)+($Z$63+$AA$63-$Z$19-$AA$19)*(L19)</f>
        <v>57.841303584995359</v>
      </c>
      <c r="AF19" s="3" t="s">
        <v>641</v>
      </c>
    </row>
    <row r="20" spans="1:32" ht="11.25" customHeight="1" x14ac:dyDescent="0.25">
      <c r="A20" s="3" t="s">
        <v>21</v>
      </c>
      <c r="B20" s="3" t="s">
        <v>22</v>
      </c>
      <c r="C20" s="3" t="s">
        <v>23</v>
      </c>
      <c r="D20" s="3" t="s">
        <v>24</v>
      </c>
      <c r="E20" s="3" t="s">
        <v>29</v>
      </c>
      <c r="F20" s="3" t="s">
        <v>25</v>
      </c>
      <c r="G20" s="3" t="s">
        <v>25</v>
      </c>
      <c r="H20" s="3" t="s">
        <v>25</v>
      </c>
      <c r="I20" s="6">
        <v>44531</v>
      </c>
      <c r="J20" s="4">
        <v>0</v>
      </c>
      <c r="K20" s="4">
        <v>0</v>
      </c>
      <c r="L20" s="4">
        <v>18.78</v>
      </c>
      <c r="M20" s="4">
        <v>18.78</v>
      </c>
      <c r="N20" s="4">
        <v>18.78</v>
      </c>
      <c r="O20" s="4">
        <v>18.78</v>
      </c>
      <c r="P20" s="4">
        <v>18</v>
      </c>
      <c r="Q20" s="3" t="s">
        <v>26</v>
      </c>
      <c r="R20" s="3">
        <v>0</v>
      </c>
      <c r="S20" s="3">
        <v>0</v>
      </c>
      <c r="T20" s="3">
        <v>29</v>
      </c>
      <c r="U20" s="3">
        <v>50</v>
      </c>
      <c r="V20" s="4">
        <f>IF(ISERROR(VLOOKUP($S$20,'TAR FIN'!$A$1:$O$85,15,0)),0,VLOOKUP($S$20,'TAR FIN'!$A$1:$O$85,15,0))</f>
        <v>0</v>
      </c>
      <c r="W20" s="4">
        <f>IF(ISERROR(VLOOKUP($T$20,'TAR FIN'!$A$1:$O$85,15,0)),0,VLOOKUP($T$20,'TAR FIN'!$A$1:$O$85,15,0))</f>
        <v>244.97</v>
      </c>
      <c r="X20" s="4">
        <f>IF(ISERROR(VLOOKUP($U$20,'TAR FIN'!$A$1:$O$85,15,0)),0,VLOOKUP($U$20,'TAR FIN'!$A$1:$O$85,15,0))</f>
        <v>80.97</v>
      </c>
      <c r="Y20" s="4"/>
      <c r="Z20" s="4">
        <f ca="1">('TUSD BE'!$AM$21+'TUSD BF'!$AM$21+'TUSD CVA'!$AM$21-('TUSD BE'!$P$21+'TUSD BF'!$P$21+'TUSD CVA'!$P$21)-('TUSD BE'!$Q$21+'TUSD BF'!$Q$21+'TUSD CVA'!$Q$21)-('TUSD BE'!$R$21+'TUSD BF'!$R$21+'TUSD CVA'!$R$21))*(1-CUSTOS!$M$34)</f>
        <v>293.22899061728316</v>
      </c>
      <c r="AA20" s="4">
        <f>('TE BE'!$AA$12+'TE BF'!$AA$12+'TE CVA'!$AA$12)*(1-CUSTOS!$M$34)</f>
        <v>91.281099691327995</v>
      </c>
      <c r="AB20" s="4">
        <f t="shared" si="0"/>
        <v>0</v>
      </c>
      <c r="AC20" s="4">
        <f>(L20-M20)*(W20+X20)+($W$63+$X$63-$W$20-$X$20)*(L20)</f>
        <v>11367.534</v>
      </c>
      <c r="AD20" s="4">
        <f t="shared" si="1"/>
        <v>0</v>
      </c>
      <c r="AE20" s="4">
        <f ca="1">(L20-M20)*(Z20+AA20)+($Z$63+$AA$63-$Z$20-$AA$20)*(L20)</f>
        <v>13410.613349706333</v>
      </c>
      <c r="AF20" s="3" t="s">
        <v>641</v>
      </c>
    </row>
    <row r="21" spans="1:32" ht="11.25" customHeight="1" x14ac:dyDescent="0.25">
      <c r="A21" s="3" t="s">
        <v>28</v>
      </c>
      <c r="B21" s="3" t="s">
        <v>22</v>
      </c>
      <c r="C21" s="3" t="s">
        <v>23</v>
      </c>
      <c r="D21" s="3" t="s">
        <v>24</v>
      </c>
      <c r="E21" s="3" t="s">
        <v>29</v>
      </c>
      <c r="F21" s="3" t="s">
        <v>25</v>
      </c>
      <c r="G21" s="3" t="s">
        <v>25</v>
      </c>
      <c r="H21" s="3" t="s">
        <v>25</v>
      </c>
      <c r="I21" s="6">
        <v>44531</v>
      </c>
      <c r="J21" s="4">
        <v>0</v>
      </c>
      <c r="K21" s="4">
        <v>0</v>
      </c>
      <c r="L21" s="4">
        <v>0.06</v>
      </c>
      <c r="M21" s="4">
        <v>2.1000000000000001E-2</v>
      </c>
      <c r="N21" s="4">
        <v>0.06</v>
      </c>
      <c r="O21" s="4">
        <v>2.1000000000000001E-2</v>
      </c>
      <c r="P21" s="4">
        <v>1</v>
      </c>
      <c r="Q21" s="3" t="s">
        <v>26</v>
      </c>
      <c r="R21" s="3">
        <v>0</v>
      </c>
      <c r="S21" s="3">
        <v>0</v>
      </c>
      <c r="T21" s="3">
        <v>29</v>
      </c>
      <c r="U21" s="3">
        <v>50</v>
      </c>
      <c r="V21" s="4">
        <f>IF(ISERROR(VLOOKUP($S$21,'TAR FIN'!$A$1:$O$85,15,0)),0,VLOOKUP($S$21,'TAR FIN'!$A$1:$O$85,15,0))</f>
        <v>0</v>
      </c>
      <c r="W21" s="4">
        <f>IF(ISERROR(VLOOKUP($T$21,'TAR FIN'!$A$1:$O$85,15,0)),0,VLOOKUP($T$21,'TAR FIN'!$A$1:$O$85,15,0))</f>
        <v>244.97</v>
      </c>
      <c r="X21" s="4">
        <f>IF(ISERROR(VLOOKUP($U$21,'TAR FIN'!$A$1:$O$85,15,0)),0,VLOOKUP($U$21,'TAR FIN'!$A$1:$O$85,15,0))</f>
        <v>80.97</v>
      </c>
      <c r="Y21" s="4"/>
      <c r="Z21" s="4">
        <f ca="1">('TUSD BE'!$AM$21+'TUSD BF'!$AM$21+'TUSD CVA'!$AM$21-('TUSD BE'!$P$21+'TUSD BF'!$P$21+'TUSD CVA'!$P$21)-('TUSD BE'!$Q$21+'TUSD BF'!$Q$21+'TUSD CVA'!$Q$21)-('TUSD BE'!$R$21+'TUSD BF'!$R$21+'TUSD CVA'!$R$21))*(1-CUSTOS!$M$34)</f>
        <v>293.22899061728316</v>
      </c>
      <c r="AA21" s="4">
        <f>('TE BE'!$AA$12+'TE BF'!$AA$12+'TE CVA'!$AA$12)*(1-CUSTOS!$M$34)</f>
        <v>91.281099691327995</v>
      </c>
      <c r="AB21" s="4">
        <f t="shared" si="0"/>
        <v>0</v>
      </c>
      <c r="AC21" s="4">
        <f>(L21-M21)*(W21+X21)+($W$63+$X$63-$W$21-$X$21)*(L21)</f>
        <v>49.029659999999993</v>
      </c>
      <c r="AD21" s="4">
        <f t="shared" si="1"/>
        <v>0</v>
      </c>
      <c r="AE21" s="4">
        <f ca="1">(L21-M21)*(Z21+AA21)+($Z$63+$AA$63-$Z$21-$AA$21)*(L21)</f>
        <v>57.841303584995359</v>
      </c>
      <c r="AF21" s="3" t="s">
        <v>641</v>
      </c>
    </row>
    <row r="22" spans="1:32" ht="11.25" customHeight="1" x14ac:dyDescent="0.25">
      <c r="A22" s="3" t="s">
        <v>21</v>
      </c>
      <c r="B22" s="3" t="s">
        <v>22</v>
      </c>
      <c r="C22" s="3" t="s">
        <v>23</v>
      </c>
      <c r="D22" s="3" t="s">
        <v>24</v>
      </c>
      <c r="E22" s="3" t="s">
        <v>29</v>
      </c>
      <c r="F22" s="3" t="s">
        <v>25</v>
      </c>
      <c r="G22" s="3" t="s">
        <v>25</v>
      </c>
      <c r="H22" s="3" t="s">
        <v>25</v>
      </c>
      <c r="I22" s="6">
        <v>44562</v>
      </c>
      <c r="J22" s="4">
        <v>0</v>
      </c>
      <c r="K22" s="4">
        <v>0</v>
      </c>
      <c r="L22" s="4">
        <v>19.559999999999999</v>
      </c>
      <c r="M22" s="4">
        <v>19.559999999999999</v>
      </c>
      <c r="N22" s="4">
        <v>19.559999999999999</v>
      </c>
      <c r="O22" s="4">
        <v>19.559999999999999</v>
      </c>
      <c r="P22" s="4">
        <v>16</v>
      </c>
      <c r="Q22" s="3" t="s">
        <v>26</v>
      </c>
      <c r="R22" s="3">
        <v>0</v>
      </c>
      <c r="S22" s="3">
        <v>0</v>
      </c>
      <c r="T22" s="3">
        <v>29</v>
      </c>
      <c r="U22" s="3">
        <v>50</v>
      </c>
      <c r="V22" s="4">
        <f>IF(ISERROR(VLOOKUP($S$22,'TAR FIN'!$A$1:$O$85,15,0)),0,VLOOKUP($S$22,'TAR FIN'!$A$1:$O$85,15,0))</f>
        <v>0</v>
      </c>
      <c r="W22" s="4">
        <f>IF(ISERROR(VLOOKUP($T$22,'TAR FIN'!$A$1:$O$85,15,0)),0,VLOOKUP($T$22,'TAR FIN'!$A$1:$O$85,15,0))</f>
        <v>244.97</v>
      </c>
      <c r="X22" s="4">
        <f>IF(ISERROR(VLOOKUP($U$22,'TAR FIN'!$A$1:$O$85,15,0)),0,VLOOKUP($U$22,'TAR FIN'!$A$1:$O$85,15,0))</f>
        <v>80.97</v>
      </c>
      <c r="Y22" s="4"/>
      <c r="Z22" s="4">
        <f ca="1">('TUSD BE'!$AM$21+'TUSD BF'!$AM$21+'TUSD CVA'!$AM$21-('TUSD BE'!$P$21+'TUSD BF'!$P$21+'TUSD CVA'!$P$21)-('TUSD BE'!$Q$21+'TUSD BF'!$Q$21+'TUSD CVA'!$Q$21)-('TUSD BE'!$R$21+'TUSD BF'!$R$21+'TUSD CVA'!$R$21))*(1-CUSTOS!$M$34)</f>
        <v>293.22899061728316</v>
      </c>
      <c r="AA22" s="4">
        <f>('TE BE'!$AA$12+'TE BF'!$AA$12+'TE CVA'!$AA$12)*(1-CUSTOS!$M$34)</f>
        <v>91.281099691327995</v>
      </c>
      <c r="AB22" s="4">
        <f t="shared" si="0"/>
        <v>0</v>
      </c>
      <c r="AC22" s="4">
        <f>(L22-M22)*(W22+X22)+($W$63+$X$63-$W$22-$X$22)*(L22)</f>
        <v>11839.667999999998</v>
      </c>
      <c r="AD22" s="4">
        <f t="shared" si="1"/>
        <v>0</v>
      </c>
      <c r="AE22" s="4">
        <f ca="1">(L22-M22)*(Z22+AA22)+($Z$63+$AA$63-$Z$22-$AA$22)*(L22)</f>
        <v>13967.603680524806</v>
      </c>
      <c r="AF22" s="3" t="s">
        <v>641</v>
      </c>
    </row>
    <row r="23" spans="1:32" ht="11.25" customHeight="1" x14ac:dyDescent="0.25">
      <c r="A23" s="3" t="s">
        <v>28</v>
      </c>
      <c r="B23" s="3" t="s">
        <v>22</v>
      </c>
      <c r="C23" s="3" t="s">
        <v>23</v>
      </c>
      <c r="D23" s="3" t="s">
        <v>24</v>
      </c>
      <c r="E23" s="3" t="s">
        <v>29</v>
      </c>
      <c r="F23" s="3" t="s">
        <v>25</v>
      </c>
      <c r="G23" s="3" t="s">
        <v>25</v>
      </c>
      <c r="H23" s="3" t="s">
        <v>25</v>
      </c>
      <c r="I23" s="6">
        <v>44562</v>
      </c>
      <c r="J23" s="4">
        <v>0</v>
      </c>
      <c r="K23" s="4">
        <v>0</v>
      </c>
      <c r="L23" s="4">
        <v>0.06</v>
      </c>
      <c r="M23" s="4">
        <v>2.1000000000000001E-2</v>
      </c>
      <c r="N23" s="4">
        <v>0.06</v>
      </c>
      <c r="O23" s="4">
        <v>2.1000000000000001E-2</v>
      </c>
      <c r="P23" s="4">
        <v>1</v>
      </c>
      <c r="Q23" s="3" t="s">
        <v>26</v>
      </c>
      <c r="R23" s="3">
        <v>0</v>
      </c>
      <c r="S23" s="3">
        <v>0</v>
      </c>
      <c r="T23" s="3">
        <v>29</v>
      </c>
      <c r="U23" s="3">
        <v>50</v>
      </c>
      <c r="V23" s="4">
        <f>IF(ISERROR(VLOOKUP($S$23,'TAR FIN'!$A$1:$O$85,15,0)),0,VLOOKUP($S$23,'TAR FIN'!$A$1:$O$85,15,0))</f>
        <v>0</v>
      </c>
      <c r="W23" s="4">
        <f>IF(ISERROR(VLOOKUP($T$23,'TAR FIN'!$A$1:$O$85,15,0)),0,VLOOKUP($T$23,'TAR FIN'!$A$1:$O$85,15,0))</f>
        <v>244.97</v>
      </c>
      <c r="X23" s="4">
        <f>IF(ISERROR(VLOOKUP($U$23,'TAR FIN'!$A$1:$O$85,15,0)),0,VLOOKUP($U$23,'TAR FIN'!$A$1:$O$85,15,0))</f>
        <v>80.97</v>
      </c>
      <c r="Y23" s="4"/>
      <c r="Z23" s="4">
        <f ca="1">('TUSD BE'!$AM$21+'TUSD BF'!$AM$21+'TUSD CVA'!$AM$21-('TUSD BE'!$P$21+'TUSD BF'!$P$21+'TUSD CVA'!$P$21)-('TUSD BE'!$Q$21+'TUSD BF'!$Q$21+'TUSD CVA'!$Q$21)-('TUSD BE'!$R$21+'TUSD BF'!$R$21+'TUSD CVA'!$R$21))*(1-CUSTOS!$M$34)</f>
        <v>293.22899061728316</v>
      </c>
      <c r="AA23" s="4">
        <f>('TE BE'!$AA$12+'TE BF'!$AA$12+'TE CVA'!$AA$12)*(1-CUSTOS!$M$34)</f>
        <v>91.281099691327995</v>
      </c>
      <c r="AB23" s="4">
        <f t="shared" si="0"/>
        <v>0</v>
      </c>
      <c r="AC23" s="4">
        <f>(L23-M23)*(W23+X23)+($W$63+$X$63-$W$23-$X$23)*(L23)</f>
        <v>49.029659999999993</v>
      </c>
      <c r="AD23" s="4">
        <f t="shared" si="1"/>
        <v>0</v>
      </c>
      <c r="AE23" s="4">
        <f ca="1">(L23-M23)*(Z23+AA23)+($Z$63+$AA$63-$Z$23-$AA$23)*(L23)</f>
        <v>57.841303584995359</v>
      </c>
      <c r="AF23" s="3" t="s">
        <v>641</v>
      </c>
    </row>
    <row r="24" spans="1:32" ht="11.25" customHeight="1" x14ac:dyDescent="0.25">
      <c r="A24" s="3" t="s">
        <v>21</v>
      </c>
      <c r="B24" s="3" t="s">
        <v>22</v>
      </c>
      <c r="C24" s="3" t="s">
        <v>23</v>
      </c>
      <c r="D24" s="3" t="s">
        <v>24</v>
      </c>
      <c r="E24" s="3" t="s">
        <v>29</v>
      </c>
      <c r="F24" s="3" t="s">
        <v>25</v>
      </c>
      <c r="G24" s="3" t="s">
        <v>25</v>
      </c>
      <c r="H24" s="3" t="s">
        <v>25</v>
      </c>
      <c r="I24" s="6">
        <v>44593</v>
      </c>
      <c r="J24" s="4">
        <v>0</v>
      </c>
      <c r="K24" s="4">
        <v>0</v>
      </c>
      <c r="L24" s="4">
        <v>20.58</v>
      </c>
      <c r="M24" s="4">
        <v>20.58</v>
      </c>
      <c r="N24" s="4">
        <v>20.58</v>
      </c>
      <c r="O24" s="4">
        <v>20.58</v>
      </c>
      <c r="P24" s="4">
        <v>18</v>
      </c>
      <c r="Q24" s="3" t="s">
        <v>26</v>
      </c>
      <c r="R24" s="3">
        <v>0</v>
      </c>
      <c r="S24" s="3">
        <v>0</v>
      </c>
      <c r="T24" s="3">
        <v>29</v>
      </c>
      <c r="U24" s="3">
        <v>50</v>
      </c>
      <c r="V24" s="4">
        <f>IF(ISERROR(VLOOKUP($S$24,'TAR FIN'!$A$1:$O$85,15,0)),0,VLOOKUP($S$24,'TAR FIN'!$A$1:$O$85,15,0))</f>
        <v>0</v>
      </c>
      <c r="W24" s="4">
        <f>IF(ISERROR(VLOOKUP($T$24,'TAR FIN'!$A$1:$O$85,15,0)),0,VLOOKUP($T$24,'TAR FIN'!$A$1:$O$85,15,0))</f>
        <v>244.97</v>
      </c>
      <c r="X24" s="4">
        <f>IF(ISERROR(VLOOKUP($U$24,'TAR FIN'!$A$1:$O$85,15,0)),0,VLOOKUP($U$24,'TAR FIN'!$A$1:$O$85,15,0))</f>
        <v>80.97</v>
      </c>
      <c r="Y24" s="4"/>
      <c r="Z24" s="4">
        <f ca="1">('TUSD BE'!$AM$21+'TUSD BF'!$AM$21+'TUSD CVA'!$AM$21-('TUSD BE'!$P$21+'TUSD BF'!$P$21+'TUSD CVA'!$P$21)-('TUSD BE'!$Q$21+'TUSD BF'!$Q$21+'TUSD CVA'!$Q$21)-('TUSD BE'!$R$21+'TUSD BF'!$R$21+'TUSD CVA'!$R$21))*(1-CUSTOS!$M$34)</f>
        <v>293.22899061728316</v>
      </c>
      <c r="AA24" s="4">
        <f>('TE BE'!$AA$12+'TE BF'!$AA$12+'TE CVA'!$AA$12)*(1-CUSTOS!$M$34)</f>
        <v>91.281099691327995</v>
      </c>
      <c r="AB24" s="4">
        <f t="shared" si="0"/>
        <v>0</v>
      </c>
      <c r="AC24" s="4">
        <f>(L24-M24)*(W24+X24)+($W$63+$X$63-$W$24-$X$24)*(L24)</f>
        <v>12457.073999999999</v>
      </c>
      <c r="AD24" s="4">
        <f t="shared" si="1"/>
        <v>0</v>
      </c>
      <c r="AE24" s="4">
        <f ca="1">(L24-M24)*(Z24+AA24)+($Z$63+$AA$63-$Z$24-$AA$24)*(L24)</f>
        <v>14695.975651595118</v>
      </c>
      <c r="AF24" s="3" t="s">
        <v>641</v>
      </c>
    </row>
    <row r="25" spans="1:32" ht="11.25" customHeight="1" x14ac:dyDescent="0.25">
      <c r="A25" s="3" t="s">
        <v>28</v>
      </c>
      <c r="B25" s="3" t="s">
        <v>22</v>
      </c>
      <c r="C25" s="3" t="s">
        <v>23</v>
      </c>
      <c r="D25" s="3" t="s">
        <v>24</v>
      </c>
      <c r="E25" s="3" t="s">
        <v>29</v>
      </c>
      <c r="F25" s="3" t="s">
        <v>25</v>
      </c>
      <c r="G25" s="3" t="s">
        <v>25</v>
      </c>
      <c r="H25" s="3" t="s">
        <v>25</v>
      </c>
      <c r="I25" s="6">
        <v>44593</v>
      </c>
      <c r="J25" s="4">
        <v>0</v>
      </c>
      <c r="K25" s="4">
        <v>0</v>
      </c>
      <c r="L25" s="4">
        <v>0.03</v>
      </c>
      <c r="M25" s="4">
        <v>-8.9999999999999993E-3</v>
      </c>
      <c r="N25" s="4">
        <v>0.03</v>
      </c>
      <c r="O25" s="4">
        <v>-8.9999999999999993E-3</v>
      </c>
      <c r="P25" s="4">
        <v>0</v>
      </c>
      <c r="Q25" s="3" t="s">
        <v>26</v>
      </c>
      <c r="R25" s="3">
        <v>0</v>
      </c>
      <c r="S25" s="3">
        <v>0</v>
      </c>
      <c r="T25" s="3">
        <v>29</v>
      </c>
      <c r="U25" s="3">
        <v>50</v>
      </c>
      <c r="V25" s="4">
        <f>IF(ISERROR(VLOOKUP($S$25,'TAR FIN'!$A$1:$O$85,15,0)),0,VLOOKUP($S$25,'TAR FIN'!$A$1:$O$85,15,0))</f>
        <v>0</v>
      </c>
      <c r="W25" s="4">
        <f>IF(ISERROR(VLOOKUP($T$25,'TAR FIN'!$A$1:$O$85,15,0)),0,VLOOKUP($T$25,'TAR FIN'!$A$1:$O$85,15,0))</f>
        <v>244.97</v>
      </c>
      <c r="X25" s="4">
        <f>IF(ISERROR(VLOOKUP($U$25,'TAR FIN'!$A$1:$O$85,15,0)),0,VLOOKUP($U$25,'TAR FIN'!$A$1:$O$85,15,0))</f>
        <v>80.97</v>
      </c>
      <c r="Y25" s="4"/>
      <c r="Z25" s="4">
        <f ca="1">('TUSD BE'!$AM$21+'TUSD BF'!$AM$21+'TUSD CVA'!$AM$21-('TUSD BE'!$P$21+'TUSD BF'!$P$21+'TUSD CVA'!$P$21)-('TUSD BE'!$Q$21+'TUSD BF'!$Q$21+'TUSD CVA'!$Q$21)-('TUSD BE'!$R$21+'TUSD BF'!$R$21+'TUSD CVA'!$R$21))*(1-CUSTOS!$M$34)</f>
        <v>293.22899061728316</v>
      </c>
      <c r="AA25" s="4">
        <f>('TE BE'!$AA$12+'TE BF'!$AA$12+'TE CVA'!$AA$12)*(1-CUSTOS!$M$34)</f>
        <v>91.281099691327995</v>
      </c>
      <c r="AB25" s="4">
        <f t="shared" si="0"/>
        <v>0</v>
      </c>
      <c r="AC25" s="4">
        <f>(L25-M25)*(W25+X25)+($W$63+$X$63-$W$25-$X$25)*(L25)</f>
        <v>30.870660000000001</v>
      </c>
      <c r="AD25" s="4">
        <f t="shared" si="1"/>
        <v>0</v>
      </c>
      <c r="AE25" s="4">
        <f ca="1">(L25-M25)*(Z25+AA25)+($Z$63+$AA$63-$Z$25-$AA$25)*(L25)</f>
        <v>36.418598553515601</v>
      </c>
      <c r="AF25" s="3" t="s">
        <v>641</v>
      </c>
    </row>
    <row r="26" spans="1:32" ht="11.25" customHeight="1" x14ac:dyDescent="0.25">
      <c r="A26" s="3" t="s">
        <v>21</v>
      </c>
      <c r="B26" s="3" t="s">
        <v>22</v>
      </c>
      <c r="C26" s="3" t="s">
        <v>23</v>
      </c>
      <c r="D26" s="3" t="s">
        <v>24</v>
      </c>
      <c r="E26" s="3" t="s">
        <v>29</v>
      </c>
      <c r="F26" s="3" t="s">
        <v>25</v>
      </c>
      <c r="G26" s="3" t="s">
        <v>25</v>
      </c>
      <c r="H26" s="3" t="s">
        <v>25</v>
      </c>
      <c r="I26" s="6">
        <v>44621</v>
      </c>
      <c r="J26" s="4">
        <v>0</v>
      </c>
      <c r="K26" s="4">
        <v>0</v>
      </c>
      <c r="L26" s="4">
        <v>44.7</v>
      </c>
      <c r="M26" s="4">
        <v>44.7</v>
      </c>
      <c r="N26" s="4">
        <v>44.7</v>
      </c>
      <c r="O26" s="4">
        <v>44.7</v>
      </c>
      <c r="P26" s="4">
        <v>79</v>
      </c>
      <c r="Q26" s="3" t="s">
        <v>26</v>
      </c>
      <c r="R26" s="3">
        <v>0</v>
      </c>
      <c r="S26" s="3">
        <v>0</v>
      </c>
      <c r="T26" s="3">
        <v>29</v>
      </c>
      <c r="U26" s="3">
        <v>50</v>
      </c>
      <c r="V26" s="4">
        <f>IF(ISERROR(VLOOKUP($S$26,'TAR FIN'!$A$1:$O$85,15,0)),0,VLOOKUP($S$26,'TAR FIN'!$A$1:$O$85,15,0))</f>
        <v>0</v>
      </c>
      <c r="W26" s="4">
        <f>IF(ISERROR(VLOOKUP($T$26,'TAR FIN'!$A$1:$O$85,15,0)),0,VLOOKUP($T$26,'TAR FIN'!$A$1:$O$85,15,0))</f>
        <v>244.97</v>
      </c>
      <c r="X26" s="4">
        <f>IF(ISERROR(VLOOKUP($U$26,'TAR FIN'!$A$1:$O$85,15,0)),0,VLOOKUP($U$26,'TAR FIN'!$A$1:$O$85,15,0))</f>
        <v>80.97</v>
      </c>
      <c r="Y26" s="4"/>
      <c r="Z26" s="4">
        <f ca="1">('TUSD BE'!$AM$21+'TUSD BF'!$AM$21+'TUSD CVA'!$AM$21-('TUSD BE'!$P$21+'TUSD BF'!$P$21+'TUSD CVA'!$P$21)-('TUSD BE'!$Q$21+'TUSD BF'!$Q$21+'TUSD CVA'!$Q$21)-('TUSD BE'!$R$21+'TUSD BF'!$R$21+'TUSD CVA'!$R$21))*(1-CUSTOS!$M$34)</f>
        <v>293.22899061728316</v>
      </c>
      <c r="AA26" s="4">
        <f>('TE BE'!$AA$12+'TE BF'!$AA$12+'TE CVA'!$AA$12)*(1-CUSTOS!$M$34)</f>
        <v>91.281099691327995</v>
      </c>
      <c r="AB26" s="4">
        <f t="shared" si="0"/>
        <v>0</v>
      </c>
      <c r="AC26" s="4">
        <f>(L26-M26)*(W26+X26)+($W$63+$X$63-$W$26-$X$26)*(L26)</f>
        <v>27056.91</v>
      </c>
      <c r="AD26" s="4">
        <f t="shared" si="1"/>
        <v>0</v>
      </c>
      <c r="AE26" s="4">
        <f ca="1">(L26-M26)*(Z26+AA26)+($Z$63+$AA$63-$Z$26-$AA$26)*(L26)</f>
        <v>31919.830496904851</v>
      </c>
      <c r="AF26" s="3" t="s">
        <v>641</v>
      </c>
    </row>
    <row r="27" spans="1:32" ht="11.25" customHeight="1" x14ac:dyDescent="0.25">
      <c r="A27" s="3" t="s">
        <v>28</v>
      </c>
      <c r="B27" s="3" t="s">
        <v>22</v>
      </c>
      <c r="C27" s="3" t="s">
        <v>23</v>
      </c>
      <c r="D27" s="3" t="s">
        <v>24</v>
      </c>
      <c r="E27" s="3" t="s">
        <v>29</v>
      </c>
      <c r="F27" s="3" t="s">
        <v>25</v>
      </c>
      <c r="G27" s="3" t="s">
        <v>25</v>
      </c>
      <c r="H27" s="3" t="s">
        <v>25</v>
      </c>
      <c r="I27" s="6">
        <v>44621</v>
      </c>
      <c r="J27" s="4">
        <v>0</v>
      </c>
      <c r="K27" s="4">
        <v>0</v>
      </c>
      <c r="L27" s="4">
        <v>3.0000000000000001E-3</v>
      </c>
      <c r="M27" s="4">
        <v>-8.6999999999999994E-3</v>
      </c>
      <c r="N27" s="4">
        <v>3.0000000000000001E-3</v>
      </c>
      <c r="O27" s="4">
        <v>-8.6999999999999994E-3</v>
      </c>
      <c r="P27" s="4">
        <v>0</v>
      </c>
      <c r="Q27" s="3" t="s">
        <v>26</v>
      </c>
      <c r="R27" s="3">
        <v>0</v>
      </c>
      <c r="S27" s="3">
        <v>0</v>
      </c>
      <c r="T27" s="3">
        <v>29</v>
      </c>
      <c r="U27" s="3">
        <v>50</v>
      </c>
      <c r="V27" s="4">
        <f>IF(ISERROR(VLOOKUP($S$27,'TAR FIN'!$A$1:$O$85,15,0)),0,VLOOKUP($S$27,'TAR FIN'!$A$1:$O$85,15,0))</f>
        <v>0</v>
      </c>
      <c r="W27" s="4">
        <f>IF(ISERROR(VLOOKUP($T$27,'TAR FIN'!$A$1:$O$85,15,0)),0,VLOOKUP($T$27,'TAR FIN'!$A$1:$O$85,15,0))</f>
        <v>244.97</v>
      </c>
      <c r="X27" s="4">
        <f>IF(ISERROR(VLOOKUP($U$27,'TAR FIN'!$A$1:$O$85,15,0)),0,VLOOKUP($U$27,'TAR FIN'!$A$1:$O$85,15,0))</f>
        <v>80.97</v>
      </c>
      <c r="Y27" s="4"/>
      <c r="Z27" s="4">
        <f ca="1">('TUSD BE'!$AM$21+'TUSD BF'!$AM$21+'TUSD CVA'!$AM$21-('TUSD BE'!$P$21+'TUSD BF'!$P$21+'TUSD CVA'!$P$21)-('TUSD BE'!$Q$21+'TUSD BF'!$Q$21+'TUSD CVA'!$Q$21)-('TUSD BE'!$R$21+'TUSD BF'!$R$21+'TUSD CVA'!$R$21))*(1-CUSTOS!$M$34)</f>
        <v>293.22899061728316</v>
      </c>
      <c r="AA27" s="4">
        <f>('TE BE'!$AA$12+'TE BF'!$AA$12+'TE CVA'!$AA$12)*(1-CUSTOS!$M$34)</f>
        <v>91.281099691327995</v>
      </c>
      <c r="AB27" s="4">
        <f t="shared" si="0"/>
        <v>0</v>
      </c>
      <c r="AC27" s="4">
        <f>(L27-M27)*(W27+X27)+($W$63+$X$63-$W$27-$X$27)*(L27)</f>
        <v>5.6293979999999992</v>
      </c>
      <c r="AD27" s="4">
        <f t="shared" si="1"/>
        <v>0</v>
      </c>
      <c r="AE27" s="4">
        <f ca="1">(L27-M27)*(Z27+AA27)+($Z$63+$AA$63-$Z$27-$AA$27)*(L27)</f>
        <v>6.6410385597587265</v>
      </c>
      <c r="AF27" s="3" t="s">
        <v>641</v>
      </c>
    </row>
    <row r="28" spans="1:32" ht="11.25" customHeight="1" x14ac:dyDescent="0.25">
      <c r="A28" s="3" t="s">
        <v>21</v>
      </c>
      <c r="B28" s="3" t="s">
        <v>22</v>
      </c>
      <c r="C28" s="3" t="s">
        <v>23</v>
      </c>
      <c r="D28" s="3" t="s">
        <v>24</v>
      </c>
      <c r="E28" s="3" t="s">
        <v>30</v>
      </c>
      <c r="F28" s="3" t="s">
        <v>25</v>
      </c>
      <c r="G28" s="3" t="s">
        <v>25</v>
      </c>
      <c r="H28" s="3" t="s">
        <v>25</v>
      </c>
      <c r="I28" s="6">
        <v>44287</v>
      </c>
      <c r="J28" s="4">
        <v>0</v>
      </c>
      <c r="K28" s="4">
        <v>0</v>
      </c>
      <c r="L28" s="4">
        <v>26.719000000000001</v>
      </c>
      <c r="M28" s="4">
        <v>26.719000000000001</v>
      </c>
      <c r="N28" s="4">
        <v>26.719000000000001</v>
      </c>
      <c r="O28" s="4">
        <v>26.719000000000001</v>
      </c>
      <c r="P28" s="4">
        <v>71</v>
      </c>
      <c r="Q28" s="3" t="s">
        <v>26</v>
      </c>
      <c r="R28" s="3">
        <v>0</v>
      </c>
      <c r="S28" s="3">
        <v>0</v>
      </c>
      <c r="T28" s="3">
        <v>30</v>
      </c>
      <c r="U28" s="3">
        <v>51</v>
      </c>
      <c r="V28" s="4">
        <f>IF(ISERROR(VLOOKUP($S$28,'TAR FIN'!$A$1:$O$85,15,0)),0,VLOOKUP($S$28,'TAR FIN'!$A$1:$O$85,15,0))</f>
        <v>0</v>
      </c>
      <c r="W28" s="4">
        <f>IF(ISERROR(VLOOKUP($T$28,'TAR FIN'!$A$1:$O$85,15,0)),0,VLOOKUP($T$28,'TAR FIN'!$A$1:$O$85,15,0))</f>
        <v>419.95</v>
      </c>
      <c r="X28" s="4">
        <f>IF(ISERROR(VLOOKUP($U$28,'TAR FIN'!$A$1:$O$85,15,0)),0,VLOOKUP($U$28,'TAR FIN'!$A$1:$O$85,15,0))</f>
        <v>138.80000000000001</v>
      </c>
      <c r="Y28" s="4"/>
      <c r="Z28" s="4">
        <f ca="1">('TUSD BE'!$AM$22+'TUSD BF'!$AM$22+'TUSD CVA'!$AM$22-('TUSD BE'!$P$22+'TUSD BF'!$P$22+'TUSD CVA'!$P$22)-('TUSD BE'!$Q$22+'TUSD BF'!$Q$22+'TUSD CVA'!$Q$22)-('TUSD BE'!$R$22+'TUSD BF'!$R$22+'TUSD CVA'!$R$22))*(1-CUSTOS!$M$35)</f>
        <v>502.67826962962829</v>
      </c>
      <c r="AA28" s="4">
        <f>('TE BE'!$AA$13+'TE BF'!$AA$13+'TE CVA'!$AA$13)*(1-CUSTOS!$M$35)</f>
        <v>156.48188518513371</v>
      </c>
      <c r="AB28" s="4">
        <f t="shared" si="0"/>
        <v>0</v>
      </c>
      <c r="AC28" s="4">
        <f>(L28-M28)*(W28+X28)+($W$63+$X$63-$W$28-$X$28)*(L28)</f>
        <v>9952.5603100000008</v>
      </c>
      <c r="AD28" s="4">
        <f t="shared" si="1"/>
        <v>0</v>
      </c>
      <c r="AE28" s="4">
        <f ca="1">(L28-M28)*(Z28+AA28)+($Z$63+$AA$63-$Z$28-$AA$28)*(L28)</f>
        <v>11741.400117663752</v>
      </c>
      <c r="AF28" s="3" t="s">
        <v>641</v>
      </c>
    </row>
    <row r="29" spans="1:32" ht="11.25" customHeight="1" x14ac:dyDescent="0.25">
      <c r="A29" s="3" t="s">
        <v>21</v>
      </c>
      <c r="B29" s="3" t="s">
        <v>22</v>
      </c>
      <c r="C29" s="3" t="s">
        <v>23</v>
      </c>
      <c r="D29" s="3" t="s">
        <v>24</v>
      </c>
      <c r="E29" s="3" t="s">
        <v>30</v>
      </c>
      <c r="F29" s="3" t="s">
        <v>25</v>
      </c>
      <c r="G29" s="3" t="s">
        <v>25</v>
      </c>
      <c r="H29" s="3" t="s">
        <v>25</v>
      </c>
      <c r="I29" s="6">
        <v>44317</v>
      </c>
      <c r="J29" s="4">
        <v>0</v>
      </c>
      <c r="K29" s="4">
        <v>0</v>
      </c>
      <c r="L29" s="4">
        <v>23.943999999999999</v>
      </c>
      <c r="M29" s="4">
        <v>23.943999999999999</v>
      </c>
      <c r="N29" s="4">
        <v>23.943999999999999</v>
      </c>
      <c r="O29" s="4">
        <v>23.943999999999999</v>
      </c>
      <c r="P29" s="4">
        <v>91</v>
      </c>
      <c r="Q29" s="3" t="s">
        <v>26</v>
      </c>
      <c r="R29" s="3">
        <v>0</v>
      </c>
      <c r="S29" s="3">
        <v>0</v>
      </c>
      <c r="T29" s="3">
        <v>30</v>
      </c>
      <c r="U29" s="3">
        <v>51</v>
      </c>
      <c r="V29" s="4">
        <f>IF(ISERROR(VLOOKUP($S$29,'TAR FIN'!$A$1:$O$85,15,0)),0,VLOOKUP($S$29,'TAR FIN'!$A$1:$O$85,15,0))</f>
        <v>0</v>
      </c>
      <c r="W29" s="4">
        <f>IF(ISERROR(VLOOKUP($T$29,'TAR FIN'!$A$1:$O$85,15,0)),0,VLOOKUP($T$29,'TAR FIN'!$A$1:$O$85,15,0))</f>
        <v>419.95</v>
      </c>
      <c r="X29" s="4">
        <f>IF(ISERROR(VLOOKUP($U$29,'TAR FIN'!$A$1:$O$85,15,0)),0,VLOOKUP($U$29,'TAR FIN'!$A$1:$O$85,15,0))</f>
        <v>138.80000000000001</v>
      </c>
      <c r="Y29" s="4"/>
      <c r="Z29" s="4">
        <f ca="1">('TUSD BE'!$AM$22+'TUSD BF'!$AM$22+'TUSD CVA'!$AM$22-('TUSD BE'!$P$22+'TUSD BF'!$P$22+'TUSD CVA'!$P$22)-('TUSD BE'!$Q$22+'TUSD BF'!$Q$22+'TUSD CVA'!$Q$22)-('TUSD BE'!$R$22+'TUSD BF'!$R$22+'TUSD CVA'!$R$22))*(1-CUSTOS!$M$35)</f>
        <v>502.67826962962829</v>
      </c>
      <c r="AA29" s="4">
        <f>('TE BE'!$AA$13+'TE BF'!$AA$13+'TE CVA'!$AA$13)*(1-CUSTOS!$M$35)</f>
        <v>156.48188518513371</v>
      </c>
      <c r="AB29" s="4">
        <f t="shared" si="0"/>
        <v>0</v>
      </c>
      <c r="AC29" s="4">
        <f>(L29-M29)*(W29+X29)+($W$63+$X$63-$W$29-$X$29)*(L29)</f>
        <v>8918.90056</v>
      </c>
      <c r="AD29" s="4">
        <f t="shared" si="1"/>
        <v>0</v>
      </c>
      <c r="AE29" s="4">
        <f ca="1">(L29-M29)*(Z29+AA29)+($Z$63+$AA$63-$Z$29-$AA$29)*(L29)</f>
        <v>10521.953831256442</v>
      </c>
      <c r="AF29" s="3" t="s">
        <v>641</v>
      </c>
    </row>
    <row r="30" spans="1:32" ht="11.25" customHeight="1" x14ac:dyDescent="0.25">
      <c r="A30" s="3" t="s">
        <v>27</v>
      </c>
      <c r="B30" s="3" t="s">
        <v>22</v>
      </c>
      <c r="C30" s="3" t="s">
        <v>23</v>
      </c>
      <c r="D30" s="3" t="s">
        <v>24</v>
      </c>
      <c r="E30" s="3" t="s">
        <v>30</v>
      </c>
      <c r="F30" s="3" t="s">
        <v>25</v>
      </c>
      <c r="G30" s="3" t="s">
        <v>25</v>
      </c>
      <c r="H30" s="3" t="s">
        <v>25</v>
      </c>
      <c r="I30" s="6">
        <v>44317</v>
      </c>
      <c r="J30" s="4">
        <v>0</v>
      </c>
      <c r="K30" s="4">
        <v>0</v>
      </c>
      <c r="L30" s="4">
        <v>2.4630000000000001</v>
      </c>
      <c r="M30" s="4">
        <v>2.4630000000000001</v>
      </c>
      <c r="N30" s="4">
        <v>2.4630000000000001</v>
      </c>
      <c r="O30" s="4">
        <v>2.4630000000000001</v>
      </c>
      <c r="P30" s="4">
        <v>0</v>
      </c>
      <c r="Q30" s="3" t="s">
        <v>26</v>
      </c>
      <c r="R30" s="3">
        <v>0</v>
      </c>
      <c r="S30" s="3">
        <v>0</v>
      </c>
      <c r="T30" s="3">
        <v>30</v>
      </c>
      <c r="U30" s="3">
        <v>51</v>
      </c>
      <c r="V30" s="4">
        <f>IF(ISERROR(VLOOKUP($S$30,'TAR FIN'!$A$1:$O$85,15,0)),0,VLOOKUP($S$30,'TAR FIN'!$A$1:$O$85,15,0))</f>
        <v>0</v>
      </c>
      <c r="W30" s="4">
        <f>IF(ISERROR(VLOOKUP($T$30,'TAR FIN'!$A$1:$O$85,15,0)),0,VLOOKUP($T$30,'TAR FIN'!$A$1:$O$85,15,0))</f>
        <v>419.95</v>
      </c>
      <c r="X30" s="4">
        <f>IF(ISERROR(VLOOKUP($U$30,'TAR FIN'!$A$1:$O$85,15,0)),0,VLOOKUP($U$30,'TAR FIN'!$A$1:$O$85,15,0))</f>
        <v>138.80000000000001</v>
      </c>
      <c r="Y30" s="4"/>
      <c r="Z30" s="4">
        <f ca="1">('TUSD BE'!$AM$22+'TUSD BF'!$AM$22+'TUSD CVA'!$AM$22-('TUSD BE'!$P$22+'TUSD BF'!$P$22+'TUSD CVA'!$P$22)-('TUSD BE'!$Q$22+'TUSD BF'!$Q$22+'TUSD CVA'!$Q$22)-('TUSD BE'!$R$22+'TUSD BF'!$R$22+'TUSD CVA'!$R$22))*(1-CUSTOS!$M$35)</f>
        <v>502.67826962962829</v>
      </c>
      <c r="AA30" s="4">
        <f>('TE BE'!$AA$13+'TE BF'!$AA$13+'TE CVA'!$AA$13)*(1-CUSTOS!$M$35)</f>
        <v>156.48188518513371</v>
      </c>
      <c r="AB30" s="4">
        <f t="shared" si="0"/>
        <v>0</v>
      </c>
      <c r="AC30" s="4">
        <f>(L30-M30)*(W30+X30)+($W$63+$X$63-$W$30-$X$30)*(L30)</f>
        <v>917.44287000000008</v>
      </c>
      <c r="AD30" s="4">
        <f t="shared" si="1"/>
        <v>0</v>
      </c>
      <c r="AE30" s="4">
        <f ca="1">(L30-M30)*(Z30+AA30)+($Z$63+$AA$63-$Z$30-$AA$30)*(L30)</f>
        <v>1082.3409742058393</v>
      </c>
      <c r="AF30" s="3" t="s">
        <v>641</v>
      </c>
    </row>
    <row r="31" spans="1:32" ht="11.25" customHeight="1" x14ac:dyDescent="0.25">
      <c r="A31" s="3" t="s">
        <v>21</v>
      </c>
      <c r="B31" s="3" t="s">
        <v>22</v>
      </c>
      <c r="C31" s="3" t="s">
        <v>23</v>
      </c>
      <c r="D31" s="3" t="s">
        <v>24</v>
      </c>
      <c r="E31" s="3" t="s">
        <v>30</v>
      </c>
      <c r="F31" s="3" t="s">
        <v>25</v>
      </c>
      <c r="G31" s="3" t="s">
        <v>25</v>
      </c>
      <c r="H31" s="3" t="s">
        <v>25</v>
      </c>
      <c r="I31" s="6">
        <v>44348</v>
      </c>
      <c r="J31" s="4">
        <v>0</v>
      </c>
      <c r="K31" s="4">
        <v>0</v>
      </c>
      <c r="L31" s="4">
        <v>28.617999999999999</v>
      </c>
      <c r="M31" s="4">
        <v>28.617999999999999</v>
      </c>
      <c r="N31" s="4">
        <v>28.617999999999999</v>
      </c>
      <c r="O31" s="4">
        <v>28.617999999999999</v>
      </c>
      <c r="P31" s="4">
        <v>113</v>
      </c>
      <c r="Q31" s="3" t="s">
        <v>26</v>
      </c>
      <c r="R31" s="3">
        <v>0</v>
      </c>
      <c r="S31" s="3">
        <v>0</v>
      </c>
      <c r="T31" s="3">
        <v>30</v>
      </c>
      <c r="U31" s="3">
        <v>51</v>
      </c>
      <c r="V31" s="4">
        <f>IF(ISERROR(VLOOKUP($S$31,'TAR FIN'!$A$1:$O$85,15,0)),0,VLOOKUP($S$31,'TAR FIN'!$A$1:$O$85,15,0))</f>
        <v>0</v>
      </c>
      <c r="W31" s="4">
        <f>IF(ISERROR(VLOOKUP($T$31,'TAR FIN'!$A$1:$O$85,15,0)),0,VLOOKUP($T$31,'TAR FIN'!$A$1:$O$85,15,0))</f>
        <v>419.95</v>
      </c>
      <c r="X31" s="4">
        <f>IF(ISERROR(VLOOKUP($U$31,'TAR FIN'!$A$1:$O$85,15,0)),0,VLOOKUP($U$31,'TAR FIN'!$A$1:$O$85,15,0))</f>
        <v>138.80000000000001</v>
      </c>
      <c r="Y31" s="4"/>
      <c r="Z31" s="4">
        <f ca="1">('TUSD BE'!$AM$22+'TUSD BF'!$AM$22+'TUSD CVA'!$AM$22-('TUSD BE'!$P$22+'TUSD BF'!$P$22+'TUSD CVA'!$P$22)-('TUSD BE'!$Q$22+'TUSD BF'!$Q$22+'TUSD CVA'!$Q$22)-('TUSD BE'!$R$22+'TUSD BF'!$R$22+'TUSD CVA'!$R$22))*(1-CUSTOS!$M$35)</f>
        <v>502.67826962962829</v>
      </c>
      <c r="AA31" s="4">
        <f>('TE BE'!$AA$13+'TE BF'!$AA$13+'TE CVA'!$AA$13)*(1-CUSTOS!$M$35)</f>
        <v>156.48188518513371</v>
      </c>
      <c r="AB31" s="4">
        <f t="shared" si="0"/>
        <v>0</v>
      </c>
      <c r="AC31" s="4">
        <f>(L31-M31)*(W31+X31)+($W$63+$X$63-$W$31-$X$31)*(L31)</f>
        <v>10659.918819999999</v>
      </c>
      <c r="AD31" s="4">
        <f t="shared" si="1"/>
        <v>0</v>
      </c>
      <c r="AE31" s="4">
        <f ca="1">(L31-M31)*(Z31+AA31)+($Z$63+$AA$63-$Z$31-$AA$31)*(L31)</f>
        <v>12575.89687365924</v>
      </c>
      <c r="AF31" s="3" t="s">
        <v>641</v>
      </c>
    </row>
    <row r="32" spans="1:32" ht="11.25" customHeight="1" x14ac:dyDescent="0.25">
      <c r="A32" s="3" t="s">
        <v>27</v>
      </c>
      <c r="B32" s="3" t="s">
        <v>22</v>
      </c>
      <c r="C32" s="3" t="s">
        <v>23</v>
      </c>
      <c r="D32" s="3" t="s">
        <v>24</v>
      </c>
      <c r="E32" s="3" t="s">
        <v>30</v>
      </c>
      <c r="F32" s="3" t="s">
        <v>25</v>
      </c>
      <c r="G32" s="3" t="s">
        <v>25</v>
      </c>
      <c r="H32" s="3" t="s">
        <v>25</v>
      </c>
      <c r="I32" s="6">
        <v>44348</v>
      </c>
      <c r="J32" s="4">
        <v>0</v>
      </c>
      <c r="K32" s="4">
        <v>0</v>
      </c>
      <c r="L32" s="4">
        <v>0.66700000000000004</v>
      </c>
      <c r="M32" s="4">
        <v>0.66700000000000004</v>
      </c>
      <c r="N32" s="4">
        <v>0.66700000000000004</v>
      </c>
      <c r="O32" s="4">
        <v>0.66700000000000004</v>
      </c>
      <c r="P32" s="4">
        <v>0</v>
      </c>
      <c r="Q32" s="3" t="s">
        <v>26</v>
      </c>
      <c r="R32" s="3">
        <v>0</v>
      </c>
      <c r="S32" s="3">
        <v>0</v>
      </c>
      <c r="T32" s="3">
        <v>30</v>
      </c>
      <c r="U32" s="3">
        <v>51</v>
      </c>
      <c r="V32" s="4">
        <f>IF(ISERROR(VLOOKUP($S$32,'TAR FIN'!$A$1:$O$85,15,0)),0,VLOOKUP($S$32,'TAR FIN'!$A$1:$O$85,15,0))</f>
        <v>0</v>
      </c>
      <c r="W32" s="4">
        <f>IF(ISERROR(VLOOKUP($T$32,'TAR FIN'!$A$1:$O$85,15,0)),0,VLOOKUP($T$32,'TAR FIN'!$A$1:$O$85,15,0))</f>
        <v>419.95</v>
      </c>
      <c r="X32" s="4">
        <f>IF(ISERROR(VLOOKUP($U$32,'TAR FIN'!$A$1:$O$85,15,0)),0,VLOOKUP($U$32,'TAR FIN'!$A$1:$O$85,15,0))</f>
        <v>138.80000000000001</v>
      </c>
      <c r="Y32" s="4"/>
      <c r="Z32" s="4">
        <f ca="1">('TUSD BE'!$AM$22+'TUSD BF'!$AM$22+'TUSD CVA'!$AM$22-('TUSD BE'!$P$22+'TUSD BF'!$P$22+'TUSD CVA'!$P$22)-('TUSD BE'!$Q$22+'TUSD BF'!$Q$22+'TUSD CVA'!$Q$22)-('TUSD BE'!$R$22+'TUSD BF'!$R$22+'TUSD CVA'!$R$22))*(1-CUSTOS!$M$35)</f>
        <v>502.67826962962829</v>
      </c>
      <c r="AA32" s="4">
        <f>('TE BE'!$AA$13+'TE BF'!$AA$13+'TE CVA'!$AA$13)*(1-CUSTOS!$M$35)</f>
        <v>156.48188518513371</v>
      </c>
      <c r="AB32" s="4">
        <f t="shared" si="0"/>
        <v>0</v>
      </c>
      <c r="AC32" s="4">
        <f>(L32-M32)*(W32+X32)+($W$63+$X$63-$W$32-$X$32)*(L32)</f>
        <v>248.45083000000002</v>
      </c>
      <c r="AD32" s="4">
        <f t="shared" si="1"/>
        <v>0</v>
      </c>
      <c r="AE32" s="4">
        <f ca="1">(L32-M32)*(Z32+AA32)+($Z$63+$AA$63-$Z$32-$AA$32)*(L32)</f>
        <v>293.10654884096419</v>
      </c>
      <c r="AF32" s="3" t="s">
        <v>641</v>
      </c>
    </row>
    <row r="33" spans="1:32" ht="11.25" customHeight="1" x14ac:dyDescent="0.25">
      <c r="A33" s="3" t="s">
        <v>21</v>
      </c>
      <c r="B33" s="3" t="s">
        <v>22</v>
      </c>
      <c r="C33" s="3" t="s">
        <v>23</v>
      </c>
      <c r="D33" s="3" t="s">
        <v>24</v>
      </c>
      <c r="E33" s="3" t="s">
        <v>30</v>
      </c>
      <c r="F33" s="3" t="s">
        <v>25</v>
      </c>
      <c r="G33" s="3" t="s">
        <v>25</v>
      </c>
      <c r="H33" s="3" t="s">
        <v>25</v>
      </c>
      <c r="I33" s="6">
        <v>44378</v>
      </c>
      <c r="J33" s="4">
        <v>0</v>
      </c>
      <c r="K33" s="4">
        <v>0</v>
      </c>
      <c r="L33" s="4">
        <v>28.423999999999999</v>
      </c>
      <c r="M33" s="4">
        <v>28.423999999999999</v>
      </c>
      <c r="N33" s="4">
        <v>28.423999999999999</v>
      </c>
      <c r="O33" s="4">
        <v>28.423999999999999</v>
      </c>
      <c r="P33" s="4">
        <v>169</v>
      </c>
      <c r="Q33" s="3" t="s">
        <v>26</v>
      </c>
      <c r="R33" s="3">
        <v>0</v>
      </c>
      <c r="S33" s="3">
        <v>0</v>
      </c>
      <c r="T33" s="3">
        <v>30</v>
      </c>
      <c r="U33" s="3">
        <v>51</v>
      </c>
      <c r="V33" s="4">
        <f>IF(ISERROR(VLOOKUP($S$33,'TAR FIN'!$A$1:$O$85,15,0)),0,VLOOKUP($S$33,'TAR FIN'!$A$1:$O$85,15,0))</f>
        <v>0</v>
      </c>
      <c r="W33" s="4">
        <f>IF(ISERROR(VLOOKUP($T$33,'TAR FIN'!$A$1:$O$85,15,0)),0,VLOOKUP($T$33,'TAR FIN'!$A$1:$O$85,15,0))</f>
        <v>419.95</v>
      </c>
      <c r="X33" s="4">
        <f>IF(ISERROR(VLOOKUP($U$33,'TAR FIN'!$A$1:$O$85,15,0)),0,VLOOKUP($U$33,'TAR FIN'!$A$1:$O$85,15,0))</f>
        <v>138.80000000000001</v>
      </c>
      <c r="Y33" s="4"/>
      <c r="Z33" s="4">
        <f ca="1">('TUSD BE'!$AM$22+'TUSD BF'!$AM$22+'TUSD CVA'!$AM$22-('TUSD BE'!$P$22+'TUSD BF'!$P$22+'TUSD CVA'!$P$22)-('TUSD BE'!$Q$22+'TUSD BF'!$Q$22+'TUSD CVA'!$Q$22)-('TUSD BE'!$R$22+'TUSD BF'!$R$22+'TUSD CVA'!$R$22))*(1-CUSTOS!$M$35)</f>
        <v>502.67826962962829</v>
      </c>
      <c r="AA33" s="4">
        <f>('TE BE'!$AA$13+'TE BF'!$AA$13+'TE CVA'!$AA$13)*(1-CUSTOS!$M$35)</f>
        <v>156.48188518513371</v>
      </c>
      <c r="AB33" s="4">
        <f t="shared" si="0"/>
        <v>0</v>
      </c>
      <c r="AC33" s="4">
        <f>(L33-M33)*(W33+X33)+($W$63+$X$63-$W$33-$X$33)*(L33)</f>
        <v>10587.65576</v>
      </c>
      <c r="AD33" s="4">
        <f t="shared" si="1"/>
        <v>0</v>
      </c>
      <c r="AE33" s="4">
        <f ca="1">(L33-M33)*(Z33+AA33)+($Z$63+$AA$63-$Z$33-$AA$33)*(L33)</f>
        <v>12490.645493636532</v>
      </c>
      <c r="AF33" s="3" t="s">
        <v>641</v>
      </c>
    </row>
    <row r="34" spans="1:32" ht="11.25" customHeight="1" x14ac:dyDescent="0.25">
      <c r="A34" s="3" t="s">
        <v>21</v>
      </c>
      <c r="B34" s="3" t="s">
        <v>22</v>
      </c>
      <c r="C34" s="3" t="s">
        <v>23</v>
      </c>
      <c r="D34" s="3" t="s">
        <v>24</v>
      </c>
      <c r="E34" s="3" t="s">
        <v>30</v>
      </c>
      <c r="F34" s="3" t="s">
        <v>25</v>
      </c>
      <c r="G34" s="3" t="s">
        <v>25</v>
      </c>
      <c r="H34" s="3" t="s">
        <v>25</v>
      </c>
      <c r="I34" s="6">
        <v>44409</v>
      </c>
      <c r="J34" s="4">
        <v>0</v>
      </c>
      <c r="K34" s="4">
        <v>0</v>
      </c>
      <c r="L34" s="4">
        <v>29.297999999999998</v>
      </c>
      <c r="M34" s="4">
        <v>29.297999999999998</v>
      </c>
      <c r="N34" s="4">
        <v>29.297999999999998</v>
      </c>
      <c r="O34" s="4">
        <v>29.297999999999998</v>
      </c>
      <c r="P34" s="4">
        <v>179</v>
      </c>
      <c r="Q34" s="3" t="s">
        <v>26</v>
      </c>
      <c r="R34" s="3">
        <v>0</v>
      </c>
      <c r="S34" s="3">
        <v>0</v>
      </c>
      <c r="T34" s="3">
        <v>30</v>
      </c>
      <c r="U34" s="3">
        <v>51</v>
      </c>
      <c r="V34" s="4">
        <f>IF(ISERROR(VLOOKUP($S$34,'TAR FIN'!$A$1:$O$85,15,0)),0,VLOOKUP($S$34,'TAR FIN'!$A$1:$O$85,15,0))</f>
        <v>0</v>
      </c>
      <c r="W34" s="4">
        <f>IF(ISERROR(VLOOKUP($T$34,'TAR FIN'!$A$1:$O$85,15,0)),0,VLOOKUP($T$34,'TAR FIN'!$A$1:$O$85,15,0))</f>
        <v>419.95</v>
      </c>
      <c r="X34" s="4">
        <f>IF(ISERROR(VLOOKUP($U$34,'TAR FIN'!$A$1:$O$85,15,0)),0,VLOOKUP($U$34,'TAR FIN'!$A$1:$O$85,15,0))</f>
        <v>138.80000000000001</v>
      </c>
      <c r="Y34" s="4"/>
      <c r="Z34" s="4">
        <f ca="1">('TUSD BE'!$AM$22+'TUSD BF'!$AM$22+'TUSD CVA'!$AM$22-('TUSD BE'!$P$22+'TUSD BF'!$P$22+'TUSD CVA'!$P$22)-('TUSD BE'!$Q$22+'TUSD BF'!$Q$22+'TUSD CVA'!$Q$22)-('TUSD BE'!$R$22+'TUSD BF'!$R$22+'TUSD CVA'!$R$22))*(1-CUSTOS!$M$35)</f>
        <v>502.67826962962829</v>
      </c>
      <c r="AA34" s="4">
        <f>('TE BE'!$AA$13+'TE BF'!$AA$13+'TE CVA'!$AA$13)*(1-CUSTOS!$M$35)</f>
        <v>156.48188518513371</v>
      </c>
      <c r="AB34" s="4">
        <f t="shared" ref="AB34:AB65" si="4">(J34-K34)*V34</f>
        <v>0</v>
      </c>
      <c r="AC34" s="4">
        <f>(L34-M34)*(W34+X34)+($W$63+$X$63-$W$34-$X$34)*(L34)</f>
        <v>10913.212019999999</v>
      </c>
      <c r="AD34" s="4">
        <f t="shared" ref="AD34:AD65" si="5">(J34-K34)*Y34</f>
        <v>0</v>
      </c>
      <c r="AE34" s="4">
        <f ca="1">(L34-M34)*(Z34+AA34)+($Z$63+$AA$63-$Z$34-$AA$34)*(L34)</f>
        <v>12874.716143841932</v>
      </c>
      <c r="AF34" s="3" t="s">
        <v>641</v>
      </c>
    </row>
    <row r="35" spans="1:32" ht="11.25" customHeight="1" x14ac:dyDescent="0.25">
      <c r="A35" s="3" t="s">
        <v>21</v>
      </c>
      <c r="B35" s="3" t="s">
        <v>22</v>
      </c>
      <c r="C35" s="3" t="s">
        <v>23</v>
      </c>
      <c r="D35" s="3" t="s">
        <v>24</v>
      </c>
      <c r="E35" s="3" t="s">
        <v>30</v>
      </c>
      <c r="F35" s="3" t="s">
        <v>25</v>
      </c>
      <c r="G35" s="3" t="s">
        <v>25</v>
      </c>
      <c r="H35" s="3" t="s">
        <v>25</v>
      </c>
      <c r="I35" s="6">
        <v>44440</v>
      </c>
      <c r="J35" s="4">
        <v>0</v>
      </c>
      <c r="K35" s="4">
        <v>0</v>
      </c>
      <c r="L35" s="4">
        <v>31.83</v>
      </c>
      <c r="M35" s="4">
        <v>31.83</v>
      </c>
      <c r="N35" s="4">
        <v>31.83</v>
      </c>
      <c r="O35" s="4">
        <v>31.83</v>
      </c>
      <c r="P35" s="4">
        <v>110</v>
      </c>
      <c r="Q35" s="3" t="s">
        <v>26</v>
      </c>
      <c r="R35" s="3">
        <v>0</v>
      </c>
      <c r="S35" s="3">
        <v>0</v>
      </c>
      <c r="T35" s="3">
        <v>30</v>
      </c>
      <c r="U35" s="3">
        <v>51</v>
      </c>
      <c r="V35" s="4">
        <f>IF(ISERROR(VLOOKUP($S$35,'TAR FIN'!$A$1:$O$85,15,0)),0,VLOOKUP($S$35,'TAR FIN'!$A$1:$O$85,15,0))</f>
        <v>0</v>
      </c>
      <c r="W35" s="4">
        <f>IF(ISERROR(VLOOKUP($T$35,'TAR FIN'!$A$1:$O$85,15,0)),0,VLOOKUP($T$35,'TAR FIN'!$A$1:$O$85,15,0))</f>
        <v>419.95</v>
      </c>
      <c r="X35" s="4">
        <f>IF(ISERROR(VLOOKUP($U$35,'TAR FIN'!$A$1:$O$85,15,0)),0,VLOOKUP($U$35,'TAR FIN'!$A$1:$O$85,15,0))</f>
        <v>138.80000000000001</v>
      </c>
      <c r="Y35" s="4"/>
      <c r="Z35" s="4">
        <f ca="1">('TUSD BE'!$AM$22+'TUSD BF'!$AM$22+'TUSD CVA'!$AM$22-('TUSD BE'!$P$22+'TUSD BF'!$P$22+'TUSD CVA'!$P$22)-('TUSD BE'!$Q$22+'TUSD BF'!$Q$22+'TUSD CVA'!$Q$22)-('TUSD BE'!$R$22+'TUSD BF'!$R$22+'TUSD CVA'!$R$22))*(1-CUSTOS!$M$35)</f>
        <v>502.67826962962829</v>
      </c>
      <c r="AA35" s="4">
        <f>('TE BE'!$AA$13+'TE BF'!$AA$13+'TE CVA'!$AA$13)*(1-CUSTOS!$M$35)</f>
        <v>156.48188518513371</v>
      </c>
      <c r="AB35" s="4">
        <f t="shared" si="4"/>
        <v>0</v>
      </c>
      <c r="AC35" s="4">
        <f>(L35-M35)*(W35+X35)+($W$63+$X$63-$W$35-$X$35)*(L35)</f>
        <v>11856.3567</v>
      </c>
      <c r="AD35" s="4">
        <f t="shared" si="5"/>
        <v>0</v>
      </c>
      <c r="AE35" s="4">
        <f ca="1">(L35-M35)*(Z35+AA35)+($Z$63+$AA$63-$Z$35-$AA$35)*(L35)</f>
        <v>13987.378485169251</v>
      </c>
      <c r="AF35" s="3" t="s">
        <v>641</v>
      </c>
    </row>
    <row r="36" spans="1:32" ht="11.25" customHeight="1" x14ac:dyDescent="0.25">
      <c r="A36" s="3" t="s">
        <v>21</v>
      </c>
      <c r="B36" s="3" t="s">
        <v>22</v>
      </c>
      <c r="C36" s="3" t="s">
        <v>23</v>
      </c>
      <c r="D36" s="3" t="s">
        <v>24</v>
      </c>
      <c r="E36" s="3" t="s">
        <v>30</v>
      </c>
      <c r="F36" s="3" t="s">
        <v>25</v>
      </c>
      <c r="G36" s="3" t="s">
        <v>25</v>
      </c>
      <c r="H36" s="3" t="s">
        <v>25</v>
      </c>
      <c r="I36" s="6">
        <v>44470</v>
      </c>
      <c r="J36" s="4">
        <v>0</v>
      </c>
      <c r="K36" s="4">
        <v>0</v>
      </c>
      <c r="L36" s="4">
        <v>34.856999999999999</v>
      </c>
      <c r="M36" s="4">
        <v>34.856999999999999</v>
      </c>
      <c r="N36" s="4">
        <v>34.856999999999999</v>
      </c>
      <c r="O36" s="4">
        <v>34.856999999999999</v>
      </c>
      <c r="P36" s="4">
        <v>135</v>
      </c>
      <c r="Q36" s="3" t="s">
        <v>26</v>
      </c>
      <c r="R36" s="3">
        <v>0</v>
      </c>
      <c r="S36" s="3">
        <v>0</v>
      </c>
      <c r="T36" s="3">
        <v>30</v>
      </c>
      <c r="U36" s="3">
        <v>51</v>
      </c>
      <c r="V36" s="4">
        <f>IF(ISERROR(VLOOKUP($S$36,'TAR FIN'!$A$1:$O$85,15,0)),0,VLOOKUP($S$36,'TAR FIN'!$A$1:$O$85,15,0))</f>
        <v>0</v>
      </c>
      <c r="W36" s="4">
        <f>IF(ISERROR(VLOOKUP($T$36,'TAR FIN'!$A$1:$O$85,15,0)),0,VLOOKUP($T$36,'TAR FIN'!$A$1:$O$85,15,0))</f>
        <v>419.95</v>
      </c>
      <c r="X36" s="4">
        <f>IF(ISERROR(VLOOKUP($U$36,'TAR FIN'!$A$1:$O$85,15,0)),0,VLOOKUP($U$36,'TAR FIN'!$A$1:$O$85,15,0))</f>
        <v>138.80000000000001</v>
      </c>
      <c r="Y36" s="4"/>
      <c r="Z36" s="4">
        <f ca="1">('TUSD BE'!$AM$22+'TUSD BF'!$AM$22+'TUSD CVA'!$AM$22-('TUSD BE'!$P$22+'TUSD BF'!$P$22+'TUSD CVA'!$P$22)-('TUSD BE'!$Q$22+'TUSD BF'!$Q$22+'TUSD CVA'!$Q$22)-('TUSD BE'!$R$22+'TUSD BF'!$R$22+'TUSD CVA'!$R$22))*(1-CUSTOS!$M$35)</f>
        <v>502.67826962962829</v>
      </c>
      <c r="AA36" s="4">
        <f>('TE BE'!$AA$13+'TE BF'!$AA$13+'TE CVA'!$AA$13)*(1-CUSTOS!$M$35)</f>
        <v>156.48188518513371</v>
      </c>
      <c r="AB36" s="4">
        <f t="shared" si="4"/>
        <v>0</v>
      </c>
      <c r="AC36" s="4">
        <f>(L36-M36)*(W36+X36)+($W$63+$X$63-$W$36-$X$36)*(L36)</f>
        <v>12983.88393</v>
      </c>
      <c r="AD36" s="4">
        <f t="shared" si="5"/>
        <v>0</v>
      </c>
      <c r="AE36" s="4">
        <f ca="1">(L36-M36)*(Z36+AA36)+($Z$63+$AA$63-$Z$36-$AA$36)*(L36)</f>
        <v>15317.56367758544</v>
      </c>
      <c r="AF36" s="3" t="s">
        <v>641</v>
      </c>
    </row>
    <row r="37" spans="1:32" ht="11.25" customHeight="1" x14ac:dyDescent="0.25">
      <c r="A37" s="3" t="s">
        <v>21</v>
      </c>
      <c r="B37" s="3" t="s">
        <v>22</v>
      </c>
      <c r="C37" s="3" t="s">
        <v>23</v>
      </c>
      <c r="D37" s="3" t="s">
        <v>24</v>
      </c>
      <c r="E37" s="3" t="s">
        <v>30</v>
      </c>
      <c r="F37" s="3" t="s">
        <v>25</v>
      </c>
      <c r="G37" s="3" t="s">
        <v>25</v>
      </c>
      <c r="H37" s="3" t="s">
        <v>25</v>
      </c>
      <c r="I37" s="6">
        <v>44501</v>
      </c>
      <c r="J37" s="4">
        <v>0</v>
      </c>
      <c r="K37" s="4">
        <v>0</v>
      </c>
      <c r="L37" s="4">
        <v>36.473999999999997</v>
      </c>
      <c r="M37" s="4">
        <v>36.473999999999997</v>
      </c>
      <c r="N37" s="4">
        <v>36.473999999999997</v>
      </c>
      <c r="O37" s="4">
        <v>36.473999999999997</v>
      </c>
      <c r="P37" s="4">
        <v>141</v>
      </c>
      <c r="Q37" s="3" t="s">
        <v>26</v>
      </c>
      <c r="R37" s="3">
        <v>0</v>
      </c>
      <c r="S37" s="3">
        <v>0</v>
      </c>
      <c r="T37" s="3">
        <v>30</v>
      </c>
      <c r="U37" s="3">
        <v>51</v>
      </c>
      <c r="V37" s="4">
        <f>IF(ISERROR(VLOOKUP($S$37,'TAR FIN'!$A$1:$O$85,15,0)),0,VLOOKUP($S$37,'TAR FIN'!$A$1:$O$85,15,0))</f>
        <v>0</v>
      </c>
      <c r="W37" s="4">
        <f>IF(ISERROR(VLOOKUP($T$37,'TAR FIN'!$A$1:$O$85,15,0)),0,VLOOKUP($T$37,'TAR FIN'!$A$1:$O$85,15,0))</f>
        <v>419.95</v>
      </c>
      <c r="X37" s="4">
        <f>IF(ISERROR(VLOOKUP($U$37,'TAR FIN'!$A$1:$O$85,15,0)),0,VLOOKUP($U$37,'TAR FIN'!$A$1:$O$85,15,0))</f>
        <v>138.80000000000001</v>
      </c>
      <c r="Y37" s="4"/>
      <c r="Z37" s="4">
        <f ca="1">('TUSD BE'!$AM$22+'TUSD BF'!$AM$22+'TUSD CVA'!$AM$22-('TUSD BE'!$P$22+'TUSD BF'!$P$22+'TUSD CVA'!$P$22)-('TUSD BE'!$Q$22+'TUSD BF'!$Q$22+'TUSD CVA'!$Q$22)-('TUSD BE'!$R$22+'TUSD BF'!$R$22+'TUSD CVA'!$R$22))*(1-CUSTOS!$M$35)</f>
        <v>502.67826962962829</v>
      </c>
      <c r="AA37" s="4">
        <f>('TE BE'!$AA$13+'TE BF'!$AA$13+'TE CVA'!$AA$13)*(1-CUSTOS!$M$35)</f>
        <v>156.48188518513371</v>
      </c>
      <c r="AB37" s="4">
        <f t="shared" si="4"/>
        <v>0</v>
      </c>
      <c r="AC37" s="4">
        <f>(L37-M37)*(W37+X37)+($W$63+$X$63-$W$37-$X$37)*(L37)</f>
        <v>13586.20026</v>
      </c>
      <c r="AD37" s="4">
        <f t="shared" si="5"/>
        <v>0</v>
      </c>
      <c r="AE37" s="4">
        <f ca="1">(L37-M37)*(Z37+AA37)+($Z$63+$AA$63-$Z$37-$AA$37)*(L37)</f>
        <v>16028.138324475753</v>
      </c>
      <c r="AF37" s="3" t="s">
        <v>641</v>
      </c>
    </row>
    <row r="38" spans="1:32" ht="11.25" customHeight="1" x14ac:dyDescent="0.25">
      <c r="A38" s="3" t="s">
        <v>28</v>
      </c>
      <c r="B38" s="3" t="s">
        <v>22</v>
      </c>
      <c r="C38" s="3" t="s">
        <v>23</v>
      </c>
      <c r="D38" s="3" t="s">
        <v>24</v>
      </c>
      <c r="E38" s="3" t="s">
        <v>30</v>
      </c>
      <c r="F38" s="3" t="s">
        <v>25</v>
      </c>
      <c r="G38" s="3" t="s">
        <v>25</v>
      </c>
      <c r="H38" s="3" t="s">
        <v>25</v>
      </c>
      <c r="I38" s="6">
        <v>44501</v>
      </c>
      <c r="J38" s="4">
        <v>0</v>
      </c>
      <c r="K38" s="4">
        <v>0</v>
      </c>
      <c r="L38" s="4">
        <v>3.7999999999999999E-2</v>
      </c>
      <c r="M38" s="4">
        <v>2.2800000000000001E-2</v>
      </c>
      <c r="N38" s="4">
        <v>3.7999999999999999E-2</v>
      </c>
      <c r="O38" s="4">
        <v>2.2800000000000001E-2</v>
      </c>
      <c r="P38" s="4">
        <v>1</v>
      </c>
      <c r="Q38" s="3" t="s">
        <v>26</v>
      </c>
      <c r="R38" s="3">
        <v>0</v>
      </c>
      <c r="S38" s="3">
        <v>0</v>
      </c>
      <c r="T38" s="3">
        <v>30</v>
      </c>
      <c r="U38" s="3">
        <v>51</v>
      </c>
      <c r="V38" s="4">
        <f>IF(ISERROR(VLOOKUP($S$38,'TAR FIN'!$A$1:$O$85,15,0)),0,VLOOKUP($S$38,'TAR FIN'!$A$1:$O$85,15,0))</f>
        <v>0</v>
      </c>
      <c r="W38" s="4">
        <f>IF(ISERROR(VLOOKUP($T$38,'TAR FIN'!$A$1:$O$85,15,0)),0,VLOOKUP($T$38,'TAR FIN'!$A$1:$O$85,15,0))</f>
        <v>419.95</v>
      </c>
      <c r="X38" s="4">
        <f>IF(ISERROR(VLOOKUP($U$38,'TAR FIN'!$A$1:$O$85,15,0)),0,VLOOKUP($U$38,'TAR FIN'!$A$1:$O$85,15,0))</f>
        <v>138.80000000000001</v>
      </c>
      <c r="Y38" s="4"/>
      <c r="Z38" s="4">
        <f ca="1">('TUSD BE'!$AM$22+'TUSD BF'!$AM$22+'TUSD CVA'!$AM$22-('TUSD BE'!$P$22+'TUSD BF'!$P$22+'TUSD CVA'!$P$22)-('TUSD BE'!$Q$22+'TUSD BF'!$Q$22+'TUSD CVA'!$Q$22)-('TUSD BE'!$R$22+'TUSD BF'!$R$22+'TUSD CVA'!$R$22))*(1-CUSTOS!$M$35)</f>
        <v>502.67826962962829</v>
      </c>
      <c r="AA38" s="4">
        <f>('TE BE'!$AA$13+'TE BF'!$AA$13+'TE CVA'!$AA$13)*(1-CUSTOS!$M$35)</f>
        <v>156.48188518513371</v>
      </c>
      <c r="AB38" s="4">
        <f t="shared" si="4"/>
        <v>0</v>
      </c>
      <c r="AC38" s="4">
        <f>(L38-M38)*(W38+X38)+($W$63+$X$63-$W$38-$X$38)*(L38)</f>
        <v>22.647619999999996</v>
      </c>
      <c r="AD38" s="4">
        <f t="shared" si="5"/>
        <v>0</v>
      </c>
      <c r="AE38" s="4">
        <f ca="1">(L38-M38)*(Z38+AA38)+($Z$63+$AA$63-$Z$38-$AA$38)*(L38)</f>
        <v>26.717958275158352</v>
      </c>
      <c r="AF38" s="3" t="s">
        <v>641</v>
      </c>
    </row>
    <row r="39" spans="1:32" ht="11.25" customHeight="1" x14ac:dyDescent="0.25">
      <c r="A39" s="3" t="s">
        <v>21</v>
      </c>
      <c r="B39" s="3" t="s">
        <v>22</v>
      </c>
      <c r="C39" s="3" t="s">
        <v>23</v>
      </c>
      <c r="D39" s="3" t="s">
        <v>24</v>
      </c>
      <c r="E39" s="3" t="s">
        <v>30</v>
      </c>
      <c r="F39" s="3" t="s">
        <v>25</v>
      </c>
      <c r="G39" s="3" t="s">
        <v>25</v>
      </c>
      <c r="H39" s="3" t="s">
        <v>25</v>
      </c>
      <c r="I39" s="6">
        <v>44531</v>
      </c>
      <c r="J39" s="4">
        <v>0</v>
      </c>
      <c r="K39" s="4">
        <v>0</v>
      </c>
      <c r="L39" s="4">
        <v>39.247999999999998</v>
      </c>
      <c r="M39" s="4">
        <v>39.247999999999998</v>
      </c>
      <c r="N39" s="4">
        <v>39.247999999999998</v>
      </c>
      <c r="O39" s="4">
        <v>39.247999999999998</v>
      </c>
      <c r="P39" s="4">
        <v>129</v>
      </c>
      <c r="Q39" s="3" t="s">
        <v>26</v>
      </c>
      <c r="R39" s="3">
        <v>0</v>
      </c>
      <c r="S39" s="3">
        <v>0</v>
      </c>
      <c r="T39" s="3">
        <v>30</v>
      </c>
      <c r="U39" s="3">
        <v>51</v>
      </c>
      <c r="V39" s="4">
        <f>IF(ISERROR(VLOOKUP($S$39,'TAR FIN'!$A$1:$O$85,15,0)),0,VLOOKUP($S$39,'TAR FIN'!$A$1:$O$85,15,0))</f>
        <v>0</v>
      </c>
      <c r="W39" s="4">
        <f>IF(ISERROR(VLOOKUP($T$39,'TAR FIN'!$A$1:$O$85,15,0)),0,VLOOKUP($T$39,'TAR FIN'!$A$1:$O$85,15,0))</f>
        <v>419.95</v>
      </c>
      <c r="X39" s="4">
        <f>IF(ISERROR(VLOOKUP($U$39,'TAR FIN'!$A$1:$O$85,15,0)),0,VLOOKUP($U$39,'TAR FIN'!$A$1:$O$85,15,0))</f>
        <v>138.80000000000001</v>
      </c>
      <c r="Y39" s="4"/>
      <c r="Z39" s="4">
        <f ca="1">('TUSD BE'!$AM$22+'TUSD BF'!$AM$22+'TUSD CVA'!$AM$22-('TUSD BE'!$P$22+'TUSD BF'!$P$22+'TUSD CVA'!$P$22)-('TUSD BE'!$Q$22+'TUSD BF'!$Q$22+'TUSD CVA'!$Q$22)-('TUSD BE'!$R$22+'TUSD BF'!$R$22+'TUSD CVA'!$R$22))*(1-CUSTOS!$M$35)</f>
        <v>502.67826962962829</v>
      </c>
      <c r="AA39" s="4">
        <f>('TE BE'!$AA$13+'TE BF'!$AA$13+'TE CVA'!$AA$13)*(1-CUSTOS!$M$35)</f>
        <v>156.48188518513371</v>
      </c>
      <c r="AB39" s="4">
        <f t="shared" si="4"/>
        <v>0</v>
      </c>
      <c r="AC39" s="4">
        <f>(L39-M39)*(W39+X39)+($W$63+$X$63-$W$39-$X$39)*(L39)</f>
        <v>14619.487519999999</v>
      </c>
      <c r="AD39" s="4">
        <f t="shared" si="5"/>
        <v>0</v>
      </c>
      <c r="AE39" s="4">
        <f ca="1">(L39-M39)*(Z39+AA39)+($Z$63+$AA$63-$Z$39-$AA$39)*(L39)</f>
        <v>17247.145170779851</v>
      </c>
      <c r="AF39" s="3" t="s">
        <v>641</v>
      </c>
    </row>
    <row r="40" spans="1:32" ht="11.25" customHeight="1" x14ac:dyDescent="0.25">
      <c r="A40" s="3" t="s">
        <v>28</v>
      </c>
      <c r="B40" s="3" t="s">
        <v>22</v>
      </c>
      <c r="C40" s="3" t="s">
        <v>23</v>
      </c>
      <c r="D40" s="3" t="s">
        <v>24</v>
      </c>
      <c r="E40" s="3" t="s">
        <v>30</v>
      </c>
      <c r="F40" s="3" t="s">
        <v>25</v>
      </c>
      <c r="G40" s="3" t="s">
        <v>25</v>
      </c>
      <c r="H40" s="3" t="s">
        <v>25</v>
      </c>
      <c r="I40" s="6">
        <v>44531</v>
      </c>
      <c r="J40" s="4">
        <v>0</v>
      </c>
      <c r="K40" s="4">
        <v>0</v>
      </c>
      <c r="L40" s="4">
        <v>0.02</v>
      </c>
      <c r="M40" s="4">
        <v>1.2E-2</v>
      </c>
      <c r="N40" s="4">
        <v>0.02</v>
      </c>
      <c r="O40" s="4">
        <v>1.2E-2</v>
      </c>
      <c r="P40" s="4">
        <v>1</v>
      </c>
      <c r="Q40" s="3" t="s">
        <v>26</v>
      </c>
      <c r="R40" s="3">
        <v>0</v>
      </c>
      <c r="S40" s="3">
        <v>0</v>
      </c>
      <c r="T40" s="3">
        <v>30</v>
      </c>
      <c r="U40" s="3">
        <v>51</v>
      </c>
      <c r="V40" s="4">
        <f>IF(ISERROR(VLOOKUP($S$40,'TAR FIN'!$A$1:$O$85,15,0)),0,VLOOKUP($S$40,'TAR FIN'!$A$1:$O$85,15,0))</f>
        <v>0</v>
      </c>
      <c r="W40" s="4">
        <f>IF(ISERROR(VLOOKUP($T$40,'TAR FIN'!$A$1:$O$85,15,0)),0,VLOOKUP($T$40,'TAR FIN'!$A$1:$O$85,15,0))</f>
        <v>419.95</v>
      </c>
      <c r="X40" s="4">
        <f>IF(ISERROR(VLOOKUP($U$40,'TAR FIN'!$A$1:$O$85,15,0)),0,VLOOKUP($U$40,'TAR FIN'!$A$1:$O$85,15,0))</f>
        <v>138.80000000000001</v>
      </c>
      <c r="Y40" s="4"/>
      <c r="Z40" s="4">
        <f ca="1">('TUSD BE'!$AM$22+'TUSD BF'!$AM$22+'TUSD CVA'!$AM$22-('TUSD BE'!$P$22+'TUSD BF'!$P$22+'TUSD CVA'!$P$22)-('TUSD BE'!$Q$22+'TUSD BF'!$Q$22+'TUSD CVA'!$Q$22)-('TUSD BE'!$R$22+'TUSD BF'!$R$22+'TUSD CVA'!$R$22))*(1-CUSTOS!$M$35)</f>
        <v>502.67826962962829</v>
      </c>
      <c r="AA40" s="4">
        <f>('TE BE'!$AA$13+'TE BF'!$AA$13+'TE CVA'!$AA$13)*(1-CUSTOS!$M$35)</f>
        <v>156.48188518513371</v>
      </c>
      <c r="AB40" s="4">
        <f t="shared" si="4"/>
        <v>0</v>
      </c>
      <c r="AC40" s="4">
        <f>(L40-M40)*(W40+X40)+($W$63+$X$63-$W$40-$X$40)*(L40)</f>
        <v>11.9198</v>
      </c>
      <c r="AD40" s="4">
        <f t="shared" si="5"/>
        <v>0</v>
      </c>
      <c r="AE40" s="4">
        <f ca="1">(L40-M40)*(Z40+AA40)+($Z$63+$AA$63-$Z$40-$AA$40)*(L40)</f>
        <v>14.062083302714925</v>
      </c>
      <c r="AF40" s="3" t="s">
        <v>641</v>
      </c>
    </row>
    <row r="41" spans="1:32" ht="11.25" customHeight="1" x14ac:dyDescent="0.25">
      <c r="A41" s="3" t="s">
        <v>21</v>
      </c>
      <c r="B41" s="3" t="s">
        <v>22</v>
      </c>
      <c r="C41" s="3" t="s">
        <v>23</v>
      </c>
      <c r="D41" s="3" t="s">
        <v>24</v>
      </c>
      <c r="E41" s="3" t="s">
        <v>30</v>
      </c>
      <c r="F41" s="3" t="s">
        <v>25</v>
      </c>
      <c r="G41" s="3" t="s">
        <v>25</v>
      </c>
      <c r="H41" s="3" t="s">
        <v>25</v>
      </c>
      <c r="I41" s="6">
        <v>44562</v>
      </c>
      <c r="J41" s="4">
        <v>0</v>
      </c>
      <c r="K41" s="4">
        <v>0</v>
      </c>
      <c r="L41" s="4">
        <v>41.478000000000002</v>
      </c>
      <c r="M41" s="4">
        <v>41.478000000000002</v>
      </c>
      <c r="N41" s="4">
        <v>41.478000000000002</v>
      </c>
      <c r="O41" s="4">
        <v>41.478000000000002</v>
      </c>
      <c r="P41" s="4">
        <v>113</v>
      </c>
      <c r="Q41" s="3" t="s">
        <v>26</v>
      </c>
      <c r="R41" s="3">
        <v>0</v>
      </c>
      <c r="S41" s="3">
        <v>0</v>
      </c>
      <c r="T41" s="3">
        <v>30</v>
      </c>
      <c r="U41" s="3">
        <v>51</v>
      </c>
      <c r="V41" s="4">
        <f>IF(ISERROR(VLOOKUP($S$41,'TAR FIN'!$A$1:$O$85,15,0)),0,VLOOKUP($S$41,'TAR FIN'!$A$1:$O$85,15,0))</f>
        <v>0</v>
      </c>
      <c r="W41" s="4">
        <f>IF(ISERROR(VLOOKUP($T$41,'TAR FIN'!$A$1:$O$85,15,0)),0,VLOOKUP($T$41,'TAR FIN'!$A$1:$O$85,15,0))</f>
        <v>419.95</v>
      </c>
      <c r="X41" s="4">
        <f>IF(ISERROR(VLOOKUP($U$41,'TAR FIN'!$A$1:$O$85,15,0)),0,VLOOKUP($U$41,'TAR FIN'!$A$1:$O$85,15,0))</f>
        <v>138.80000000000001</v>
      </c>
      <c r="Y41" s="4"/>
      <c r="Z41" s="4">
        <f ca="1">('TUSD BE'!$AM$22+'TUSD BF'!$AM$22+'TUSD CVA'!$AM$22-('TUSD BE'!$P$22+'TUSD BF'!$P$22+'TUSD CVA'!$P$22)-('TUSD BE'!$Q$22+'TUSD BF'!$Q$22+'TUSD CVA'!$Q$22)-('TUSD BE'!$R$22+'TUSD BF'!$R$22+'TUSD CVA'!$R$22))*(1-CUSTOS!$M$35)</f>
        <v>502.67826962962829</v>
      </c>
      <c r="AA41" s="4">
        <f>('TE BE'!$AA$13+'TE BF'!$AA$13+'TE CVA'!$AA$13)*(1-CUSTOS!$M$35)</f>
        <v>156.48188518513371</v>
      </c>
      <c r="AB41" s="4">
        <f t="shared" si="4"/>
        <v>0</v>
      </c>
      <c r="AC41" s="4">
        <f>(L41-M41)*(W41+X41)+($W$63+$X$63-$W$41-$X$41)*(L41)</f>
        <v>15450.140220000001</v>
      </c>
      <c r="AD41" s="4">
        <f t="shared" si="5"/>
        <v>0</v>
      </c>
      <c r="AE41" s="4">
        <f ca="1">(L41-M41)*(Z41+AA41)+($Z$63+$AA$63-$Z$41-$AA$41)*(L41)</f>
        <v>18227.096600937803</v>
      </c>
      <c r="AF41" s="3" t="s">
        <v>641</v>
      </c>
    </row>
    <row r="42" spans="1:32" ht="11.25" customHeight="1" x14ac:dyDescent="0.25">
      <c r="A42" s="3" t="s">
        <v>28</v>
      </c>
      <c r="B42" s="3" t="s">
        <v>22</v>
      </c>
      <c r="C42" s="3" t="s">
        <v>23</v>
      </c>
      <c r="D42" s="3" t="s">
        <v>24</v>
      </c>
      <c r="E42" s="3" t="s">
        <v>30</v>
      </c>
      <c r="F42" s="3" t="s">
        <v>25</v>
      </c>
      <c r="G42" s="3" t="s">
        <v>25</v>
      </c>
      <c r="H42" s="3" t="s">
        <v>25</v>
      </c>
      <c r="I42" s="6">
        <v>44562</v>
      </c>
      <c r="J42" s="4">
        <v>0</v>
      </c>
      <c r="K42" s="4">
        <v>0</v>
      </c>
      <c r="L42" s="4">
        <v>0.02</v>
      </c>
      <c r="M42" s="4">
        <v>1.2E-2</v>
      </c>
      <c r="N42" s="4">
        <v>0.02</v>
      </c>
      <c r="O42" s="4">
        <v>1.2E-2</v>
      </c>
      <c r="P42" s="4">
        <v>1</v>
      </c>
      <c r="Q42" s="3" t="s">
        <v>26</v>
      </c>
      <c r="R42" s="3">
        <v>0</v>
      </c>
      <c r="S42" s="3">
        <v>0</v>
      </c>
      <c r="T42" s="3">
        <v>30</v>
      </c>
      <c r="U42" s="3">
        <v>51</v>
      </c>
      <c r="V42" s="4">
        <f>IF(ISERROR(VLOOKUP($S$42,'TAR FIN'!$A$1:$O$85,15,0)),0,VLOOKUP($S$42,'TAR FIN'!$A$1:$O$85,15,0))</f>
        <v>0</v>
      </c>
      <c r="W42" s="4">
        <f>IF(ISERROR(VLOOKUP($T$42,'TAR FIN'!$A$1:$O$85,15,0)),0,VLOOKUP($T$42,'TAR FIN'!$A$1:$O$85,15,0))</f>
        <v>419.95</v>
      </c>
      <c r="X42" s="4">
        <f>IF(ISERROR(VLOOKUP($U$42,'TAR FIN'!$A$1:$O$85,15,0)),0,VLOOKUP($U$42,'TAR FIN'!$A$1:$O$85,15,0))</f>
        <v>138.80000000000001</v>
      </c>
      <c r="Y42" s="4"/>
      <c r="Z42" s="4">
        <f ca="1">('TUSD BE'!$AM$22+'TUSD BF'!$AM$22+'TUSD CVA'!$AM$22-('TUSD BE'!$P$22+'TUSD BF'!$P$22+'TUSD CVA'!$P$22)-('TUSD BE'!$Q$22+'TUSD BF'!$Q$22+'TUSD CVA'!$Q$22)-('TUSD BE'!$R$22+'TUSD BF'!$R$22+'TUSD CVA'!$R$22))*(1-CUSTOS!$M$35)</f>
        <v>502.67826962962829</v>
      </c>
      <c r="AA42" s="4">
        <f>('TE BE'!$AA$13+'TE BF'!$AA$13+'TE CVA'!$AA$13)*(1-CUSTOS!$M$35)</f>
        <v>156.48188518513371</v>
      </c>
      <c r="AB42" s="4">
        <f t="shared" si="4"/>
        <v>0</v>
      </c>
      <c r="AC42" s="4">
        <f>(L42-M42)*(W42+X42)+($W$63+$X$63-$W$42-$X$42)*(L42)</f>
        <v>11.9198</v>
      </c>
      <c r="AD42" s="4">
        <f t="shared" si="5"/>
        <v>0</v>
      </c>
      <c r="AE42" s="4">
        <f ca="1">(L42-M42)*(Z42+AA42)+($Z$63+$AA$63-$Z$42-$AA$42)*(L42)</f>
        <v>14.062083302714925</v>
      </c>
      <c r="AF42" s="3" t="s">
        <v>641</v>
      </c>
    </row>
    <row r="43" spans="1:32" ht="11.25" customHeight="1" x14ac:dyDescent="0.25">
      <c r="A43" s="3" t="s">
        <v>21</v>
      </c>
      <c r="B43" s="3" t="s">
        <v>22</v>
      </c>
      <c r="C43" s="3" t="s">
        <v>23</v>
      </c>
      <c r="D43" s="3" t="s">
        <v>24</v>
      </c>
      <c r="E43" s="3" t="s">
        <v>30</v>
      </c>
      <c r="F43" s="3" t="s">
        <v>25</v>
      </c>
      <c r="G43" s="3" t="s">
        <v>25</v>
      </c>
      <c r="H43" s="3" t="s">
        <v>25</v>
      </c>
      <c r="I43" s="6">
        <v>44593</v>
      </c>
      <c r="J43" s="4">
        <v>0</v>
      </c>
      <c r="K43" s="4">
        <v>0</v>
      </c>
      <c r="L43" s="4">
        <v>44.061999999999998</v>
      </c>
      <c r="M43" s="4">
        <v>44.061999999999998</v>
      </c>
      <c r="N43" s="4">
        <v>44.061999999999998</v>
      </c>
      <c r="O43" s="4">
        <v>44.061999999999998</v>
      </c>
      <c r="P43" s="4">
        <v>107</v>
      </c>
      <c r="Q43" s="3" t="s">
        <v>26</v>
      </c>
      <c r="R43" s="3">
        <v>0</v>
      </c>
      <c r="S43" s="3">
        <v>0</v>
      </c>
      <c r="T43" s="3">
        <v>30</v>
      </c>
      <c r="U43" s="3">
        <v>51</v>
      </c>
      <c r="V43" s="4">
        <f>IF(ISERROR(VLOOKUP($S$43,'TAR FIN'!$A$1:$O$85,15,0)),0,VLOOKUP($S$43,'TAR FIN'!$A$1:$O$85,15,0))</f>
        <v>0</v>
      </c>
      <c r="W43" s="4">
        <f>IF(ISERROR(VLOOKUP($T$43,'TAR FIN'!$A$1:$O$85,15,0)),0,VLOOKUP($T$43,'TAR FIN'!$A$1:$O$85,15,0))</f>
        <v>419.95</v>
      </c>
      <c r="X43" s="4">
        <f>IF(ISERROR(VLOOKUP($U$43,'TAR FIN'!$A$1:$O$85,15,0)),0,VLOOKUP($U$43,'TAR FIN'!$A$1:$O$85,15,0))</f>
        <v>138.80000000000001</v>
      </c>
      <c r="Y43" s="4"/>
      <c r="Z43" s="4">
        <f ca="1">('TUSD BE'!$AM$22+'TUSD BF'!$AM$22+'TUSD CVA'!$AM$22-('TUSD BE'!$P$22+'TUSD BF'!$P$22+'TUSD CVA'!$P$22)-('TUSD BE'!$Q$22+'TUSD BF'!$Q$22+'TUSD CVA'!$Q$22)-('TUSD BE'!$R$22+'TUSD BF'!$R$22+'TUSD CVA'!$R$22))*(1-CUSTOS!$M$35)</f>
        <v>502.67826962962829</v>
      </c>
      <c r="AA43" s="4">
        <f>('TE BE'!$AA$13+'TE BF'!$AA$13+'TE CVA'!$AA$13)*(1-CUSTOS!$M$35)</f>
        <v>156.48188518513371</v>
      </c>
      <c r="AB43" s="4">
        <f t="shared" si="4"/>
        <v>0</v>
      </c>
      <c r="AC43" s="4">
        <f>(L43-M43)*(W43+X43)+($W$63+$X$63-$W$43-$X$43)*(L43)</f>
        <v>16412.65438</v>
      </c>
      <c r="AD43" s="4">
        <f t="shared" si="5"/>
        <v>0</v>
      </c>
      <c r="AE43" s="4">
        <f ca="1">(L43-M43)*(Z43+AA43)+($Z$63+$AA$63-$Z$43-$AA$43)*(L43)</f>
        <v>19362.60982763203</v>
      </c>
      <c r="AF43" s="3" t="s">
        <v>641</v>
      </c>
    </row>
    <row r="44" spans="1:32" ht="11.25" customHeight="1" x14ac:dyDescent="0.25">
      <c r="A44" s="3" t="s">
        <v>21</v>
      </c>
      <c r="B44" s="3" t="s">
        <v>22</v>
      </c>
      <c r="C44" s="3" t="s">
        <v>23</v>
      </c>
      <c r="D44" s="3" t="s">
        <v>24</v>
      </c>
      <c r="E44" s="3" t="s">
        <v>30</v>
      </c>
      <c r="F44" s="3" t="s">
        <v>25</v>
      </c>
      <c r="G44" s="3" t="s">
        <v>25</v>
      </c>
      <c r="H44" s="3" t="s">
        <v>25</v>
      </c>
      <c r="I44" s="6">
        <v>44621</v>
      </c>
      <c r="J44" s="4">
        <v>0</v>
      </c>
      <c r="K44" s="4">
        <v>0</v>
      </c>
      <c r="L44" s="4">
        <v>89.213999999999999</v>
      </c>
      <c r="M44" s="4">
        <v>89.213999999999999</v>
      </c>
      <c r="N44" s="4">
        <v>89.213999999999999</v>
      </c>
      <c r="O44" s="4">
        <v>89.213999999999999</v>
      </c>
      <c r="P44" s="4">
        <v>351</v>
      </c>
      <c r="Q44" s="3" t="s">
        <v>26</v>
      </c>
      <c r="R44" s="3">
        <v>0</v>
      </c>
      <c r="S44" s="3">
        <v>0</v>
      </c>
      <c r="T44" s="3">
        <v>30</v>
      </c>
      <c r="U44" s="3">
        <v>51</v>
      </c>
      <c r="V44" s="4">
        <f>IF(ISERROR(VLOOKUP($S$44,'TAR FIN'!$A$1:$O$85,15,0)),0,VLOOKUP($S$44,'TAR FIN'!$A$1:$O$85,15,0))</f>
        <v>0</v>
      </c>
      <c r="W44" s="4">
        <f>IF(ISERROR(VLOOKUP($T$44,'TAR FIN'!$A$1:$O$85,15,0)),0,VLOOKUP($T$44,'TAR FIN'!$A$1:$O$85,15,0))</f>
        <v>419.95</v>
      </c>
      <c r="X44" s="4">
        <f>IF(ISERROR(VLOOKUP($U$44,'TAR FIN'!$A$1:$O$85,15,0)),0,VLOOKUP($U$44,'TAR FIN'!$A$1:$O$85,15,0))</f>
        <v>138.80000000000001</v>
      </c>
      <c r="Y44" s="4"/>
      <c r="Z44" s="4">
        <f ca="1">('TUSD BE'!$AM$22+'TUSD BF'!$AM$22+'TUSD CVA'!$AM$22-('TUSD BE'!$P$22+'TUSD BF'!$P$22+'TUSD CVA'!$P$22)-('TUSD BE'!$Q$22+'TUSD BF'!$Q$22+'TUSD CVA'!$Q$22)-('TUSD BE'!$R$22+'TUSD BF'!$R$22+'TUSD CVA'!$R$22))*(1-CUSTOS!$M$35)</f>
        <v>502.67826962962829</v>
      </c>
      <c r="AA44" s="4">
        <f>('TE BE'!$AA$13+'TE BF'!$AA$13+'TE CVA'!$AA$13)*(1-CUSTOS!$M$35)</f>
        <v>156.48188518513371</v>
      </c>
      <c r="AB44" s="4">
        <f t="shared" si="4"/>
        <v>0</v>
      </c>
      <c r="AC44" s="4">
        <f>(L44-M44)*(W44+X44)+($W$63+$X$63-$W$44-$X$44)*(L44)</f>
        <v>33231.32286</v>
      </c>
      <c r="AD44" s="4">
        <f t="shared" si="5"/>
        <v>0</v>
      </c>
      <c r="AE44" s="4">
        <f ca="1">(L44-M44)*(Z44+AA44)+($Z$63+$AA$63-$Z$44-$AA$44)*(L44)</f>
        <v>39204.209367762785</v>
      </c>
      <c r="AF44" s="3" t="s">
        <v>641</v>
      </c>
    </row>
    <row r="45" spans="1:32" ht="11.25" customHeight="1" x14ac:dyDescent="0.25">
      <c r="A45" s="3" t="s">
        <v>27</v>
      </c>
      <c r="B45" s="3" t="s">
        <v>22</v>
      </c>
      <c r="C45" s="3" t="s">
        <v>23</v>
      </c>
      <c r="D45" s="3" t="s">
        <v>24</v>
      </c>
      <c r="E45" s="3" t="s">
        <v>30</v>
      </c>
      <c r="F45" s="3" t="s">
        <v>25</v>
      </c>
      <c r="G45" s="3" t="s">
        <v>25</v>
      </c>
      <c r="H45" s="3" t="s">
        <v>25</v>
      </c>
      <c r="I45" s="6">
        <v>44621</v>
      </c>
      <c r="J45" s="4">
        <v>0</v>
      </c>
      <c r="K45" s="4">
        <v>0</v>
      </c>
      <c r="L45" s="4">
        <v>7.0000000000000007E-2</v>
      </c>
      <c r="M45" s="4">
        <v>7.0000000000000007E-2</v>
      </c>
      <c r="N45" s="4">
        <v>7.0000000000000007E-2</v>
      </c>
      <c r="O45" s="4">
        <v>7.0000000000000007E-2</v>
      </c>
      <c r="P45" s="4">
        <v>0</v>
      </c>
      <c r="Q45" s="3" t="s">
        <v>26</v>
      </c>
      <c r="R45" s="3">
        <v>0</v>
      </c>
      <c r="S45" s="3">
        <v>0</v>
      </c>
      <c r="T45" s="3">
        <v>30</v>
      </c>
      <c r="U45" s="3">
        <v>51</v>
      </c>
      <c r="V45" s="4">
        <f>IF(ISERROR(VLOOKUP($S$45,'TAR FIN'!$A$1:$O$85,15,0)),0,VLOOKUP($S$45,'TAR FIN'!$A$1:$O$85,15,0))</f>
        <v>0</v>
      </c>
      <c r="W45" s="4">
        <f>IF(ISERROR(VLOOKUP($T$45,'TAR FIN'!$A$1:$O$85,15,0)),0,VLOOKUP($T$45,'TAR FIN'!$A$1:$O$85,15,0))</f>
        <v>419.95</v>
      </c>
      <c r="X45" s="4">
        <f>IF(ISERROR(VLOOKUP($U$45,'TAR FIN'!$A$1:$O$85,15,0)),0,VLOOKUP($U$45,'TAR FIN'!$A$1:$O$85,15,0))</f>
        <v>138.80000000000001</v>
      </c>
      <c r="Y45" s="4"/>
      <c r="Z45" s="4">
        <f ca="1">('TUSD BE'!$AM$22+'TUSD BF'!$AM$22+'TUSD CVA'!$AM$22-('TUSD BE'!$P$22+'TUSD BF'!$P$22+'TUSD CVA'!$P$22)-('TUSD BE'!$Q$22+'TUSD BF'!$Q$22+'TUSD CVA'!$Q$22)-('TUSD BE'!$R$22+'TUSD BF'!$R$22+'TUSD CVA'!$R$22))*(1-CUSTOS!$M$35)</f>
        <v>502.67826962962829</v>
      </c>
      <c r="AA45" s="4">
        <f>('TE BE'!$AA$13+'TE BF'!$AA$13+'TE CVA'!$AA$13)*(1-CUSTOS!$M$35)</f>
        <v>156.48188518513371</v>
      </c>
      <c r="AB45" s="4">
        <f t="shared" si="4"/>
        <v>0</v>
      </c>
      <c r="AC45" s="4">
        <f>(L45-M45)*(W45+X45)+($W$63+$X$63-$W$45-$X$45)*(L45)</f>
        <v>26.074300000000004</v>
      </c>
      <c r="AD45" s="4">
        <f t="shared" si="5"/>
        <v>0</v>
      </c>
      <c r="AE45" s="4">
        <f ca="1">(L45-M45)*(Z45+AA45)+($Z$63+$AA$63-$Z$45-$AA$45)*(L45)</f>
        <v>30.7608072246889</v>
      </c>
      <c r="AF45" s="3" t="s">
        <v>641</v>
      </c>
    </row>
    <row r="46" spans="1:32" ht="11.25" customHeight="1" x14ac:dyDescent="0.25">
      <c r="A46" s="3" t="s">
        <v>21</v>
      </c>
      <c r="B46" s="3" t="s">
        <v>22</v>
      </c>
      <c r="C46" s="3" t="s">
        <v>23</v>
      </c>
      <c r="D46" s="3" t="s">
        <v>24</v>
      </c>
      <c r="E46" s="3" t="s">
        <v>31</v>
      </c>
      <c r="F46" s="3" t="s">
        <v>25</v>
      </c>
      <c r="G46" s="3" t="s">
        <v>25</v>
      </c>
      <c r="H46" s="3" t="s">
        <v>25</v>
      </c>
      <c r="I46" s="6">
        <v>44287</v>
      </c>
      <c r="J46" s="4">
        <v>0</v>
      </c>
      <c r="K46" s="4">
        <v>0</v>
      </c>
      <c r="L46" s="4">
        <v>25.067</v>
      </c>
      <c r="M46" s="4">
        <v>25.067</v>
      </c>
      <c r="N46" s="4">
        <v>25.067</v>
      </c>
      <c r="O46" s="4">
        <v>25.067</v>
      </c>
      <c r="P46" s="4">
        <v>238</v>
      </c>
      <c r="Q46" s="3" t="s">
        <v>26</v>
      </c>
      <c r="R46" s="3">
        <v>0</v>
      </c>
      <c r="S46" s="3">
        <v>0</v>
      </c>
      <c r="T46" s="3">
        <v>31</v>
      </c>
      <c r="U46" s="3">
        <v>46</v>
      </c>
      <c r="V46" s="4">
        <f>IF(ISERROR(VLOOKUP($S$46,'TAR FIN'!$A$1:$O$85,15,0)),0,VLOOKUP($S$46,'TAR FIN'!$A$1:$O$85,15,0))</f>
        <v>0</v>
      </c>
      <c r="W46" s="4">
        <f>IF(ISERROR(VLOOKUP($T$46,'TAR FIN'!$A$1:$O$85,15,0)),0,VLOOKUP($T$46,'TAR FIN'!$A$1:$O$85,15,0))</f>
        <v>629.91999999999996</v>
      </c>
      <c r="X46" s="4">
        <f>IF(ISERROR(VLOOKUP($U$46,'TAR FIN'!$A$1:$O$85,15,0)),0,VLOOKUP($U$46,'TAR FIN'!$A$1:$O$85,15,0))</f>
        <v>208.2</v>
      </c>
      <c r="Y46" s="4"/>
      <c r="Z46" s="4">
        <f ca="1">('TUSD BE'!$AM$23+'TUSD BF'!$AM$23+'TUSD CVA'!$AM$23-('TUSD BE'!$P$23+'TUSD BF'!$P$23+'TUSD CVA'!$P$23)-('TUSD BE'!$Q$23+'TUSD BF'!$Q$23+'TUSD CVA'!$Q$23)-('TUSD BE'!$R$23+'TUSD BF'!$R$23+'TUSD CVA'!$R$23))*(1-CUSTOS!$M$36)</f>
        <v>754.01740444444249</v>
      </c>
      <c r="AA46" s="4">
        <f>('TE BE'!$AA$14+'TE BF'!$AA$14+'TE CVA'!$AA$14)*(1-CUSTOS!$M$36)</f>
        <v>234.72282777770056</v>
      </c>
      <c r="AB46" s="4">
        <f t="shared" si="4"/>
        <v>0</v>
      </c>
      <c r="AC46" s="4">
        <f>(L46-M46)*(W46+X46)+($W$63+$X$63-$W$46-$X$46)*(L46)</f>
        <v>2334.2390400000018</v>
      </c>
      <c r="AD46" s="4">
        <f t="shared" si="5"/>
        <v>0</v>
      </c>
      <c r="AE46" s="4">
        <f ca="1">(L46-M46)*(Z46+AA46)+($Z$63+$AA$63-$Z$46-$AA$46)*(L46)</f>
        <v>2753.8612667902726</v>
      </c>
      <c r="AF46" s="3" t="s">
        <v>641</v>
      </c>
    </row>
    <row r="47" spans="1:32" ht="11.25" customHeight="1" x14ac:dyDescent="0.25">
      <c r="A47" s="3" t="s">
        <v>28</v>
      </c>
      <c r="B47" s="3" t="s">
        <v>22</v>
      </c>
      <c r="C47" s="3" t="s">
        <v>23</v>
      </c>
      <c r="D47" s="3" t="s">
        <v>24</v>
      </c>
      <c r="E47" s="3" t="s">
        <v>31</v>
      </c>
      <c r="F47" s="3" t="s">
        <v>25</v>
      </c>
      <c r="G47" s="3" t="s">
        <v>25</v>
      </c>
      <c r="H47" s="3" t="s">
        <v>25</v>
      </c>
      <c r="I47" s="6">
        <v>44287</v>
      </c>
      <c r="J47" s="4">
        <v>0</v>
      </c>
      <c r="K47" s="4">
        <v>0</v>
      </c>
      <c r="L47" s="4">
        <v>0.122</v>
      </c>
      <c r="M47" s="4">
        <v>0.122</v>
      </c>
      <c r="N47" s="4">
        <v>0.122</v>
      </c>
      <c r="O47" s="4">
        <v>0.122</v>
      </c>
      <c r="P47" s="4">
        <v>1</v>
      </c>
      <c r="Q47" s="3" t="s">
        <v>26</v>
      </c>
      <c r="R47" s="3">
        <v>0</v>
      </c>
      <c r="S47" s="3">
        <v>0</v>
      </c>
      <c r="T47" s="3">
        <v>31</v>
      </c>
      <c r="U47" s="3">
        <v>46</v>
      </c>
      <c r="V47" s="4">
        <f>IF(ISERROR(VLOOKUP($S$47,'TAR FIN'!$A$1:$O$85,15,0)),0,VLOOKUP($S$47,'TAR FIN'!$A$1:$O$85,15,0))</f>
        <v>0</v>
      </c>
      <c r="W47" s="4">
        <f>IF(ISERROR(VLOOKUP($T$47,'TAR FIN'!$A$1:$O$85,15,0)),0,VLOOKUP($T$47,'TAR FIN'!$A$1:$O$85,15,0))</f>
        <v>629.91999999999996</v>
      </c>
      <c r="X47" s="4">
        <f>IF(ISERROR(VLOOKUP($U$47,'TAR FIN'!$A$1:$O$85,15,0)),0,VLOOKUP($U$47,'TAR FIN'!$A$1:$O$85,15,0))</f>
        <v>208.2</v>
      </c>
      <c r="Y47" s="4"/>
      <c r="Z47" s="4">
        <f ca="1">('TUSD BE'!$AM$23+'TUSD BF'!$AM$23+'TUSD CVA'!$AM$23-('TUSD BE'!$P$23+'TUSD BF'!$P$23+'TUSD CVA'!$P$23)-('TUSD BE'!$Q$23+'TUSD BF'!$Q$23+'TUSD CVA'!$Q$23)-('TUSD BE'!$R$23+'TUSD BF'!$R$23+'TUSD CVA'!$R$23))*(1-CUSTOS!$M$36)</f>
        <v>754.01740444444249</v>
      </c>
      <c r="AA47" s="4">
        <f>('TE BE'!$AA$14+'TE BF'!$AA$14+'TE CVA'!$AA$14)*(1-CUSTOS!$M$36)</f>
        <v>234.72282777770056</v>
      </c>
      <c r="AB47" s="4">
        <f t="shared" si="4"/>
        <v>0</v>
      </c>
      <c r="AC47" s="4">
        <f>(L47-M47)*(W47+X47)+($W$63+$X$63-$W$47-$X$47)*(L47)</f>
        <v>11.360640000000007</v>
      </c>
      <c r="AD47" s="4">
        <f t="shared" si="5"/>
        <v>0</v>
      </c>
      <c r="AE47" s="4">
        <f ca="1">(L47-M47)*(Z47+AA47)+($Z$63+$AA$63-$Z$47-$AA$47)*(L47)</f>
        <v>13.402923147900157</v>
      </c>
      <c r="AF47" s="3" t="s">
        <v>641</v>
      </c>
    </row>
    <row r="48" spans="1:32" ht="11.25" customHeight="1" x14ac:dyDescent="0.25">
      <c r="A48" s="3" t="s">
        <v>21</v>
      </c>
      <c r="B48" s="3" t="s">
        <v>22</v>
      </c>
      <c r="C48" s="3" t="s">
        <v>23</v>
      </c>
      <c r="D48" s="3" t="s">
        <v>24</v>
      </c>
      <c r="E48" s="3" t="s">
        <v>31</v>
      </c>
      <c r="F48" s="3" t="s">
        <v>25</v>
      </c>
      <c r="G48" s="3" t="s">
        <v>25</v>
      </c>
      <c r="H48" s="3" t="s">
        <v>25</v>
      </c>
      <c r="I48" s="6">
        <v>44317</v>
      </c>
      <c r="J48" s="4">
        <v>0</v>
      </c>
      <c r="K48" s="4">
        <v>0</v>
      </c>
      <c r="L48" s="4">
        <v>17.866</v>
      </c>
      <c r="M48" s="4">
        <v>17.866</v>
      </c>
      <c r="N48" s="4">
        <v>17.866</v>
      </c>
      <c r="O48" s="4">
        <v>17.866</v>
      </c>
      <c r="P48" s="4">
        <v>234</v>
      </c>
      <c r="Q48" s="3" t="s">
        <v>26</v>
      </c>
      <c r="R48" s="3">
        <v>0</v>
      </c>
      <c r="S48" s="3">
        <v>0</v>
      </c>
      <c r="T48" s="3">
        <v>31</v>
      </c>
      <c r="U48" s="3">
        <v>46</v>
      </c>
      <c r="V48" s="4">
        <f>IF(ISERROR(VLOOKUP($S$48,'TAR FIN'!$A$1:$O$85,15,0)),0,VLOOKUP($S$48,'TAR FIN'!$A$1:$O$85,15,0))</f>
        <v>0</v>
      </c>
      <c r="W48" s="4">
        <f>IF(ISERROR(VLOOKUP($T$48,'TAR FIN'!$A$1:$O$85,15,0)),0,VLOOKUP($T$48,'TAR FIN'!$A$1:$O$85,15,0))</f>
        <v>629.91999999999996</v>
      </c>
      <c r="X48" s="4">
        <f>IF(ISERROR(VLOOKUP($U$48,'TAR FIN'!$A$1:$O$85,15,0)),0,VLOOKUP($U$48,'TAR FIN'!$A$1:$O$85,15,0))</f>
        <v>208.2</v>
      </c>
      <c r="Y48" s="4"/>
      <c r="Z48" s="4">
        <f ca="1">('TUSD BE'!$AM$23+'TUSD BF'!$AM$23+'TUSD CVA'!$AM$23-('TUSD BE'!$P$23+'TUSD BF'!$P$23+'TUSD CVA'!$P$23)-('TUSD BE'!$Q$23+'TUSD BF'!$Q$23+'TUSD CVA'!$Q$23)-('TUSD BE'!$R$23+'TUSD BF'!$R$23+'TUSD CVA'!$R$23))*(1-CUSTOS!$M$36)</f>
        <v>754.01740444444249</v>
      </c>
      <c r="AA48" s="4">
        <f>('TE BE'!$AA$14+'TE BF'!$AA$14+'TE CVA'!$AA$14)*(1-CUSTOS!$M$36)</f>
        <v>234.72282777770056</v>
      </c>
      <c r="AB48" s="4">
        <f t="shared" si="4"/>
        <v>0</v>
      </c>
      <c r="AC48" s="4">
        <f>(L48-M48)*(W48+X48)+($W$63+$X$63-$W$48-$X$48)*(L48)</f>
        <v>1663.6819200000011</v>
      </c>
      <c r="AD48" s="4">
        <f t="shared" si="5"/>
        <v>0</v>
      </c>
      <c r="AE48" s="4">
        <f ca="1">(L48-M48)*(Z48+AA48)+($Z$63+$AA$63-$Z$48-$AA$48)*(L48)</f>
        <v>1962.759220986756</v>
      </c>
      <c r="AF48" s="3" t="s">
        <v>641</v>
      </c>
    </row>
    <row r="49" spans="1:32" ht="11.25" customHeight="1" x14ac:dyDescent="0.25">
      <c r="A49" s="3" t="s">
        <v>27</v>
      </c>
      <c r="B49" s="3" t="s">
        <v>22</v>
      </c>
      <c r="C49" s="3" t="s">
        <v>23</v>
      </c>
      <c r="D49" s="3" t="s">
        <v>24</v>
      </c>
      <c r="E49" s="3" t="s">
        <v>31</v>
      </c>
      <c r="F49" s="3" t="s">
        <v>25</v>
      </c>
      <c r="G49" s="3" t="s">
        <v>25</v>
      </c>
      <c r="H49" s="3" t="s">
        <v>25</v>
      </c>
      <c r="I49" s="6">
        <v>44317</v>
      </c>
      <c r="J49" s="4">
        <v>0</v>
      </c>
      <c r="K49" s="4">
        <v>0</v>
      </c>
      <c r="L49" s="4">
        <v>2.2650000000000001</v>
      </c>
      <c r="M49" s="4">
        <v>2.2650000000000001</v>
      </c>
      <c r="N49" s="4">
        <v>2.2650000000000001</v>
      </c>
      <c r="O49" s="4">
        <v>2.2650000000000001</v>
      </c>
      <c r="P49" s="4">
        <v>0</v>
      </c>
      <c r="Q49" s="3" t="s">
        <v>26</v>
      </c>
      <c r="R49" s="3">
        <v>0</v>
      </c>
      <c r="S49" s="3">
        <v>0</v>
      </c>
      <c r="T49" s="3">
        <v>31</v>
      </c>
      <c r="U49" s="3">
        <v>46</v>
      </c>
      <c r="V49" s="4">
        <f>IF(ISERROR(VLOOKUP($S$49,'TAR FIN'!$A$1:$O$85,15,0)),0,VLOOKUP($S$49,'TAR FIN'!$A$1:$O$85,15,0))</f>
        <v>0</v>
      </c>
      <c r="W49" s="4">
        <f>IF(ISERROR(VLOOKUP($T$49,'TAR FIN'!$A$1:$O$85,15,0)),0,VLOOKUP($T$49,'TAR FIN'!$A$1:$O$85,15,0))</f>
        <v>629.91999999999996</v>
      </c>
      <c r="X49" s="4">
        <f>IF(ISERROR(VLOOKUP($U$49,'TAR FIN'!$A$1:$O$85,15,0)),0,VLOOKUP($U$49,'TAR FIN'!$A$1:$O$85,15,0))</f>
        <v>208.2</v>
      </c>
      <c r="Y49" s="4"/>
      <c r="Z49" s="4">
        <f ca="1">('TUSD BE'!$AM$23+'TUSD BF'!$AM$23+'TUSD CVA'!$AM$23-('TUSD BE'!$P$23+'TUSD BF'!$P$23+'TUSD CVA'!$P$23)-('TUSD BE'!$Q$23+'TUSD BF'!$Q$23+'TUSD CVA'!$Q$23)-('TUSD BE'!$R$23+'TUSD BF'!$R$23+'TUSD CVA'!$R$23))*(1-CUSTOS!$M$36)</f>
        <v>754.01740444444249</v>
      </c>
      <c r="AA49" s="4">
        <f>('TE BE'!$AA$14+'TE BF'!$AA$14+'TE CVA'!$AA$14)*(1-CUSTOS!$M$36)</f>
        <v>234.72282777770056</v>
      </c>
      <c r="AB49" s="4">
        <f t="shared" si="4"/>
        <v>0</v>
      </c>
      <c r="AC49" s="4">
        <f>(L49-M49)*(W49+X49)+($W$63+$X$63-$W$49-$X$49)*(L49)</f>
        <v>210.91680000000014</v>
      </c>
      <c r="AD49" s="4">
        <f t="shared" si="5"/>
        <v>0</v>
      </c>
      <c r="AE49" s="4">
        <f ca="1">(L49-M49)*(Z49+AA49)+($Z$63+$AA$63-$Z$49-$AA$49)*(L49)</f>
        <v>248.83295844257262</v>
      </c>
      <c r="AF49" s="3" t="s">
        <v>641</v>
      </c>
    </row>
    <row r="50" spans="1:32" ht="11.25" customHeight="1" x14ac:dyDescent="0.25">
      <c r="A50" s="3" t="s">
        <v>21</v>
      </c>
      <c r="B50" s="3" t="s">
        <v>22</v>
      </c>
      <c r="C50" s="3" t="s">
        <v>23</v>
      </c>
      <c r="D50" s="3" t="s">
        <v>24</v>
      </c>
      <c r="E50" s="3" t="s">
        <v>31</v>
      </c>
      <c r="F50" s="3" t="s">
        <v>25</v>
      </c>
      <c r="G50" s="3" t="s">
        <v>25</v>
      </c>
      <c r="H50" s="3" t="s">
        <v>25</v>
      </c>
      <c r="I50" s="6">
        <v>44348</v>
      </c>
      <c r="J50" s="4">
        <v>0</v>
      </c>
      <c r="K50" s="4">
        <v>0</v>
      </c>
      <c r="L50" s="4">
        <v>20.646000000000001</v>
      </c>
      <c r="M50" s="4">
        <v>20.646000000000001</v>
      </c>
      <c r="N50" s="4">
        <v>20.646000000000001</v>
      </c>
      <c r="O50" s="4">
        <v>20.646000000000001</v>
      </c>
      <c r="P50" s="4">
        <v>278</v>
      </c>
      <c r="Q50" s="3" t="s">
        <v>26</v>
      </c>
      <c r="R50" s="3">
        <v>0</v>
      </c>
      <c r="S50" s="3">
        <v>0</v>
      </c>
      <c r="T50" s="3">
        <v>31</v>
      </c>
      <c r="U50" s="3">
        <v>46</v>
      </c>
      <c r="V50" s="4">
        <f>IF(ISERROR(VLOOKUP($S$50,'TAR FIN'!$A$1:$O$85,15,0)),0,VLOOKUP($S$50,'TAR FIN'!$A$1:$O$85,15,0))</f>
        <v>0</v>
      </c>
      <c r="W50" s="4">
        <f>IF(ISERROR(VLOOKUP($T$50,'TAR FIN'!$A$1:$O$85,15,0)),0,VLOOKUP($T$50,'TAR FIN'!$A$1:$O$85,15,0))</f>
        <v>629.91999999999996</v>
      </c>
      <c r="X50" s="4">
        <f>IF(ISERROR(VLOOKUP($U$50,'TAR FIN'!$A$1:$O$85,15,0)),0,VLOOKUP($U$50,'TAR FIN'!$A$1:$O$85,15,0))</f>
        <v>208.2</v>
      </c>
      <c r="Y50" s="4"/>
      <c r="Z50" s="4">
        <f ca="1">('TUSD BE'!$AM$23+'TUSD BF'!$AM$23+'TUSD CVA'!$AM$23-('TUSD BE'!$P$23+'TUSD BF'!$P$23+'TUSD CVA'!$P$23)-('TUSD BE'!$Q$23+'TUSD BF'!$Q$23+'TUSD CVA'!$Q$23)-('TUSD BE'!$R$23+'TUSD BF'!$R$23+'TUSD CVA'!$R$23))*(1-CUSTOS!$M$36)</f>
        <v>754.01740444444249</v>
      </c>
      <c r="AA50" s="4">
        <f>('TE BE'!$AA$14+'TE BF'!$AA$14+'TE CVA'!$AA$14)*(1-CUSTOS!$M$36)</f>
        <v>234.72282777770056</v>
      </c>
      <c r="AB50" s="4">
        <f t="shared" si="4"/>
        <v>0</v>
      </c>
      <c r="AC50" s="4">
        <f>(L50-M50)*(W50+X50)+($W$63+$X$63-$W$50-$X$50)*(L50)</f>
        <v>1922.5555200000013</v>
      </c>
      <c r="AD50" s="4">
        <f t="shared" si="5"/>
        <v>0</v>
      </c>
      <c r="AE50" s="4">
        <f ca="1">(L50-M50)*(Z50+AA50)+($Z$63+$AA$63-$Z$50-$AA$50)*(L50)</f>
        <v>2268.1700927175957</v>
      </c>
      <c r="AF50" s="3" t="s">
        <v>641</v>
      </c>
    </row>
    <row r="51" spans="1:32" ht="11.25" customHeight="1" x14ac:dyDescent="0.25">
      <c r="A51" s="3" t="s">
        <v>27</v>
      </c>
      <c r="B51" s="3" t="s">
        <v>22</v>
      </c>
      <c r="C51" s="3" t="s">
        <v>23</v>
      </c>
      <c r="D51" s="3" t="s">
        <v>24</v>
      </c>
      <c r="E51" s="3" t="s">
        <v>31</v>
      </c>
      <c r="F51" s="3" t="s">
        <v>25</v>
      </c>
      <c r="G51" s="3" t="s">
        <v>25</v>
      </c>
      <c r="H51" s="3" t="s">
        <v>25</v>
      </c>
      <c r="I51" s="6">
        <v>44348</v>
      </c>
      <c r="J51" s="4">
        <v>0</v>
      </c>
      <c r="K51" s="4">
        <v>0</v>
      </c>
      <c r="L51" s="4">
        <v>0.59499999999999997</v>
      </c>
      <c r="M51" s="4">
        <v>0.59499999999999997</v>
      </c>
      <c r="N51" s="4">
        <v>0.59499999999999997</v>
      </c>
      <c r="O51" s="4">
        <v>0.59499999999999997</v>
      </c>
      <c r="P51" s="4">
        <v>0</v>
      </c>
      <c r="Q51" s="3" t="s">
        <v>26</v>
      </c>
      <c r="R51" s="3">
        <v>0</v>
      </c>
      <c r="S51" s="3">
        <v>0</v>
      </c>
      <c r="T51" s="3">
        <v>31</v>
      </c>
      <c r="U51" s="3">
        <v>46</v>
      </c>
      <c r="V51" s="4">
        <f>IF(ISERROR(VLOOKUP($S$51,'TAR FIN'!$A$1:$O$85,15,0)),0,VLOOKUP($S$51,'TAR FIN'!$A$1:$O$85,15,0))</f>
        <v>0</v>
      </c>
      <c r="W51" s="4">
        <f>IF(ISERROR(VLOOKUP($T$51,'TAR FIN'!$A$1:$O$85,15,0)),0,VLOOKUP($T$51,'TAR FIN'!$A$1:$O$85,15,0))</f>
        <v>629.91999999999996</v>
      </c>
      <c r="X51" s="4">
        <f>IF(ISERROR(VLOOKUP($U$51,'TAR FIN'!$A$1:$O$85,15,0)),0,VLOOKUP($U$51,'TAR FIN'!$A$1:$O$85,15,0))</f>
        <v>208.2</v>
      </c>
      <c r="Y51" s="4"/>
      <c r="Z51" s="4">
        <f ca="1">('TUSD BE'!$AM$23+'TUSD BF'!$AM$23+'TUSD CVA'!$AM$23-('TUSD BE'!$P$23+'TUSD BF'!$P$23+'TUSD CVA'!$P$23)-('TUSD BE'!$Q$23+'TUSD BF'!$Q$23+'TUSD CVA'!$Q$23)-('TUSD BE'!$R$23+'TUSD BF'!$R$23+'TUSD CVA'!$R$23))*(1-CUSTOS!$M$36)</f>
        <v>754.01740444444249</v>
      </c>
      <c r="AA51" s="4">
        <f>('TE BE'!$AA$14+'TE BF'!$AA$14+'TE CVA'!$AA$14)*(1-CUSTOS!$M$36)</f>
        <v>234.72282777770056</v>
      </c>
      <c r="AB51" s="4">
        <f t="shared" si="4"/>
        <v>0</v>
      </c>
      <c r="AC51" s="4">
        <f>(L51-M51)*(W51+X51)+($W$63+$X$63-$W$51-$X$51)*(L51)</f>
        <v>55.406400000000033</v>
      </c>
      <c r="AD51" s="4">
        <f t="shared" si="5"/>
        <v>0</v>
      </c>
      <c r="AE51" s="4">
        <f ca="1">(L51-M51)*(Z51+AA51)+($Z$63+$AA$63-$Z$51-$AA$51)*(L51)</f>
        <v>65.366715352463885</v>
      </c>
      <c r="AF51" s="3" t="s">
        <v>641</v>
      </c>
    </row>
    <row r="52" spans="1:32" ht="11.25" customHeight="1" x14ac:dyDescent="0.25">
      <c r="A52" s="3" t="s">
        <v>21</v>
      </c>
      <c r="B52" s="3" t="s">
        <v>22</v>
      </c>
      <c r="C52" s="3" t="s">
        <v>23</v>
      </c>
      <c r="D52" s="3" t="s">
        <v>24</v>
      </c>
      <c r="E52" s="3" t="s">
        <v>31</v>
      </c>
      <c r="F52" s="3" t="s">
        <v>25</v>
      </c>
      <c r="G52" s="3" t="s">
        <v>25</v>
      </c>
      <c r="H52" s="3" t="s">
        <v>25</v>
      </c>
      <c r="I52" s="6">
        <v>44378</v>
      </c>
      <c r="J52" s="4">
        <v>0</v>
      </c>
      <c r="K52" s="4">
        <v>0</v>
      </c>
      <c r="L52" s="4">
        <v>16.478999999999999</v>
      </c>
      <c r="M52" s="4">
        <v>16.478999999999999</v>
      </c>
      <c r="N52" s="4">
        <v>16.478999999999999</v>
      </c>
      <c r="O52" s="4">
        <v>16.478999999999999</v>
      </c>
      <c r="P52" s="4">
        <v>262</v>
      </c>
      <c r="Q52" s="3" t="s">
        <v>26</v>
      </c>
      <c r="R52" s="3">
        <v>0</v>
      </c>
      <c r="S52" s="3">
        <v>0</v>
      </c>
      <c r="T52" s="3">
        <v>31</v>
      </c>
      <c r="U52" s="3">
        <v>46</v>
      </c>
      <c r="V52" s="4">
        <f>IF(ISERROR(VLOOKUP($S$52,'TAR FIN'!$A$1:$O$85,15,0)),0,VLOOKUP($S$52,'TAR FIN'!$A$1:$O$85,15,0))</f>
        <v>0</v>
      </c>
      <c r="W52" s="4">
        <f>IF(ISERROR(VLOOKUP($T$52,'TAR FIN'!$A$1:$O$85,15,0)),0,VLOOKUP($T$52,'TAR FIN'!$A$1:$O$85,15,0))</f>
        <v>629.91999999999996</v>
      </c>
      <c r="X52" s="4">
        <f>IF(ISERROR(VLOOKUP($U$52,'TAR FIN'!$A$1:$O$85,15,0)),0,VLOOKUP($U$52,'TAR FIN'!$A$1:$O$85,15,0))</f>
        <v>208.2</v>
      </c>
      <c r="Y52" s="4"/>
      <c r="Z52" s="4">
        <f ca="1">('TUSD BE'!$AM$23+'TUSD BF'!$AM$23+'TUSD CVA'!$AM$23-('TUSD BE'!$P$23+'TUSD BF'!$P$23+'TUSD CVA'!$P$23)-('TUSD BE'!$Q$23+'TUSD BF'!$Q$23+'TUSD CVA'!$Q$23)-('TUSD BE'!$R$23+'TUSD BF'!$R$23+'TUSD CVA'!$R$23))*(1-CUSTOS!$M$36)</f>
        <v>754.01740444444249</v>
      </c>
      <c r="AA52" s="4">
        <f>('TE BE'!$AA$14+'TE BF'!$AA$14+'TE CVA'!$AA$14)*(1-CUSTOS!$M$36)</f>
        <v>234.72282777770056</v>
      </c>
      <c r="AB52" s="4">
        <f t="shared" si="4"/>
        <v>0</v>
      </c>
      <c r="AC52" s="4">
        <f>(L52-M52)*(W52+X52)+($W$63+$X$63-$W$52-$X$52)*(L52)</f>
        <v>1534.5244800000009</v>
      </c>
      <c r="AD52" s="4">
        <f t="shared" si="5"/>
        <v>0</v>
      </c>
      <c r="AE52" s="4">
        <f ca="1">(L52-M52)*(Z52+AA52)+($Z$63+$AA$63-$Z$52-$AA$52)*(L52)</f>
        <v>1810.3833651987434</v>
      </c>
      <c r="AF52" s="3" t="s">
        <v>641</v>
      </c>
    </row>
    <row r="53" spans="1:32" ht="11.25" customHeight="1" x14ac:dyDescent="0.25">
      <c r="A53" s="3" t="s">
        <v>21</v>
      </c>
      <c r="B53" s="3" t="s">
        <v>22</v>
      </c>
      <c r="C53" s="3" t="s">
        <v>23</v>
      </c>
      <c r="D53" s="3" t="s">
        <v>24</v>
      </c>
      <c r="E53" s="3" t="s">
        <v>31</v>
      </c>
      <c r="F53" s="3" t="s">
        <v>25</v>
      </c>
      <c r="G53" s="3" t="s">
        <v>25</v>
      </c>
      <c r="H53" s="3" t="s">
        <v>25</v>
      </c>
      <c r="I53" s="6">
        <v>44409</v>
      </c>
      <c r="J53" s="4">
        <v>0</v>
      </c>
      <c r="K53" s="4">
        <v>0</v>
      </c>
      <c r="L53" s="4">
        <v>17.085999999999999</v>
      </c>
      <c r="M53" s="4">
        <v>17.085999999999999</v>
      </c>
      <c r="N53" s="4">
        <v>17.085999999999999</v>
      </c>
      <c r="O53" s="4">
        <v>17.085999999999999</v>
      </c>
      <c r="P53" s="4">
        <v>262</v>
      </c>
      <c r="Q53" s="3" t="s">
        <v>26</v>
      </c>
      <c r="R53" s="3">
        <v>0</v>
      </c>
      <c r="S53" s="3">
        <v>0</v>
      </c>
      <c r="T53" s="3">
        <v>31</v>
      </c>
      <c r="U53" s="3">
        <v>46</v>
      </c>
      <c r="V53" s="4">
        <f>IF(ISERROR(VLOOKUP($S$53,'TAR FIN'!$A$1:$O$85,15,0)),0,VLOOKUP($S$53,'TAR FIN'!$A$1:$O$85,15,0))</f>
        <v>0</v>
      </c>
      <c r="W53" s="4">
        <f>IF(ISERROR(VLOOKUP($T$53,'TAR FIN'!$A$1:$O$85,15,0)),0,VLOOKUP($T$53,'TAR FIN'!$A$1:$O$85,15,0))</f>
        <v>629.91999999999996</v>
      </c>
      <c r="X53" s="4">
        <f>IF(ISERROR(VLOOKUP($U$53,'TAR FIN'!$A$1:$O$85,15,0)),0,VLOOKUP($U$53,'TAR FIN'!$A$1:$O$85,15,0))</f>
        <v>208.2</v>
      </c>
      <c r="Y53" s="4"/>
      <c r="Z53" s="4">
        <f ca="1">('TUSD BE'!$AM$23+'TUSD BF'!$AM$23+'TUSD CVA'!$AM$23-('TUSD BE'!$P$23+'TUSD BF'!$P$23+'TUSD CVA'!$P$23)-('TUSD BE'!$Q$23+'TUSD BF'!$Q$23+'TUSD CVA'!$Q$23)-('TUSD BE'!$R$23+'TUSD BF'!$R$23+'TUSD CVA'!$R$23))*(1-CUSTOS!$M$36)</f>
        <v>754.01740444444249</v>
      </c>
      <c r="AA53" s="4">
        <f>('TE BE'!$AA$14+'TE BF'!$AA$14+'TE CVA'!$AA$14)*(1-CUSTOS!$M$36)</f>
        <v>234.72282777770056</v>
      </c>
      <c r="AB53" s="4">
        <f t="shared" si="4"/>
        <v>0</v>
      </c>
      <c r="AC53" s="4">
        <f>(L53-M53)*(W53+X53)+($W$63+$X$63-$W$53-$X$53)*(L53)</f>
        <v>1591.048320000001</v>
      </c>
      <c r="AD53" s="4">
        <f t="shared" si="5"/>
        <v>0</v>
      </c>
      <c r="AE53" s="4">
        <f ca="1">(L53-M53)*(Z53+AA53)+($Z$63+$AA$63-$Z$53-$AA$53)*(L53)</f>
        <v>1877.0684008608368</v>
      </c>
      <c r="AF53" s="3" t="s">
        <v>641</v>
      </c>
    </row>
    <row r="54" spans="1:32" ht="11.25" customHeight="1" x14ac:dyDescent="0.25">
      <c r="A54" s="3" t="s">
        <v>28</v>
      </c>
      <c r="B54" s="3" t="s">
        <v>22</v>
      </c>
      <c r="C54" s="3" t="s">
        <v>23</v>
      </c>
      <c r="D54" s="3" t="s">
        <v>24</v>
      </c>
      <c r="E54" s="3" t="s">
        <v>31</v>
      </c>
      <c r="F54" s="3" t="s">
        <v>25</v>
      </c>
      <c r="G54" s="3" t="s">
        <v>25</v>
      </c>
      <c r="H54" s="3" t="s">
        <v>25</v>
      </c>
      <c r="I54" s="6">
        <v>44409</v>
      </c>
      <c r="J54" s="4">
        <v>0</v>
      </c>
      <c r="K54" s="4">
        <v>0</v>
      </c>
      <c r="L54" s="4">
        <v>0.03</v>
      </c>
      <c r="M54" s="4">
        <v>0.03</v>
      </c>
      <c r="N54" s="4">
        <v>0.03</v>
      </c>
      <c r="O54" s="4">
        <v>0.03</v>
      </c>
      <c r="P54" s="4">
        <v>1</v>
      </c>
      <c r="Q54" s="3" t="s">
        <v>26</v>
      </c>
      <c r="R54" s="3">
        <v>0</v>
      </c>
      <c r="S54" s="3">
        <v>0</v>
      </c>
      <c r="T54" s="3">
        <v>31</v>
      </c>
      <c r="U54" s="3">
        <v>46</v>
      </c>
      <c r="V54" s="4">
        <f>IF(ISERROR(VLOOKUP($S$54,'TAR FIN'!$A$1:$O$85,15,0)),0,VLOOKUP($S$54,'TAR FIN'!$A$1:$O$85,15,0))</f>
        <v>0</v>
      </c>
      <c r="W54" s="4">
        <f>IF(ISERROR(VLOOKUP($T$54,'TAR FIN'!$A$1:$O$85,15,0)),0,VLOOKUP($T$54,'TAR FIN'!$A$1:$O$85,15,0))</f>
        <v>629.91999999999996</v>
      </c>
      <c r="X54" s="4">
        <f>IF(ISERROR(VLOOKUP($U$54,'TAR FIN'!$A$1:$O$85,15,0)),0,VLOOKUP($U$54,'TAR FIN'!$A$1:$O$85,15,0))</f>
        <v>208.2</v>
      </c>
      <c r="Y54" s="4"/>
      <c r="Z54" s="4">
        <f ca="1">('TUSD BE'!$AM$23+'TUSD BF'!$AM$23+'TUSD CVA'!$AM$23-('TUSD BE'!$P$23+'TUSD BF'!$P$23+'TUSD CVA'!$P$23)-('TUSD BE'!$Q$23+'TUSD BF'!$Q$23+'TUSD CVA'!$Q$23)-('TUSD BE'!$R$23+'TUSD BF'!$R$23+'TUSD CVA'!$R$23))*(1-CUSTOS!$M$36)</f>
        <v>754.01740444444249</v>
      </c>
      <c r="AA54" s="4">
        <f>('TE BE'!$AA$14+'TE BF'!$AA$14+'TE CVA'!$AA$14)*(1-CUSTOS!$M$36)</f>
        <v>234.72282777770056</v>
      </c>
      <c r="AB54" s="4">
        <f t="shared" si="4"/>
        <v>0</v>
      </c>
      <c r="AC54" s="4">
        <f>(L54-M54)*(W54+X54)+($W$63+$X$63-$W$54-$X$54)*(L54)</f>
        <v>2.7936000000000019</v>
      </c>
      <c r="AD54" s="4">
        <f t="shared" si="5"/>
        <v>0</v>
      </c>
      <c r="AE54" s="4">
        <f ca="1">(L54-M54)*(Z54+AA54)+($Z$63+$AA$63-$Z$54-$AA$54)*(L54)</f>
        <v>3.2958007740738093</v>
      </c>
      <c r="AF54" s="3" t="s">
        <v>641</v>
      </c>
    </row>
    <row r="55" spans="1:32" ht="11.25" customHeight="1" x14ac:dyDescent="0.25">
      <c r="A55" s="3" t="s">
        <v>21</v>
      </c>
      <c r="B55" s="3" t="s">
        <v>22</v>
      </c>
      <c r="C55" s="3" t="s">
        <v>23</v>
      </c>
      <c r="D55" s="3" t="s">
        <v>24</v>
      </c>
      <c r="E55" s="3" t="s">
        <v>31</v>
      </c>
      <c r="F55" s="3" t="s">
        <v>25</v>
      </c>
      <c r="G55" s="3" t="s">
        <v>25</v>
      </c>
      <c r="H55" s="3" t="s">
        <v>25</v>
      </c>
      <c r="I55" s="6">
        <v>44440</v>
      </c>
      <c r="J55" s="4">
        <v>0</v>
      </c>
      <c r="K55" s="4">
        <v>0</v>
      </c>
      <c r="L55" s="4">
        <v>25.048999999999999</v>
      </c>
      <c r="M55" s="4">
        <v>25.048999999999999</v>
      </c>
      <c r="N55" s="4">
        <v>25.048999999999999</v>
      </c>
      <c r="O55" s="4">
        <v>25.048999999999999</v>
      </c>
      <c r="P55" s="4">
        <v>303</v>
      </c>
      <c r="Q55" s="3" t="s">
        <v>26</v>
      </c>
      <c r="R55" s="3">
        <v>0</v>
      </c>
      <c r="S55" s="3">
        <v>0</v>
      </c>
      <c r="T55" s="3">
        <v>31</v>
      </c>
      <c r="U55" s="3">
        <v>46</v>
      </c>
      <c r="V55" s="4">
        <f>IF(ISERROR(VLOOKUP($S$55,'TAR FIN'!$A$1:$O$85,15,0)),0,VLOOKUP($S$55,'TAR FIN'!$A$1:$O$85,15,0))</f>
        <v>0</v>
      </c>
      <c r="W55" s="4">
        <f>IF(ISERROR(VLOOKUP($T$55,'TAR FIN'!$A$1:$O$85,15,0)),0,VLOOKUP($T$55,'TAR FIN'!$A$1:$O$85,15,0))</f>
        <v>629.91999999999996</v>
      </c>
      <c r="X55" s="4">
        <f>IF(ISERROR(VLOOKUP($U$55,'TAR FIN'!$A$1:$O$85,15,0)),0,VLOOKUP($U$55,'TAR FIN'!$A$1:$O$85,15,0))</f>
        <v>208.2</v>
      </c>
      <c r="Y55" s="4"/>
      <c r="Z55" s="4">
        <f ca="1">('TUSD BE'!$AM$23+'TUSD BF'!$AM$23+'TUSD CVA'!$AM$23-('TUSD BE'!$P$23+'TUSD BF'!$P$23+'TUSD CVA'!$P$23)-('TUSD BE'!$Q$23+'TUSD BF'!$Q$23+'TUSD CVA'!$Q$23)-('TUSD BE'!$R$23+'TUSD BF'!$R$23+'TUSD CVA'!$R$23))*(1-CUSTOS!$M$36)</f>
        <v>754.01740444444249</v>
      </c>
      <c r="AA55" s="4">
        <f>('TE BE'!$AA$14+'TE BF'!$AA$14+'TE CVA'!$AA$14)*(1-CUSTOS!$M$36)</f>
        <v>234.72282777770056</v>
      </c>
      <c r="AB55" s="4">
        <f t="shared" si="4"/>
        <v>0</v>
      </c>
      <c r="AC55" s="4">
        <f>(L55-M55)*(W55+X55)+($W$63+$X$63-$W$55-$X$55)*(L55)</f>
        <v>2332.5628800000013</v>
      </c>
      <c r="AD55" s="4">
        <f t="shared" si="5"/>
        <v>0</v>
      </c>
      <c r="AE55" s="4">
        <f ca="1">(L55-M55)*(Z55+AA55)+($Z$63+$AA$63-$Z$55-$AA$55)*(L55)</f>
        <v>2751.8837863258282</v>
      </c>
      <c r="AF55" s="3" t="s">
        <v>641</v>
      </c>
    </row>
    <row r="56" spans="1:32" ht="11.25" customHeight="1" x14ac:dyDescent="0.25">
      <c r="A56" s="3" t="s">
        <v>21</v>
      </c>
      <c r="B56" s="3" t="s">
        <v>22</v>
      </c>
      <c r="C56" s="3" t="s">
        <v>23</v>
      </c>
      <c r="D56" s="3" t="s">
        <v>24</v>
      </c>
      <c r="E56" s="3" t="s">
        <v>31</v>
      </c>
      <c r="F56" s="3" t="s">
        <v>25</v>
      </c>
      <c r="G56" s="3" t="s">
        <v>25</v>
      </c>
      <c r="H56" s="3" t="s">
        <v>25</v>
      </c>
      <c r="I56" s="6">
        <v>44470</v>
      </c>
      <c r="J56" s="4">
        <v>0</v>
      </c>
      <c r="K56" s="4">
        <v>0</v>
      </c>
      <c r="L56" s="4">
        <v>25.533000000000001</v>
      </c>
      <c r="M56" s="4">
        <v>25.533000000000001</v>
      </c>
      <c r="N56" s="4">
        <v>25.533000000000001</v>
      </c>
      <c r="O56" s="4">
        <v>25.533000000000001</v>
      </c>
      <c r="P56" s="4">
        <v>343</v>
      </c>
      <c r="Q56" s="3" t="s">
        <v>26</v>
      </c>
      <c r="R56" s="3">
        <v>0</v>
      </c>
      <c r="S56" s="3">
        <v>0</v>
      </c>
      <c r="T56" s="3">
        <v>31</v>
      </c>
      <c r="U56" s="3">
        <v>46</v>
      </c>
      <c r="V56" s="4">
        <f>IF(ISERROR(VLOOKUP($S$56,'TAR FIN'!$A$1:$O$85,15,0)),0,VLOOKUP($S$56,'TAR FIN'!$A$1:$O$85,15,0))</f>
        <v>0</v>
      </c>
      <c r="W56" s="4">
        <f>IF(ISERROR(VLOOKUP($T$56,'TAR FIN'!$A$1:$O$85,15,0)),0,VLOOKUP($T$56,'TAR FIN'!$A$1:$O$85,15,0))</f>
        <v>629.91999999999996</v>
      </c>
      <c r="X56" s="4">
        <f>IF(ISERROR(VLOOKUP($U$56,'TAR FIN'!$A$1:$O$85,15,0)),0,VLOOKUP($U$56,'TAR FIN'!$A$1:$O$85,15,0))</f>
        <v>208.2</v>
      </c>
      <c r="Y56" s="4"/>
      <c r="Z56" s="4">
        <f ca="1">('TUSD BE'!$AM$23+'TUSD BF'!$AM$23+'TUSD CVA'!$AM$23-('TUSD BE'!$P$23+'TUSD BF'!$P$23+'TUSD CVA'!$P$23)-('TUSD BE'!$Q$23+'TUSD BF'!$Q$23+'TUSD CVA'!$Q$23)-('TUSD BE'!$R$23+'TUSD BF'!$R$23+'TUSD CVA'!$R$23))*(1-CUSTOS!$M$36)</f>
        <v>754.01740444444249</v>
      </c>
      <c r="AA56" s="4">
        <f>('TE BE'!$AA$14+'TE BF'!$AA$14+'TE CVA'!$AA$14)*(1-CUSTOS!$M$36)</f>
        <v>234.72282777770056</v>
      </c>
      <c r="AB56" s="4">
        <f t="shared" si="4"/>
        <v>0</v>
      </c>
      <c r="AC56" s="4">
        <f>(L56-M56)*(W56+X56)+($W$63+$X$63-$W$56-$X$56)*(L56)</f>
        <v>2377.6329600000017</v>
      </c>
      <c r="AD56" s="4">
        <f t="shared" si="5"/>
        <v>0</v>
      </c>
      <c r="AE56" s="4">
        <f ca="1">(L56-M56)*(Z56+AA56)+($Z$63+$AA$63-$Z$56-$AA$56)*(L56)</f>
        <v>2805.0560388142194</v>
      </c>
      <c r="AF56" s="3" t="s">
        <v>641</v>
      </c>
    </row>
    <row r="57" spans="1:32" ht="11.25" customHeight="1" x14ac:dyDescent="0.25">
      <c r="A57" s="3" t="s">
        <v>21</v>
      </c>
      <c r="B57" s="3" t="s">
        <v>22</v>
      </c>
      <c r="C57" s="3" t="s">
        <v>23</v>
      </c>
      <c r="D57" s="3" t="s">
        <v>24</v>
      </c>
      <c r="E57" s="3" t="s">
        <v>31</v>
      </c>
      <c r="F57" s="3" t="s">
        <v>25</v>
      </c>
      <c r="G57" s="3" t="s">
        <v>25</v>
      </c>
      <c r="H57" s="3" t="s">
        <v>25</v>
      </c>
      <c r="I57" s="6">
        <v>44501</v>
      </c>
      <c r="J57" s="4">
        <v>0</v>
      </c>
      <c r="K57" s="4">
        <v>0</v>
      </c>
      <c r="L57" s="4">
        <v>26.920999999999999</v>
      </c>
      <c r="M57" s="4">
        <v>26.920999999999999</v>
      </c>
      <c r="N57" s="4">
        <v>26.920999999999999</v>
      </c>
      <c r="O57" s="4">
        <v>26.920999999999999</v>
      </c>
      <c r="P57" s="4">
        <v>352</v>
      </c>
      <c r="Q57" s="3" t="s">
        <v>26</v>
      </c>
      <c r="R57" s="3">
        <v>0</v>
      </c>
      <c r="S57" s="3">
        <v>0</v>
      </c>
      <c r="T57" s="3">
        <v>31</v>
      </c>
      <c r="U57" s="3">
        <v>46</v>
      </c>
      <c r="V57" s="4">
        <f>IF(ISERROR(VLOOKUP($S$57,'TAR FIN'!$A$1:$O$85,15,0)),0,VLOOKUP($S$57,'TAR FIN'!$A$1:$O$85,15,0))</f>
        <v>0</v>
      </c>
      <c r="W57" s="4">
        <f>IF(ISERROR(VLOOKUP($T$57,'TAR FIN'!$A$1:$O$85,15,0)),0,VLOOKUP($T$57,'TAR FIN'!$A$1:$O$85,15,0))</f>
        <v>629.91999999999996</v>
      </c>
      <c r="X57" s="4">
        <f>IF(ISERROR(VLOOKUP($U$57,'TAR FIN'!$A$1:$O$85,15,0)),0,VLOOKUP($U$57,'TAR FIN'!$A$1:$O$85,15,0))</f>
        <v>208.2</v>
      </c>
      <c r="Y57" s="4"/>
      <c r="Z57" s="4">
        <f ca="1">('TUSD BE'!$AM$23+'TUSD BF'!$AM$23+'TUSD CVA'!$AM$23-('TUSD BE'!$P$23+'TUSD BF'!$P$23+'TUSD CVA'!$P$23)-('TUSD BE'!$Q$23+'TUSD BF'!$Q$23+'TUSD CVA'!$Q$23)-('TUSD BE'!$R$23+'TUSD BF'!$R$23+'TUSD CVA'!$R$23))*(1-CUSTOS!$M$36)</f>
        <v>754.01740444444249</v>
      </c>
      <c r="AA57" s="4">
        <f>('TE BE'!$AA$14+'TE BF'!$AA$14+'TE CVA'!$AA$14)*(1-CUSTOS!$M$36)</f>
        <v>234.72282777770056</v>
      </c>
      <c r="AB57" s="4">
        <f t="shared" si="4"/>
        <v>0</v>
      </c>
      <c r="AC57" s="4">
        <f>(L57-M57)*(W57+X57)+($W$63+$X$63-$W$57-$X$57)*(L57)</f>
        <v>2506.8835200000017</v>
      </c>
      <c r="AD57" s="4">
        <f t="shared" si="5"/>
        <v>0</v>
      </c>
      <c r="AE57" s="4">
        <f ca="1">(L57-M57)*(Z57+AA57)+($Z$63+$AA$63-$Z$57-$AA$57)*(L57)</f>
        <v>2957.5417546280341</v>
      </c>
      <c r="AF57" s="3" t="s">
        <v>641</v>
      </c>
    </row>
    <row r="58" spans="1:32" ht="11.25" customHeight="1" x14ac:dyDescent="0.25">
      <c r="A58" s="3" t="s">
        <v>21</v>
      </c>
      <c r="B58" s="3" t="s">
        <v>22</v>
      </c>
      <c r="C58" s="3" t="s">
        <v>23</v>
      </c>
      <c r="D58" s="3" t="s">
        <v>24</v>
      </c>
      <c r="E58" s="3" t="s">
        <v>31</v>
      </c>
      <c r="F58" s="3" t="s">
        <v>25</v>
      </c>
      <c r="G58" s="3" t="s">
        <v>25</v>
      </c>
      <c r="H58" s="3" t="s">
        <v>25</v>
      </c>
      <c r="I58" s="6">
        <v>44531</v>
      </c>
      <c r="J58" s="4">
        <v>0</v>
      </c>
      <c r="K58" s="4">
        <v>0</v>
      </c>
      <c r="L58" s="4">
        <v>30.305</v>
      </c>
      <c r="M58" s="4">
        <v>30.305</v>
      </c>
      <c r="N58" s="4">
        <v>30.305</v>
      </c>
      <c r="O58" s="4">
        <v>30.305</v>
      </c>
      <c r="P58" s="4">
        <v>388</v>
      </c>
      <c r="Q58" s="3" t="s">
        <v>26</v>
      </c>
      <c r="R58" s="3">
        <v>0</v>
      </c>
      <c r="S58" s="3">
        <v>0</v>
      </c>
      <c r="T58" s="3">
        <v>31</v>
      </c>
      <c r="U58" s="3">
        <v>46</v>
      </c>
      <c r="V58" s="4">
        <f>IF(ISERROR(VLOOKUP($S$58,'TAR FIN'!$A$1:$O$85,15,0)),0,VLOOKUP($S$58,'TAR FIN'!$A$1:$O$85,15,0))</f>
        <v>0</v>
      </c>
      <c r="W58" s="4">
        <f>IF(ISERROR(VLOOKUP($T$58,'TAR FIN'!$A$1:$O$85,15,0)),0,VLOOKUP($T$58,'TAR FIN'!$A$1:$O$85,15,0))</f>
        <v>629.91999999999996</v>
      </c>
      <c r="X58" s="4">
        <f>IF(ISERROR(VLOOKUP($U$58,'TAR FIN'!$A$1:$O$85,15,0)),0,VLOOKUP($U$58,'TAR FIN'!$A$1:$O$85,15,0))</f>
        <v>208.2</v>
      </c>
      <c r="Y58" s="4"/>
      <c r="Z58" s="4">
        <f ca="1">('TUSD BE'!$AM$23+'TUSD BF'!$AM$23+'TUSD CVA'!$AM$23-('TUSD BE'!$P$23+'TUSD BF'!$P$23+'TUSD CVA'!$P$23)-('TUSD BE'!$Q$23+'TUSD BF'!$Q$23+'TUSD CVA'!$Q$23)-('TUSD BE'!$R$23+'TUSD BF'!$R$23+'TUSD CVA'!$R$23))*(1-CUSTOS!$M$36)</f>
        <v>754.01740444444249</v>
      </c>
      <c r="AA58" s="4">
        <f>('TE BE'!$AA$14+'TE BF'!$AA$14+'TE CVA'!$AA$14)*(1-CUSTOS!$M$36)</f>
        <v>234.72282777770056</v>
      </c>
      <c r="AB58" s="4">
        <f t="shared" si="4"/>
        <v>0</v>
      </c>
      <c r="AC58" s="4">
        <f>(L58-M58)*(W58+X58)+($W$63+$X$63-$W$58-$X$58)*(L58)</f>
        <v>2822.0016000000019</v>
      </c>
      <c r="AD58" s="4">
        <f t="shared" si="5"/>
        <v>0</v>
      </c>
      <c r="AE58" s="4">
        <f ca="1">(L58-M58)*(Z58+AA58)+($Z$63+$AA$63-$Z$58-$AA$58)*(L58)</f>
        <v>3329.30808194356</v>
      </c>
      <c r="AF58" s="3" t="s">
        <v>641</v>
      </c>
    </row>
    <row r="59" spans="1:32" ht="11.25" customHeight="1" x14ac:dyDescent="0.25">
      <c r="A59" s="3" t="s">
        <v>21</v>
      </c>
      <c r="B59" s="3" t="s">
        <v>22</v>
      </c>
      <c r="C59" s="3" t="s">
        <v>23</v>
      </c>
      <c r="D59" s="3" t="s">
        <v>24</v>
      </c>
      <c r="E59" s="3" t="s">
        <v>31</v>
      </c>
      <c r="F59" s="3" t="s">
        <v>25</v>
      </c>
      <c r="G59" s="3" t="s">
        <v>25</v>
      </c>
      <c r="H59" s="3" t="s">
        <v>25</v>
      </c>
      <c r="I59" s="6">
        <v>44562</v>
      </c>
      <c r="J59" s="4">
        <v>0</v>
      </c>
      <c r="K59" s="4">
        <v>0</v>
      </c>
      <c r="L59" s="4">
        <v>38.073</v>
      </c>
      <c r="M59" s="4">
        <v>38.073</v>
      </c>
      <c r="N59" s="4">
        <v>38.073</v>
      </c>
      <c r="O59" s="4">
        <v>38.073</v>
      </c>
      <c r="P59" s="4">
        <v>382</v>
      </c>
      <c r="Q59" s="3" t="s">
        <v>26</v>
      </c>
      <c r="R59" s="3">
        <v>0</v>
      </c>
      <c r="S59" s="3">
        <v>0</v>
      </c>
      <c r="T59" s="3">
        <v>31</v>
      </c>
      <c r="U59" s="3">
        <v>46</v>
      </c>
      <c r="V59" s="4">
        <f>IF(ISERROR(VLOOKUP($S$59,'TAR FIN'!$A$1:$O$85,15,0)),0,VLOOKUP($S$59,'TAR FIN'!$A$1:$O$85,15,0))</f>
        <v>0</v>
      </c>
      <c r="W59" s="4">
        <f>IF(ISERROR(VLOOKUP($T$59,'TAR FIN'!$A$1:$O$85,15,0)),0,VLOOKUP($T$59,'TAR FIN'!$A$1:$O$85,15,0))</f>
        <v>629.91999999999996</v>
      </c>
      <c r="X59" s="4">
        <f>IF(ISERROR(VLOOKUP($U$59,'TAR FIN'!$A$1:$O$85,15,0)),0,VLOOKUP($U$59,'TAR FIN'!$A$1:$O$85,15,0))</f>
        <v>208.2</v>
      </c>
      <c r="Y59" s="4"/>
      <c r="Z59" s="4">
        <f ca="1">('TUSD BE'!$AM$23+'TUSD BF'!$AM$23+'TUSD CVA'!$AM$23-('TUSD BE'!$P$23+'TUSD BF'!$P$23+'TUSD CVA'!$P$23)-('TUSD BE'!$Q$23+'TUSD BF'!$Q$23+'TUSD CVA'!$Q$23)-('TUSD BE'!$R$23+'TUSD BF'!$R$23+'TUSD CVA'!$R$23))*(1-CUSTOS!$M$36)</f>
        <v>754.01740444444249</v>
      </c>
      <c r="AA59" s="4">
        <f>('TE BE'!$AA$14+'TE BF'!$AA$14+'TE CVA'!$AA$14)*(1-CUSTOS!$M$36)</f>
        <v>234.72282777770056</v>
      </c>
      <c r="AB59" s="4">
        <f t="shared" si="4"/>
        <v>0</v>
      </c>
      <c r="AC59" s="4">
        <f>(L59-M59)*(W59+X59)+($W$63+$X$63-$W$59-$X$59)*(L59)</f>
        <v>3545.3577600000026</v>
      </c>
      <c r="AD59" s="4">
        <f t="shared" si="5"/>
        <v>0</v>
      </c>
      <c r="AE59" s="4">
        <f ca="1">(L59-M59)*(Z59+AA59)+($Z$63+$AA$63-$Z$59-$AA$59)*(L59)</f>
        <v>4182.7007623770714</v>
      </c>
      <c r="AF59" s="3" t="s">
        <v>641</v>
      </c>
    </row>
    <row r="60" spans="1:32" ht="11.25" customHeight="1" x14ac:dyDescent="0.25">
      <c r="A60" s="3" t="s">
        <v>21</v>
      </c>
      <c r="B60" s="3" t="s">
        <v>22</v>
      </c>
      <c r="C60" s="3" t="s">
        <v>23</v>
      </c>
      <c r="D60" s="3" t="s">
        <v>24</v>
      </c>
      <c r="E60" s="3" t="s">
        <v>31</v>
      </c>
      <c r="F60" s="3" t="s">
        <v>25</v>
      </c>
      <c r="G60" s="3" t="s">
        <v>25</v>
      </c>
      <c r="H60" s="3" t="s">
        <v>25</v>
      </c>
      <c r="I60" s="6">
        <v>44593</v>
      </c>
      <c r="J60" s="4">
        <v>0</v>
      </c>
      <c r="K60" s="4">
        <v>0</v>
      </c>
      <c r="L60" s="4">
        <v>44.082000000000001</v>
      </c>
      <c r="M60" s="4">
        <v>44.082000000000001</v>
      </c>
      <c r="N60" s="4">
        <v>44.082000000000001</v>
      </c>
      <c r="O60" s="4">
        <v>44.082000000000001</v>
      </c>
      <c r="P60" s="4">
        <v>375</v>
      </c>
      <c r="Q60" s="3" t="s">
        <v>26</v>
      </c>
      <c r="R60" s="3">
        <v>0</v>
      </c>
      <c r="S60" s="3">
        <v>0</v>
      </c>
      <c r="T60" s="3">
        <v>31</v>
      </c>
      <c r="U60" s="3">
        <v>46</v>
      </c>
      <c r="V60" s="4">
        <f>IF(ISERROR(VLOOKUP($S$60,'TAR FIN'!$A$1:$O$85,15,0)),0,VLOOKUP($S$60,'TAR FIN'!$A$1:$O$85,15,0))</f>
        <v>0</v>
      </c>
      <c r="W60" s="4">
        <f>IF(ISERROR(VLOOKUP($T$60,'TAR FIN'!$A$1:$O$85,15,0)),0,VLOOKUP($T$60,'TAR FIN'!$A$1:$O$85,15,0))</f>
        <v>629.91999999999996</v>
      </c>
      <c r="X60" s="4">
        <f>IF(ISERROR(VLOOKUP($U$60,'TAR FIN'!$A$1:$O$85,15,0)),0,VLOOKUP($U$60,'TAR FIN'!$A$1:$O$85,15,0))</f>
        <v>208.2</v>
      </c>
      <c r="Y60" s="4"/>
      <c r="Z60" s="4">
        <f ca="1">('TUSD BE'!$AM$23+'TUSD BF'!$AM$23+'TUSD CVA'!$AM$23-('TUSD BE'!$P$23+'TUSD BF'!$P$23+'TUSD CVA'!$P$23)-('TUSD BE'!$Q$23+'TUSD BF'!$Q$23+'TUSD CVA'!$Q$23)-('TUSD BE'!$R$23+'TUSD BF'!$R$23+'TUSD CVA'!$R$23))*(1-CUSTOS!$M$36)</f>
        <v>754.01740444444249</v>
      </c>
      <c r="AA60" s="4">
        <f>('TE BE'!$AA$14+'TE BF'!$AA$14+'TE CVA'!$AA$14)*(1-CUSTOS!$M$36)</f>
        <v>234.72282777770056</v>
      </c>
      <c r="AB60" s="4">
        <f t="shared" si="4"/>
        <v>0</v>
      </c>
      <c r="AC60" s="4">
        <f>(L60-M60)*(W60+X60)+($W$63+$X$63-$W$60-$X$60)*(L60)</f>
        <v>4104.9158400000024</v>
      </c>
      <c r="AD60" s="4">
        <f t="shared" si="5"/>
        <v>0</v>
      </c>
      <c r="AE60" s="4">
        <f ca="1">(L60-M60)*(Z60+AA60)+($Z$63+$AA$63-$Z$60-$AA$60)*(L60)</f>
        <v>4842.8496574240553</v>
      </c>
      <c r="AF60" s="3" t="s">
        <v>641</v>
      </c>
    </row>
    <row r="61" spans="1:32" ht="11.25" customHeight="1" x14ac:dyDescent="0.25">
      <c r="A61" s="3" t="s">
        <v>21</v>
      </c>
      <c r="B61" s="3" t="s">
        <v>22</v>
      </c>
      <c r="C61" s="3" t="s">
        <v>23</v>
      </c>
      <c r="D61" s="3" t="s">
        <v>24</v>
      </c>
      <c r="E61" s="3" t="s">
        <v>31</v>
      </c>
      <c r="F61" s="3" t="s">
        <v>25</v>
      </c>
      <c r="G61" s="3" t="s">
        <v>25</v>
      </c>
      <c r="H61" s="3" t="s">
        <v>25</v>
      </c>
      <c r="I61" s="6">
        <v>44621</v>
      </c>
      <c r="J61" s="4">
        <v>0</v>
      </c>
      <c r="K61" s="4">
        <v>0</v>
      </c>
      <c r="L61" s="4">
        <v>75.691999999999993</v>
      </c>
      <c r="M61" s="4">
        <v>75.691999999999993</v>
      </c>
      <c r="N61" s="4">
        <v>75.691999999999993</v>
      </c>
      <c r="O61" s="4">
        <v>75.691999999999993</v>
      </c>
      <c r="P61" s="4">
        <v>791</v>
      </c>
      <c r="Q61" s="3" t="s">
        <v>26</v>
      </c>
      <c r="R61" s="3">
        <v>0</v>
      </c>
      <c r="S61" s="3">
        <v>0</v>
      </c>
      <c r="T61" s="3">
        <v>31</v>
      </c>
      <c r="U61" s="3">
        <v>46</v>
      </c>
      <c r="V61" s="4">
        <f>IF(ISERROR(VLOOKUP($S$61,'TAR FIN'!$A$1:$O$85,15,0)),0,VLOOKUP($S$61,'TAR FIN'!$A$1:$O$85,15,0))</f>
        <v>0</v>
      </c>
      <c r="W61" s="4">
        <f>IF(ISERROR(VLOOKUP($T$61,'TAR FIN'!$A$1:$O$85,15,0)),0,VLOOKUP($T$61,'TAR FIN'!$A$1:$O$85,15,0))</f>
        <v>629.91999999999996</v>
      </c>
      <c r="X61" s="4">
        <f>IF(ISERROR(VLOOKUP($U$61,'TAR FIN'!$A$1:$O$85,15,0)),0,VLOOKUP($U$61,'TAR FIN'!$A$1:$O$85,15,0))</f>
        <v>208.2</v>
      </c>
      <c r="Y61" s="4"/>
      <c r="Z61" s="4">
        <f ca="1">('TUSD BE'!$AM$23+'TUSD BF'!$AM$23+'TUSD CVA'!$AM$23-('TUSD BE'!$P$23+'TUSD BF'!$P$23+'TUSD CVA'!$P$23)-('TUSD BE'!$Q$23+'TUSD BF'!$Q$23+'TUSD CVA'!$Q$23)-('TUSD BE'!$R$23+'TUSD BF'!$R$23+'TUSD CVA'!$R$23))*(1-CUSTOS!$M$36)</f>
        <v>754.01740444444249</v>
      </c>
      <c r="AA61" s="4">
        <f>('TE BE'!$AA$14+'TE BF'!$AA$14+'TE CVA'!$AA$14)*(1-CUSTOS!$M$36)</f>
        <v>234.72282777770056</v>
      </c>
      <c r="AB61" s="4">
        <f t="shared" si="4"/>
        <v>0</v>
      </c>
      <c r="AC61" s="4">
        <f>(L61-M61)*(W61+X61)+($W$63+$X$63-$W$61-$X$61)*(L61)</f>
        <v>7048.4390400000038</v>
      </c>
      <c r="AD61" s="4">
        <f t="shared" si="5"/>
        <v>0</v>
      </c>
      <c r="AE61" s="4">
        <f ca="1">(L61-M61)*(Z61+AA61)+($Z$63+$AA$63-$Z$61-$AA$61)*(L61)</f>
        <v>8315.5250730398257</v>
      </c>
      <c r="AF61" s="3" t="s">
        <v>641</v>
      </c>
    </row>
    <row r="62" spans="1:32" ht="11.25" customHeight="1" x14ac:dyDescent="0.25">
      <c r="A62" s="3" t="s">
        <v>27</v>
      </c>
      <c r="B62" s="3" t="s">
        <v>22</v>
      </c>
      <c r="C62" s="3" t="s">
        <v>23</v>
      </c>
      <c r="D62" s="3" t="s">
        <v>24</v>
      </c>
      <c r="E62" s="3" t="s">
        <v>31</v>
      </c>
      <c r="F62" s="3" t="s">
        <v>25</v>
      </c>
      <c r="G62" s="3" t="s">
        <v>25</v>
      </c>
      <c r="H62" s="3" t="s">
        <v>25</v>
      </c>
      <c r="I62" s="6">
        <v>44621</v>
      </c>
      <c r="J62" s="4">
        <v>0</v>
      </c>
      <c r="K62" s="4">
        <v>0</v>
      </c>
      <c r="L62" s="4">
        <v>0.115</v>
      </c>
      <c r="M62" s="4">
        <v>0.115</v>
      </c>
      <c r="N62" s="4">
        <v>0.115</v>
      </c>
      <c r="O62" s="4">
        <v>0.115</v>
      </c>
      <c r="P62" s="4">
        <v>0</v>
      </c>
      <c r="Q62" s="3" t="s">
        <v>26</v>
      </c>
      <c r="R62" s="3">
        <v>0</v>
      </c>
      <c r="S62" s="3">
        <v>0</v>
      </c>
      <c r="T62" s="3">
        <v>31</v>
      </c>
      <c r="U62" s="3">
        <v>46</v>
      </c>
      <c r="V62" s="4">
        <f>IF(ISERROR(VLOOKUP($S$62,'TAR FIN'!$A$1:$O$85,15,0)),0,VLOOKUP($S$62,'TAR FIN'!$A$1:$O$85,15,0))</f>
        <v>0</v>
      </c>
      <c r="W62" s="4">
        <f>IF(ISERROR(VLOOKUP($T$62,'TAR FIN'!$A$1:$O$85,15,0)),0,VLOOKUP($T$62,'TAR FIN'!$A$1:$O$85,15,0))</f>
        <v>629.91999999999996</v>
      </c>
      <c r="X62" s="4">
        <f>IF(ISERROR(VLOOKUP($U$62,'TAR FIN'!$A$1:$O$85,15,0)),0,VLOOKUP($U$62,'TAR FIN'!$A$1:$O$85,15,0))</f>
        <v>208.2</v>
      </c>
      <c r="Y62" s="4"/>
      <c r="Z62" s="4">
        <f ca="1">('TUSD BE'!$AM$23+'TUSD BF'!$AM$23+'TUSD CVA'!$AM$23-('TUSD BE'!$P$23+'TUSD BF'!$P$23+'TUSD CVA'!$P$23)-('TUSD BE'!$Q$23+'TUSD BF'!$Q$23+'TUSD CVA'!$Q$23)-('TUSD BE'!$R$23+'TUSD BF'!$R$23+'TUSD CVA'!$R$23))*(1-CUSTOS!$M$36)</f>
        <v>754.01740444444249</v>
      </c>
      <c r="AA62" s="4">
        <f>('TE BE'!$AA$14+'TE BF'!$AA$14+'TE CVA'!$AA$14)*(1-CUSTOS!$M$36)</f>
        <v>234.72282777770056</v>
      </c>
      <c r="AB62" s="4">
        <f t="shared" si="4"/>
        <v>0</v>
      </c>
      <c r="AC62" s="4">
        <f>(L62-M62)*(W62+X62)+($W$63+$X$63-$W$62-$X$62)*(L62)</f>
        <v>10.708800000000007</v>
      </c>
      <c r="AD62" s="4">
        <f t="shared" si="5"/>
        <v>0</v>
      </c>
      <c r="AE62" s="4">
        <f ca="1">(L62-M62)*(Z62+AA62)+($Z$63+$AA$63-$Z$62-$AA$62)*(L62)</f>
        <v>12.633902967282937</v>
      </c>
      <c r="AF62" s="3" t="s">
        <v>641</v>
      </c>
    </row>
    <row r="63" spans="1:32" ht="11.25" customHeight="1" x14ac:dyDescent="0.25">
      <c r="A63" s="3" t="s">
        <v>21</v>
      </c>
      <c r="B63" s="3" t="s">
        <v>22</v>
      </c>
      <c r="C63" s="3" t="s">
        <v>23</v>
      </c>
      <c r="D63" s="3" t="s">
        <v>24</v>
      </c>
      <c r="E63" s="3" t="s">
        <v>32</v>
      </c>
      <c r="F63" s="3" t="s">
        <v>25</v>
      </c>
      <c r="G63" s="3" t="s">
        <v>25</v>
      </c>
      <c r="H63" s="3" t="s">
        <v>25</v>
      </c>
      <c r="I63" s="6">
        <v>44287</v>
      </c>
      <c r="J63" s="4">
        <v>0</v>
      </c>
      <c r="K63" s="4">
        <v>0</v>
      </c>
      <c r="L63" s="4">
        <v>7.2460000000000004</v>
      </c>
      <c r="M63" s="4">
        <v>7.2460000000000004</v>
      </c>
      <c r="N63" s="4">
        <v>7.2460000000000004</v>
      </c>
      <c r="O63" s="4">
        <v>7.2460000000000004</v>
      </c>
      <c r="P63" s="4">
        <v>95</v>
      </c>
      <c r="Q63" s="3" t="s">
        <v>26</v>
      </c>
      <c r="R63" s="3">
        <v>0</v>
      </c>
      <c r="S63" s="3">
        <v>0</v>
      </c>
      <c r="T63" s="3">
        <v>32</v>
      </c>
      <c r="U63" s="3">
        <v>47</v>
      </c>
      <c r="V63" s="4">
        <f>IF(ISERROR(VLOOKUP($S$63,'TAR FIN'!$A$1:$O$85,15,0)),0,VLOOKUP($S$63,'TAR FIN'!$A$1:$O$85,15,0))</f>
        <v>0</v>
      </c>
      <c r="W63" s="4">
        <f>IF(ISERROR(VLOOKUP($T$63,'TAR FIN'!$A$1:$O$85,15,0)),0,VLOOKUP($T$63,'TAR FIN'!$A$1:$O$85,15,0))</f>
        <v>699.91</v>
      </c>
      <c r="X63" s="4">
        <f>IF(ISERROR(VLOOKUP($U$63,'TAR FIN'!$A$1:$O$85,15,0)),0,VLOOKUP($U$63,'TAR FIN'!$A$1:$O$85,15,0))</f>
        <v>231.33</v>
      </c>
      <c r="Y63" s="4"/>
      <c r="Z63" s="4">
        <f ca="1">('TUSD BE'!$AM$24+'TUSD BF'!$AM$24+'TUSD CVA'!$AM$24-('TUSD BE'!$P$24+'TUSD BF'!$P$24+'TUSD CVA'!$P$24)-('TUSD BE'!$Q$24+'TUSD BF'!$Q$24+'TUSD CVA'!$Q$24)-('TUSD BE'!$R$24+'TUSD BF'!$R$24+'TUSD CVA'!$R$24))*(1-CUSTOS!$M$37)</f>
        <v>837.79711604938052</v>
      </c>
      <c r="AA63" s="4">
        <f>('TE BE'!$AA$15+'TE BF'!$AA$15+'TE CVA'!$AA$15)*(1-CUSTOS!$M$37)</f>
        <v>260.80314197522284</v>
      </c>
      <c r="AB63" s="4">
        <f t="shared" si="4"/>
        <v>0</v>
      </c>
      <c r="AC63" s="4">
        <f>(L63-M63)*(W63+X63)+($W$63+$X$63-$W$63-$X$63)*(L63)</f>
        <v>2.0594370653270745E-13</v>
      </c>
      <c r="AD63" s="4">
        <f t="shared" si="5"/>
        <v>0</v>
      </c>
      <c r="AE63" s="4">
        <f ca="1">(L63-M63)*(Z63+AA63)+($Z$63+$AA$63-$Z$63-$AA$63)*(L63)</f>
        <v>0</v>
      </c>
      <c r="AF63" s="3" t="s">
        <v>641</v>
      </c>
    </row>
    <row r="64" spans="1:32" ht="11.25" customHeight="1" x14ac:dyDescent="0.25">
      <c r="A64" s="3" t="s">
        <v>21</v>
      </c>
      <c r="B64" s="3" t="s">
        <v>22</v>
      </c>
      <c r="C64" s="3" t="s">
        <v>23</v>
      </c>
      <c r="D64" s="3" t="s">
        <v>24</v>
      </c>
      <c r="E64" s="3" t="s">
        <v>32</v>
      </c>
      <c r="F64" s="3" t="s">
        <v>25</v>
      </c>
      <c r="G64" s="3" t="s">
        <v>25</v>
      </c>
      <c r="H64" s="3" t="s">
        <v>25</v>
      </c>
      <c r="I64" s="6">
        <v>44317</v>
      </c>
      <c r="J64" s="4">
        <v>0</v>
      </c>
      <c r="K64" s="4">
        <v>0</v>
      </c>
      <c r="L64" s="4">
        <v>3.1480000000000001</v>
      </c>
      <c r="M64" s="4">
        <v>3.1480000000000001</v>
      </c>
      <c r="N64" s="4">
        <v>3.1480000000000001</v>
      </c>
      <c r="O64" s="4">
        <v>3.1480000000000001</v>
      </c>
      <c r="P64" s="4">
        <v>52</v>
      </c>
      <c r="Q64" s="3" t="s">
        <v>26</v>
      </c>
      <c r="R64" s="3">
        <v>0</v>
      </c>
      <c r="S64" s="3">
        <v>0</v>
      </c>
      <c r="T64" s="3">
        <v>32</v>
      </c>
      <c r="U64" s="3">
        <v>47</v>
      </c>
      <c r="V64" s="4">
        <f>IF(ISERROR(VLOOKUP($S$64,'TAR FIN'!$A$1:$O$85,15,0)),0,VLOOKUP($S$64,'TAR FIN'!$A$1:$O$85,15,0))</f>
        <v>0</v>
      </c>
      <c r="W64" s="4">
        <f>IF(ISERROR(VLOOKUP($T$64,'TAR FIN'!$A$1:$O$85,15,0)),0,VLOOKUP($T$64,'TAR FIN'!$A$1:$O$85,15,0))</f>
        <v>699.91</v>
      </c>
      <c r="X64" s="4">
        <f>IF(ISERROR(VLOOKUP($U$64,'TAR FIN'!$A$1:$O$85,15,0)),0,VLOOKUP($U$64,'TAR FIN'!$A$1:$O$85,15,0))</f>
        <v>231.33</v>
      </c>
      <c r="Y64" s="4"/>
      <c r="Z64" s="4">
        <f ca="1">('TUSD BE'!$AM$24+'TUSD BF'!$AM$24+'TUSD CVA'!$AM$24-('TUSD BE'!$P$24+'TUSD BF'!$P$24+'TUSD CVA'!$P$24)-('TUSD BE'!$Q$24+'TUSD BF'!$Q$24+'TUSD CVA'!$Q$24)-('TUSD BE'!$R$24+'TUSD BF'!$R$24+'TUSD CVA'!$R$24))*(1-CUSTOS!$M$37)</f>
        <v>837.79711604938052</v>
      </c>
      <c r="AA64" s="4">
        <f>('TE BE'!$AA$15+'TE BF'!$AA$15+'TE CVA'!$AA$15)*(1-CUSTOS!$M$37)</f>
        <v>260.80314197522284</v>
      </c>
      <c r="AB64" s="4">
        <f t="shared" si="4"/>
        <v>0</v>
      </c>
      <c r="AC64" s="4">
        <f>(L64-M64)*(W64+X64)+($W$63+$X$63-$W$64-$X$64)*(L64)</f>
        <v>8.9471541286911819E-14</v>
      </c>
      <c r="AD64" s="4">
        <f t="shared" si="5"/>
        <v>0</v>
      </c>
      <c r="AE64" s="4">
        <f ca="1">(L64-M64)*(Z64+AA64)+($Z$63+$AA$63-$Z$64-$AA$64)*(L64)</f>
        <v>0</v>
      </c>
      <c r="AF64" s="3" t="s">
        <v>641</v>
      </c>
    </row>
    <row r="65" spans="1:32" ht="11.25" customHeight="1" x14ac:dyDescent="0.25">
      <c r="A65" s="3" t="s">
        <v>27</v>
      </c>
      <c r="B65" s="3" t="s">
        <v>22</v>
      </c>
      <c r="C65" s="3" t="s">
        <v>23</v>
      </c>
      <c r="D65" s="3" t="s">
        <v>24</v>
      </c>
      <c r="E65" s="3" t="s">
        <v>32</v>
      </c>
      <c r="F65" s="3" t="s">
        <v>25</v>
      </c>
      <c r="G65" s="3" t="s">
        <v>25</v>
      </c>
      <c r="H65" s="3" t="s">
        <v>25</v>
      </c>
      <c r="I65" s="6">
        <v>44317</v>
      </c>
      <c r="J65" s="4">
        <v>0</v>
      </c>
      <c r="K65" s="4">
        <v>0</v>
      </c>
      <c r="L65" s="4">
        <v>0.379</v>
      </c>
      <c r="M65" s="4">
        <v>0.379</v>
      </c>
      <c r="N65" s="4">
        <v>0.379</v>
      </c>
      <c r="O65" s="4">
        <v>0.379</v>
      </c>
      <c r="P65" s="4">
        <v>0</v>
      </c>
      <c r="Q65" s="3" t="s">
        <v>26</v>
      </c>
      <c r="R65" s="3">
        <v>0</v>
      </c>
      <c r="S65" s="3">
        <v>0</v>
      </c>
      <c r="T65" s="3">
        <v>32</v>
      </c>
      <c r="U65" s="3">
        <v>47</v>
      </c>
      <c r="V65" s="4">
        <f>IF(ISERROR(VLOOKUP($S$65,'TAR FIN'!$A$1:$O$85,15,0)),0,VLOOKUP($S$65,'TAR FIN'!$A$1:$O$85,15,0))</f>
        <v>0</v>
      </c>
      <c r="W65" s="4">
        <f>IF(ISERROR(VLOOKUP($T$65,'TAR FIN'!$A$1:$O$85,15,0)),0,VLOOKUP($T$65,'TAR FIN'!$A$1:$O$85,15,0))</f>
        <v>699.91</v>
      </c>
      <c r="X65" s="4">
        <f>IF(ISERROR(VLOOKUP($U$65,'TAR FIN'!$A$1:$O$85,15,0)),0,VLOOKUP($U$65,'TAR FIN'!$A$1:$O$85,15,0))</f>
        <v>231.33</v>
      </c>
      <c r="Y65" s="4"/>
      <c r="Z65" s="4">
        <f ca="1">('TUSD BE'!$AM$24+'TUSD BF'!$AM$24+'TUSD CVA'!$AM$24-('TUSD BE'!$P$24+'TUSD BF'!$P$24+'TUSD CVA'!$P$24)-('TUSD BE'!$Q$24+'TUSD BF'!$Q$24+'TUSD CVA'!$Q$24)-('TUSD BE'!$R$24+'TUSD BF'!$R$24+'TUSD CVA'!$R$24))*(1-CUSTOS!$M$37)</f>
        <v>837.79711604938052</v>
      </c>
      <c r="AA65" s="4">
        <f>('TE BE'!$AA$15+'TE BF'!$AA$15+'TE CVA'!$AA$15)*(1-CUSTOS!$M$37)</f>
        <v>260.80314197522284</v>
      </c>
      <c r="AB65" s="4">
        <f t="shared" si="4"/>
        <v>0</v>
      </c>
      <c r="AC65" s="4">
        <f>(L65-M65)*(W65+X65)+($W$63+$X$63-$W$65-$X$65)*(L65)</f>
        <v>1.0771827874123119E-14</v>
      </c>
      <c r="AD65" s="4">
        <f t="shared" si="5"/>
        <v>0</v>
      </c>
      <c r="AE65" s="4">
        <f ca="1">(L65-M65)*(Z65+AA65)+($Z$63+$AA$63-$Z$65-$AA$65)*(L65)</f>
        <v>0</v>
      </c>
      <c r="AF65" s="3" t="s">
        <v>641</v>
      </c>
    </row>
    <row r="66" spans="1:32" ht="11.25" customHeight="1" x14ac:dyDescent="0.25">
      <c r="A66" s="3" t="s">
        <v>21</v>
      </c>
      <c r="B66" s="3" t="s">
        <v>22</v>
      </c>
      <c r="C66" s="3" t="s">
        <v>23</v>
      </c>
      <c r="D66" s="3" t="s">
        <v>24</v>
      </c>
      <c r="E66" s="3" t="s">
        <v>32</v>
      </c>
      <c r="F66" s="3" t="s">
        <v>25</v>
      </c>
      <c r="G66" s="3" t="s">
        <v>25</v>
      </c>
      <c r="H66" s="3" t="s">
        <v>25</v>
      </c>
      <c r="I66" s="6">
        <v>44348</v>
      </c>
      <c r="J66" s="4">
        <v>0</v>
      </c>
      <c r="K66" s="4">
        <v>0</v>
      </c>
      <c r="L66" s="4">
        <v>3.1019999999999999</v>
      </c>
      <c r="M66" s="4">
        <v>3.1019999999999999</v>
      </c>
      <c r="N66" s="4">
        <v>3.1019999999999999</v>
      </c>
      <c r="O66" s="4">
        <v>3.1019999999999999</v>
      </c>
      <c r="P66" s="4">
        <v>59</v>
      </c>
      <c r="Q66" s="3" t="s">
        <v>26</v>
      </c>
      <c r="R66" s="3">
        <v>0</v>
      </c>
      <c r="S66" s="3">
        <v>0</v>
      </c>
      <c r="T66" s="3">
        <v>32</v>
      </c>
      <c r="U66" s="3">
        <v>47</v>
      </c>
      <c r="V66" s="4">
        <f>IF(ISERROR(VLOOKUP($S$66,'TAR FIN'!$A$1:$O$85,15,0)),0,VLOOKUP($S$66,'TAR FIN'!$A$1:$O$85,15,0))</f>
        <v>0</v>
      </c>
      <c r="W66" s="4">
        <f>IF(ISERROR(VLOOKUP($T$66,'TAR FIN'!$A$1:$O$85,15,0)),0,VLOOKUP($T$66,'TAR FIN'!$A$1:$O$85,15,0))</f>
        <v>699.91</v>
      </c>
      <c r="X66" s="4">
        <f>IF(ISERROR(VLOOKUP($U$66,'TAR FIN'!$A$1:$O$85,15,0)),0,VLOOKUP($U$66,'TAR FIN'!$A$1:$O$85,15,0))</f>
        <v>231.33</v>
      </c>
      <c r="Y66" s="4"/>
      <c r="Z66" s="4">
        <f ca="1">('TUSD BE'!$AM$24+'TUSD BF'!$AM$24+'TUSD CVA'!$AM$24-('TUSD BE'!$P$24+'TUSD BF'!$P$24+'TUSD CVA'!$P$24)-('TUSD BE'!$Q$24+'TUSD BF'!$Q$24+'TUSD CVA'!$Q$24)-('TUSD BE'!$R$24+'TUSD BF'!$R$24+'TUSD CVA'!$R$24))*(1-CUSTOS!$M$37)</f>
        <v>837.79711604938052</v>
      </c>
      <c r="AA66" s="4">
        <f>('TE BE'!$AA$15+'TE BF'!$AA$15+'TE CVA'!$AA$15)*(1-CUSTOS!$M$37)</f>
        <v>260.80314197522284</v>
      </c>
      <c r="AB66" s="4">
        <f t="shared" ref="AB66:AB97" si="6">(J66-K66)*V66</f>
        <v>0</v>
      </c>
      <c r="AC66" s="4">
        <f>(L66-M66)*(W66+X66)+($W$63+$X$63-$W$66-$X$66)*(L66)</f>
        <v>8.8164142653113227E-14</v>
      </c>
      <c r="AD66" s="4">
        <f t="shared" ref="AD66:AD97" si="7">(J66-K66)*Y66</f>
        <v>0</v>
      </c>
      <c r="AE66" s="4">
        <f ca="1">(L66-M66)*(Z66+AA66)+($Z$63+$AA$63-$Z$66-$AA$66)*(L66)</f>
        <v>0</v>
      </c>
      <c r="AF66" s="3" t="s">
        <v>641</v>
      </c>
    </row>
    <row r="67" spans="1:32" ht="11.25" customHeight="1" x14ac:dyDescent="0.25">
      <c r="A67" s="3" t="s">
        <v>27</v>
      </c>
      <c r="B67" s="3" t="s">
        <v>22</v>
      </c>
      <c r="C67" s="3" t="s">
        <v>23</v>
      </c>
      <c r="D67" s="3" t="s">
        <v>24</v>
      </c>
      <c r="E67" s="3" t="s">
        <v>32</v>
      </c>
      <c r="F67" s="3" t="s">
        <v>25</v>
      </c>
      <c r="G67" s="3" t="s">
        <v>25</v>
      </c>
      <c r="H67" s="3" t="s">
        <v>25</v>
      </c>
      <c r="I67" s="6">
        <v>44348</v>
      </c>
      <c r="J67" s="4">
        <v>0</v>
      </c>
      <c r="K67" s="4">
        <v>0</v>
      </c>
      <c r="L67" s="4">
        <v>0.26600000000000001</v>
      </c>
      <c r="M67" s="4">
        <v>0.26600000000000001</v>
      </c>
      <c r="N67" s="4">
        <v>0.26600000000000001</v>
      </c>
      <c r="O67" s="4">
        <v>0.26600000000000001</v>
      </c>
      <c r="P67" s="4">
        <v>0</v>
      </c>
      <c r="Q67" s="3" t="s">
        <v>26</v>
      </c>
      <c r="R67" s="3">
        <v>0</v>
      </c>
      <c r="S67" s="3">
        <v>0</v>
      </c>
      <c r="T67" s="3">
        <v>32</v>
      </c>
      <c r="U67" s="3">
        <v>47</v>
      </c>
      <c r="V67" s="4">
        <f>IF(ISERROR(VLOOKUP($S$67,'TAR FIN'!$A$1:$O$85,15,0)),0,VLOOKUP($S$67,'TAR FIN'!$A$1:$O$85,15,0))</f>
        <v>0</v>
      </c>
      <c r="W67" s="4">
        <f>IF(ISERROR(VLOOKUP($T$67,'TAR FIN'!$A$1:$O$85,15,0)),0,VLOOKUP($T$67,'TAR FIN'!$A$1:$O$85,15,0))</f>
        <v>699.91</v>
      </c>
      <c r="X67" s="4">
        <f>IF(ISERROR(VLOOKUP($U$67,'TAR FIN'!$A$1:$O$85,15,0)),0,VLOOKUP($U$67,'TAR FIN'!$A$1:$O$85,15,0))</f>
        <v>231.33</v>
      </c>
      <c r="Y67" s="4"/>
      <c r="Z67" s="4">
        <f ca="1">('TUSD BE'!$AM$24+'TUSD BF'!$AM$24+'TUSD CVA'!$AM$24-('TUSD BE'!$P$24+'TUSD BF'!$P$24+'TUSD CVA'!$P$24)-('TUSD BE'!$Q$24+'TUSD BF'!$Q$24+'TUSD CVA'!$Q$24)-('TUSD BE'!$R$24+'TUSD BF'!$R$24+'TUSD CVA'!$R$24))*(1-CUSTOS!$M$37)</f>
        <v>837.79711604938052</v>
      </c>
      <c r="AA67" s="4">
        <f>('TE BE'!$AA$15+'TE BF'!$AA$15+'TE CVA'!$AA$15)*(1-CUSTOS!$M$37)</f>
        <v>260.80314197522284</v>
      </c>
      <c r="AB67" s="4">
        <f t="shared" si="6"/>
        <v>0</v>
      </c>
      <c r="AC67" s="4">
        <f>(L67-M67)*(W67+X67)+($W$63+$X$63-$W$67-$X$67)*(L67)</f>
        <v>7.5601747084874664E-15</v>
      </c>
      <c r="AD67" s="4">
        <f t="shared" si="7"/>
        <v>0</v>
      </c>
      <c r="AE67" s="4">
        <f ca="1">(L67-M67)*(Z67+AA67)+($Z$63+$AA$63-$Z$67-$AA$67)*(L67)</f>
        <v>0</v>
      </c>
      <c r="AF67" s="3" t="s">
        <v>641</v>
      </c>
    </row>
    <row r="68" spans="1:32" ht="11.25" customHeight="1" x14ac:dyDescent="0.25">
      <c r="A68" s="3" t="s">
        <v>21</v>
      </c>
      <c r="B68" s="3" t="s">
        <v>22</v>
      </c>
      <c r="C68" s="3" t="s">
        <v>23</v>
      </c>
      <c r="D68" s="3" t="s">
        <v>24</v>
      </c>
      <c r="E68" s="3" t="s">
        <v>32</v>
      </c>
      <c r="F68" s="3" t="s">
        <v>25</v>
      </c>
      <c r="G68" s="3" t="s">
        <v>25</v>
      </c>
      <c r="H68" s="3" t="s">
        <v>25</v>
      </c>
      <c r="I68" s="6">
        <v>44378</v>
      </c>
      <c r="J68" s="4">
        <v>0</v>
      </c>
      <c r="K68" s="4">
        <v>0</v>
      </c>
      <c r="L68" s="4">
        <v>2.0070000000000001</v>
      </c>
      <c r="M68" s="4">
        <v>2.0070000000000001</v>
      </c>
      <c r="N68" s="4">
        <v>2.0070000000000001</v>
      </c>
      <c r="O68" s="4">
        <v>2.0070000000000001</v>
      </c>
      <c r="P68" s="4">
        <v>40</v>
      </c>
      <c r="Q68" s="3" t="s">
        <v>26</v>
      </c>
      <c r="R68" s="3">
        <v>0</v>
      </c>
      <c r="S68" s="3">
        <v>0</v>
      </c>
      <c r="T68" s="3">
        <v>32</v>
      </c>
      <c r="U68" s="3">
        <v>47</v>
      </c>
      <c r="V68" s="4">
        <f>IF(ISERROR(VLOOKUP($S$68,'TAR FIN'!$A$1:$O$85,15,0)),0,VLOOKUP($S$68,'TAR FIN'!$A$1:$O$85,15,0))</f>
        <v>0</v>
      </c>
      <c r="W68" s="4">
        <f>IF(ISERROR(VLOOKUP($T$68,'TAR FIN'!$A$1:$O$85,15,0)),0,VLOOKUP($T$68,'TAR FIN'!$A$1:$O$85,15,0))</f>
        <v>699.91</v>
      </c>
      <c r="X68" s="4">
        <f>IF(ISERROR(VLOOKUP($U$68,'TAR FIN'!$A$1:$O$85,15,0)),0,VLOOKUP($U$68,'TAR FIN'!$A$1:$O$85,15,0))</f>
        <v>231.33</v>
      </c>
      <c r="Y68" s="4"/>
      <c r="Z68" s="4">
        <f ca="1">('TUSD BE'!$AM$24+'TUSD BF'!$AM$24+'TUSD CVA'!$AM$24-('TUSD BE'!$P$24+'TUSD BF'!$P$24+'TUSD CVA'!$P$24)-('TUSD BE'!$Q$24+'TUSD BF'!$Q$24+'TUSD CVA'!$Q$24)-('TUSD BE'!$R$24+'TUSD BF'!$R$24+'TUSD CVA'!$R$24))*(1-CUSTOS!$M$37)</f>
        <v>837.79711604938052</v>
      </c>
      <c r="AA68" s="4">
        <f>('TE BE'!$AA$15+'TE BF'!$AA$15+'TE CVA'!$AA$15)*(1-CUSTOS!$M$37)</f>
        <v>260.80314197522284</v>
      </c>
      <c r="AB68" s="4">
        <f t="shared" si="6"/>
        <v>0</v>
      </c>
      <c r="AC68" s="4">
        <f>(L68-M68)*(W68+X68)+($W$63+$X$63-$W$68-$X$68)*(L68)</f>
        <v>5.7042370826820846E-14</v>
      </c>
      <c r="AD68" s="4">
        <f t="shared" si="7"/>
        <v>0</v>
      </c>
      <c r="AE68" s="4">
        <f ca="1">(L68-M68)*(Z68+AA68)+($Z$63+$AA$63-$Z$68-$AA$68)*(L68)</f>
        <v>0</v>
      </c>
      <c r="AF68" s="3" t="s">
        <v>641</v>
      </c>
    </row>
    <row r="69" spans="1:32" ht="11.25" customHeight="1" x14ac:dyDescent="0.25">
      <c r="A69" s="3" t="s">
        <v>21</v>
      </c>
      <c r="B69" s="3" t="s">
        <v>22</v>
      </c>
      <c r="C69" s="3" t="s">
        <v>23</v>
      </c>
      <c r="D69" s="3" t="s">
        <v>24</v>
      </c>
      <c r="E69" s="3" t="s">
        <v>32</v>
      </c>
      <c r="F69" s="3" t="s">
        <v>25</v>
      </c>
      <c r="G69" s="3" t="s">
        <v>25</v>
      </c>
      <c r="H69" s="3" t="s">
        <v>25</v>
      </c>
      <c r="I69" s="6">
        <v>44409</v>
      </c>
      <c r="J69" s="4">
        <v>0</v>
      </c>
      <c r="K69" s="4">
        <v>0</v>
      </c>
      <c r="L69" s="4">
        <v>1.996</v>
      </c>
      <c r="M69" s="4">
        <v>1.996</v>
      </c>
      <c r="N69" s="4">
        <v>1.996</v>
      </c>
      <c r="O69" s="4">
        <v>1.996</v>
      </c>
      <c r="P69" s="4">
        <v>44</v>
      </c>
      <c r="Q69" s="3" t="s">
        <v>26</v>
      </c>
      <c r="R69" s="3">
        <v>0</v>
      </c>
      <c r="S69" s="3">
        <v>0</v>
      </c>
      <c r="T69" s="3">
        <v>32</v>
      </c>
      <c r="U69" s="3">
        <v>47</v>
      </c>
      <c r="V69" s="4">
        <f>IF(ISERROR(VLOOKUP($S$69,'TAR FIN'!$A$1:$O$85,15,0)),0,VLOOKUP($S$69,'TAR FIN'!$A$1:$O$85,15,0))</f>
        <v>0</v>
      </c>
      <c r="W69" s="4">
        <f>IF(ISERROR(VLOOKUP($T$69,'TAR FIN'!$A$1:$O$85,15,0)),0,VLOOKUP($T$69,'TAR FIN'!$A$1:$O$85,15,0))</f>
        <v>699.91</v>
      </c>
      <c r="X69" s="4">
        <f>IF(ISERROR(VLOOKUP($U$69,'TAR FIN'!$A$1:$O$85,15,0)),0,VLOOKUP($U$69,'TAR FIN'!$A$1:$O$85,15,0))</f>
        <v>231.33</v>
      </c>
      <c r="Y69" s="4"/>
      <c r="Z69" s="4">
        <f ca="1">('TUSD BE'!$AM$24+'TUSD BF'!$AM$24+'TUSD CVA'!$AM$24-('TUSD BE'!$P$24+'TUSD BF'!$P$24+'TUSD CVA'!$P$24)-('TUSD BE'!$Q$24+'TUSD BF'!$Q$24+'TUSD CVA'!$Q$24)-('TUSD BE'!$R$24+'TUSD BF'!$R$24+'TUSD CVA'!$R$24))*(1-CUSTOS!$M$37)</f>
        <v>837.79711604938052</v>
      </c>
      <c r="AA69" s="4">
        <f>('TE BE'!$AA$15+'TE BF'!$AA$15+'TE CVA'!$AA$15)*(1-CUSTOS!$M$37)</f>
        <v>260.80314197522284</v>
      </c>
      <c r="AB69" s="4">
        <f t="shared" si="6"/>
        <v>0</v>
      </c>
      <c r="AC69" s="4">
        <f>(L69-M69)*(W69+X69)+($W$63+$X$63-$W$69-$X$69)*(L69)</f>
        <v>5.6729732023086399E-14</v>
      </c>
      <c r="AD69" s="4">
        <f t="shared" si="7"/>
        <v>0</v>
      </c>
      <c r="AE69" s="4">
        <f ca="1">(L69-M69)*(Z69+AA69)+($Z$63+$AA$63-$Z$69-$AA$69)*(L69)</f>
        <v>0</v>
      </c>
      <c r="AF69" s="3" t="s">
        <v>641</v>
      </c>
    </row>
    <row r="70" spans="1:32" ht="11.25" customHeight="1" x14ac:dyDescent="0.25">
      <c r="A70" s="3" t="s">
        <v>21</v>
      </c>
      <c r="B70" s="3" t="s">
        <v>22</v>
      </c>
      <c r="C70" s="3" t="s">
        <v>23</v>
      </c>
      <c r="D70" s="3" t="s">
        <v>24</v>
      </c>
      <c r="E70" s="3" t="s">
        <v>32</v>
      </c>
      <c r="F70" s="3" t="s">
        <v>25</v>
      </c>
      <c r="G70" s="3" t="s">
        <v>25</v>
      </c>
      <c r="H70" s="3" t="s">
        <v>25</v>
      </c>
      <c r="I70" s="6">
        <v>44440</v>
      </c>
      <c r="J70" s="4">
        <v>0</v>
      </c>
      <c r="K70" s="4">
        <v>0</v>
      </c>
      <c r="L70" s="4">
        <v>4.6749999999999998</v>
      </c>
      <c r="M70" s="4">
        <v>4.6749999999999998</v>
      </c>
      <c r="N70" s="4">
        <v>4.6749999999999998</v>
      </c>
      <c r="O70" s="4">
        <v>4.6749999999999998</v>
      </c>
      <c r="P70" s="4">
        <v>84</v>
      </c>
      <c r="Q70" s="3" t="s">
        <v>26</v>
      </c>
      <c r="R70" s="3">
        <v>0</v>
      </c>
      <c r="S70" s="3">
        <v>0</v>
      </c>
      <c r="T70" s="3">
        <v>32</v>
      </c>
      <c r="U70" s="3">
        <v>47</v>
      </c>
      <c r="V70" s="4">
        <f>IF(ISERROR(VLOOKUP($S$70,'TAR FIN'!$A$1:$O$85,15,0)),0,VLOOKUP($S$70,'TAR FIN'!$A$1:$O$85,15,0))</f>
        <v>0</v>
      </c>
      <c r="W70" s="4">
        <f>IF(ISERROR(VLOOKUP($T$70,'TAR FIN'!$A$1:$O$85,15,0)),0,VLOOKUP($T$70,'TAR FIN'!$A$1:$O$85,15,0))</f>
        <v>699.91</v>
      </c>
      <c r="X70" s="4">
        <f>IF(ISERROR(VLOOKUP($U$70,'TAR FIN'!$A$1:$O$85,15,0)),0,VLOOKUP($U$70,'TAR FIN'!$A$1:$O$85,15,0))</f>
        <v>231.33</v>
      </c>
      <c r="Y70" s="4"/>
      <c r="Z70" s="4">
        <f ca="1">('TUSD BE'!$AM$24+'TUSD BF'!$AM$24+'TUSD CVA'!$AM$24-('TUSD BE'!$P$24+'TUSD BF'!$P$24+'TUSD CVA'!$P$24)-('TUSD BE'!$Q$24+'TUSD BF'!$Q$24+'TUSD CVA'!$Q$24)-('TUSD BE'!$R$24+'TUSD BF'!$R$24+'TUSD CVA'!$R$24))*(1-CUSTOS!$M$37)</f>
        <v>837.79711604938052</v>
      </c>
      <c r="AA70" s="4">
        <f>('TE BE'!$AA$15+'TE BF'!$AA$15+'TE CVA'!$AA$15)*(1-CUSTOS!$M$37)</f>
        <v>260.80314197522284</v>
      </c>
      <c r="AB70" s="4">
        <f t="shared" si="6"/>
        <v>0</v>
      </c>
      <c r="AC70" s="4">
        <f>(L70-M70)*(W70+X70)+($W$63+$X$63-$W$70-$X$70)*(L70)</f>
        <v>1.3287149158713873E-13</v>
      </c>
      <c r="AD70" s="4">
        <f t="shared" si="7"/>
        <v>0</v>
      </c>
      <c r="AE70" s="4">
        <f ca="1">(L70-M70)*(Z70+AA70)+($Z$63+$AA$63-$Z$70-$AA$70)*(L70)</f>
        <v>0</v>
      </c>
      <c r="AF70" s="3" t="s">
        <v>641</v>
      </c>
    </row>
    <row r="71" spans="1:32" ht="11.25" customHeight="1" x14ac:dyDescent="0.25">
      <c r="A71" s="3" t="s">
        <v>21</v>
      </c>
      <c r="B71" s="3" t="s">
        <v>22</v>
      </c>
      <c r="C71" s="3" t="s">
        <v>23</v>
      </c>
      <c r="D71" s="3" t="s">
        <v>24</v>
      </c>
      <c r="E71" s="3" t="s">
        <v>32</v>
      </c>
      <c r="F71" s="3" t="s">
        <v>25</v>
      </c>
      <c r="G71" s="3" t="s">
        <v>25</v>
      </c>
      <c r="H71" s="3" t="s">
        <v>25</v>
      </c>
      <c r="I71" s="6">
        <v>44470</v>
      </c>
      <c r="J71" s="4">
        <v>0</v>
      </c>
      <c r="K71" s="4">
        <v>0</v>
      </c>
      <c r="L71" s="4">
        <v>4.0620000000000003</v>
      </c>
      <c r="M71" s="4">
        <v>4.0620000000000003</v>
      </c>
      <c r="N71" s="4">
        <v>4.0620000000000003</v>
      </c>
      <c r="O71" s="4">
        <v>4.0620000000000003</v>
      </c>
      <c r="P71" s="4">
        <v>71</v>
      </c>
      <c r="Q71" s="3" t="s">
        <v>26</v>
      </c>
      <c r="R71" s="3">
        <v>0</v>
      </c>
      <c r="S71" s="3">
        <v>0</v>
      </c>
      <c r="T71" s="3">
        <v>32</v>
      </c>
      <c r="U71" s="3">
        <v>47</v>
      </c>
      <c r="V71" s="4">
        <f>IF(ISERROR(VLOOKUP($S$71,'TAR FIN'!$A$1:$O$85,15,0)),0,VLOOKUP($S$71,'TAR FIN'!$A$1:$O$85,15,0))</f>
        <v>0</v>
      </c>
      <c r="W71" s="4">
        <f>IF(ISERROR(VLOOKUP($T$71,'TAR FIN'!$A$1:$O$85,15,0)),0,VLOOKUP($T$71,'TAR FIN'!$A$1:$O$85,15,0))</f>
        <v>699.91</v>
      </c>
      <c r="X71" s="4">
        <f>IF(ISERROR(VLOOKUP($U$71,'TAR FIN'!$A$1:$O$85,15,0)),0,VLOOKUP($U$71,'TAR FIN'!$A$1:$O$85,15,0))</f>
        <v>231.33</v>
      </c>
      <c r="Y71" s="4"/>
      <c r="Z71" s="4">
        <f ca="1">('TUSD BE'!$AM$24+'TUSD BF'!$AM$24+'TUSD CVA'!$AM$24-('TUSD BE'!$P$24+'TUSD BF'!$P$24+'TUSD CVA'!$P$24)-('TUSD BE'!$Q$24+'TUSD BF'!$Q$24+'TUSD CVA'!$Q$24)-('TUSD BE'!$R$24+'TUSD BF'!$R$24+'TUSD CVA'!$R$24))*(1-CUSTOS!$M$37)</f>
        <v>837.79711604938052</v>
      </c>
      <c r="AA71" s="4">
        <f>('TE BE'!$AA$15+'TE BF'!$AA$15+'TE CVA'!$AA$15)*(1-CUSTOS!$M$37)</f>
        <v>260.80314197522284</v>
      </c>
      <c r="AB71" s="4">
        <f t="shared" si="6"/>
        <v>0</v>
      </c>
      <c r="AC71" s="4">
        <f>(L71-M71)*(W71+X71)+($W$63+$X$63-$W$71-$X$71)*(L71)</f>
        <v>1.1544898370630109E-13</v>
      </c>
      <c r="AD71" s="4">
        <f t="shared" si="7"/>
        <v>0</v>
      </c>
      <c r="AE71" s="4">
        <f ca="1">(L71-M71)*(Z71+AA71)+($Z$63+$AA$63-$Z$71-$AA$71)*(L71)</f>
        <v>0</v>
      </c>
      <c r="AF71" s="3" t="s">
        <v>641</v>
      </c>
    </row>
    <row r="72" spans="1:32" ht="11.25" customHeight="1" x14ac:dyDescent="0.25">
      <c r="A72" s="3" t="s">
        <v>21</v>
      </c>
      <c r="B72" s="3" t="s">
        <v>22</v>
      </c>
      <c r="C72" s="3" t="s">
        <v>23</v>
      </c>
      <c r="D72" s="3" t="s">
        <v>24</v>
      </c>
      <c r="E72" s="3" t="s">
        <v>32</v>
      </c>
      <c r="F72" s="3" t="s">
        <v>25</v>
      </c>
      <c r="G72" s="3" t="s">
        <v>25</v>
      </c>
      <c r="H72" s="3" t="s">
        <v>25</v>
      </c>
      <c r="I72" s="6">
        <v>44501</v>
      </c>
      <c r="J72" s="4">
        <v>0</v>
      </c>
      <c r="K72" s="4">
        <v>0</v>
      </c>
      <c r="L72" s="4">
        <v>4.5039999999999996</v>
      </c>
      <c r="M72" s="4">
        <v>4.5039999999999996</v>
      </c>
      <c r="N72" s="4">
        <v>4.5039999999999996</v>
      </c>
      <c r="O72" s="4">
        <v>4.5039999999999996</v>
      </c>
      <c r="P72" s="4">
        <v>81</v>
      </c>
      <c r="Q72" s="3" t="s">
        <v>26</v>
      </c>
      <c r="R72" s="3">
        <v>0</v>
      </c>
      <c r="S72" s="3">
        <v>0</v>
      </c>
      <c r="T72" s="3">
        <v>32</v>
      </c>
      <c r="U72" s="3">
        <v>47</v>
      </c>
      <c r="V72" s="4">
        <f>IF(ISERROR(VLOOKUP($S$72,'TAR FIN'!$A$1:$O$85,15,0)),0,VLOOKUP($S$72,'TAR FIN'!$A$1:$O$85,15,0))</f>
        <v>0</v>
      </c>
      <c r="W72" s="4">
        <f>IF(ISERROR(VLOOKUP($T$72,'TAR FIN'!$A$1:$O$85,15,0)),0,VLOOKUP($T$72,'TAR FIN'!$A$1:$O$85,15,0))</f>
        <v>699.91</v>
      </c>
      <c r="X72" s="4">
        <f>IF(ISERROR(VLOOKUP($U$72,'TAR FIN'!$A$1:$O$85,15,0)),0,VLOOKUP($U$72,'TAR FIN'!$A$1:$O$85,15,0))</f>
        <v>231.33</v>
      </c>
      <c r="Y72" s="4"/>
      <c r="Z72" s="4">
        <f ca="1">('TUSD BE'!$AM$24+'TUSD BF'!$AM$24+'TUSD CVA'!$AM$24-('TUSD BE'!$P$24+'TUSD BF'!$P$24+'TUSD CVA'!$P$24)-('TUSD BE'!$Q$24+'TUSD BF'!$Q$24+'TUSD CVA'!$Q$24)-('TUSD BE'!$R$24+'TUSD BF'!$R$24+'TUSD CVA'!$R$24))*(1-CUSTOS!$M$37)</f>
        <v>837.79711604938052</v>
      </c>
      <c r="AA72" s="4">
        <f>('TE BE'!$AA$15+'TE BF'!$AA$15+'TE CVA'!$AA$15)*(1-CUSTOS!$M$37)</f>
        <v>260.80314197522284</v>
      </c>
      <c r="AB72" s="4">
        <f t="shared" si="6"/>
        <v>0</v>
      </c>
      <c r="AC72" s="4">
        <f>(L72-M72)*(W72+X72)+($W$63+$X$63-$W$72-$X$72)*(L72)</f>
        <v>1.2801137927453964E-13</v>
      </c>
      <c r="AD72" s="4">
        <f t="shared" si="7"/>
        <v>0</v>
      </c>
      <c r="AE72" s="4">
        <f ca="1">(L72-M72)*(Z72+AA72)+($Z$63+$AA$63-$Z$72-$AA$72)*(L72)</f>
        <v>0</v>
      </c>
      <c r="AF72" s="3" t="s">
        <v>641</v>
      </c>
    </row>
    <row r="73" spans="1:32" ht="11.25" customHeight="1" x14ac:dyDescent="0.25">
      <c r="A73" s="3" t="s">
        <v>21</v>
      </c>
      <c r="B73" s="3" t="s">
        <v>22</v>
      </c>
      <c r="C73" s="3" t="s">
        <v>23</v>
      </c>
      <c r="D73" s="3" t="s">
        <v>24</v>
      </c>
      <c r="E73" s="3" t="s">
        <v>32</v>
      </c>
      <c r="F73" s="3" t="s">
        <v>25</v>
      </c>
      <c r="G73" s="3" t="s">
        <v>25</v>
      </c>
      <c r="H73" s="3" t="s">
        <v>25</v>
      </c>
      <c r="I73" s="6">
        <v>44531</v>
      </c>
      <c r="J73" s="4">
        <v>0</v>
      </c>
      <c r="K73" s="4">
        <v>0</v>
      </c>
      <c r="L73" s="4">
        <v>5.1580000000000004</v>
      </c>
      <c r="M73" s="4">
        <v>5.1580000000000004</v>
      </c>
      <c r="N73" s="4">
        <v>5.1580000000000004</v>
      </c>
      <c r="O73" s="4">
        <v>5.1580000000000004</v>
      </c>
      <c r="P73" s="4">
        <v>91</v>
      </c>
      <c r="Q73" s="3" t="s">
        <v>26</v>
      </c>
      <c r="R73" s="3">
        <v>0</v>
      </c>
      <c r="S73" s="3">
        <v>0</v>
      </c>
      <c r="T73" s="3">
        <v>32</v>
      </c>
      <c r="U73" s="3">
        <v>47</v>
      </c>
      <c r="V73" s="4">
        <f>IF(ISERROR(VLOOKUP($S$73,'TAR FIN'!$A$1:$O$85,15,0)),0,VLOOKUP($S$73,'TAR FIN'!$A$1:$O$85,15,0))</f>
        <v>0</v>
      </c>
      <c r="W73" s="4">
        <f>IF(ISERROR(VLOOKUP($T$73,'TAR FIN'!$A$1:$O$85,15,0)),0,VLOOKUP($T$73,'TAR FIN'!$A$1:$O$85,15,0))</f>
        <v>699.91</v>
      </c>
      <c r="X73" s="4">
        <f>IF(ISERROR(VLOOKUP($U$73,'TAR FIN'!$A$1:$O$85,15,0)),0,VLOOKUP($U$73,'TAR FIN'!$A$1:$O$85,15,0))</f>
        <v>231.33</v>
      </c>
      <c r="Y73" s="4"/>
      <c r="Z73" s="4">
        <f ca="1">('TUSD BE'!$AM$24+'TUSD BF'!$AM$24+'TUSD CVA'!$AM$24-('TUSD BE'!$P$24+'TUSD BF'!$P$24+'TUSD CVA'!$P$24)-('TUSD BE'!$Q$24+'TUSD BF'!$Q$24+'TUSD CVA'!$Q$24)-('TUSD BE'!$R$24+'TUSD BF'!$R$24+'TUSD CVA'!$R$24))*(1-CUSTOS!$M$37)</f>
        <v>837.79711604938052</v>
      </c>
      <c r="AA73" s="4">
        <f>('TE BE'!$AA$15+'TE BF'!$AA$15+'TE CVA'!$AA$15)*(1-CUSTOS!$M$37)</f>
        <v>260.80314197522284</v>
      </c>
      <c r="AB73" s="4">
        <f t="shared" si="6"/>
        <v>0</v>
      </c>
      <c r="AC73" s="4">
        <f>(L73-M73)*(W73+X73)+($W$63+$X$63-$W$73-$X$73)*(L73)</f>
        <v>1.4659917724202388E-13</v>
      </c>
      <c r="AD73" s="4">
        <f t="shared" si="7"/>
        <v>0</v>
      </c>
      <c r="AE73" s="4">
        <f ca="1">(L73-M73)*(Z73+AA73)+($Z$63+$AA$63-$Z$73-$AA$73)*(L73)</f>
        <v>0</v>
      </c>
      <c r="AF73" s="3" t="s">
        <v>641</v>
      </c>
    </row>
    <row r="74" spans="1:32" ht="11.25" customHeight="1" x14ac:dyDescent="0.25">
      <c r="A74" s="3" t="s">
        <v>21</v>
      </c>
      <c r="B74" s="3" t="s">
        <v>22</v>
      </c>
      <c r="C74" s="3" t="s">
        <v>23</v>
      </c>
      <c r="D74" s="3" t="s">
        <v>24</v>
      </c>
      <c r="E74" s="3" t="s">
        <v>32</v>
      </c>
      <c r="F74" s="3" t="s">
        <v>25</v>
      </c>
      <c r="G74" s="3" t="s">
        <v>25</v>
      </c>
      <c r="H74" s="3" t="s">
        <v>25</v>
      </c>
      <c r="I74" s="6">
        <v>44562</v>
      </c>
      <c r="J74" s="4">
        <v>0</v>
      </c>
      <c r="K74" s="4">
        <v>0</v>
      </c>
      <c r="L74" s="4">
        <v>9.8369999999999997</v>
      </c>
      <c r="M74" s="4">
        <v>9.8369999999999997</v>
      </c>
      <c r="N74" s="4">
        <v>9.8369999999999997</v>
      </c>
      <c r="O74" s="4">
        <v>9.8369999999999997</v>
      </c>
      <c r="P74" s="4">
        <v>141</v>
      </c>
      <c r="Q74" s="3" t="s">
        <v>26</v>
      </c>
      <c r="R74" s="3">
        <v>0</v>
      </c>
      <c r="S74" s="3">
        <v>0</v>
      </c>
      <c r="T74" s="3">
        <v>32</v>
      </c>
      <c r="U74" s="3">
        <v>47</v>
      </c>
      <c r="V74" s="4">
        <f>IF(ISERROR(VLOOKUP($S$74,'TAR FIN'!$A$1:$O$85,15,0)),0,VLOOKUP($S$74,'TAR FIN'!$A$1:$O$85,15,0))</f>
        <v>0</v>
      </c>
      <c r="W74" s="4">
        <f>IF(ISERROR(VLOOKUP($T$74,'TAR FIN'!$A$1:$O$85,15,0)),0,VLOOKUP($T$74,'TAR FIN'!$A$1:$O$85,15,0))</f>
        <v>699.91</v>
      </c>
      <c r="X74" s="4">
        <f>IF(ISERROR(VLOOKUP($U$74,'TAR FIN'!$A$1:$O$85,15,0)),0,VLOOKUP($U$74,'TAR FIN'!$A$1:$O$85,15,0))</f>
        <v>231.33</v>
      </c>
      <c r="Y74" s="4"/>
      <c r="Z74" s="4">
        <f ca="1">('TUSD BE'!$AM$24+'TUSD BF'!$AM$24+'TUSD CVA'!$AM$24-('TUSD BE'!$P$24+'TUSD BF'!$P$24+'TUSD CVA'!$P$24)-('TUSD BE'!$Q$24+'TUSD BF'!$Q$24+'TUSD CVA'!$Q$24)-('TUSD BE'!$R$24+'TUSD BF'!$R$24+'TUSD CVA'!$R$24))*(1-CUSTOS!$M$37)</f>
        <v>837.79711604938052</v>
      </c>
      <c r="AA74" s="4">
        <f>('TE BE'!$AA$15+'TE BF'!$AA$15+'TE CVA'!$AA$15)*(1-CUSTOS!$M$37)</f>
        <v>260.80314197522284</v>
      </c>
      <c r="AB74" s="4">
        <f t="shared" si="6"/>
        <v>0</v>
      </c>
      <c r="AC74" s="4">
        <f>(L74-M74)*(W74+X74)+($W$63+$X$63-$W$74-$X$74)*(L74)</f>
        <v>2.7958435566688421E-13</v>
      </c>
      <c r="AD74" s="4">
        <f t="shared" si="7"/>
        <v>0</v>
      </c>
      <c r="AE74" s="4">
        <f ca="1">(L74-M74)*(Z74+AA74)+($Z$63+$AA$63-$Z$74-$AA$74)*(L74)</f>
        <v>0</v>
      </c>
      <c r="AF74" s="3" t="s">
        <v>641</v>
      </c>
    </row>
    <row r="75" spans="1:32" ht="11.25" customHeight="1" x14ac:dyDescent="0.25">
      <c r="A75" s="3" t="s">
        <v>21</v>
      </c>
      <c r="B75" s="3" t="s">
        <v>22</v>
      </c>
      <c r="C75" s="3" t="s">
        <v>23</v>
      </c>
      <c r="D75" s="3" t="s">
        <v>24</v>
      </c>
      <c r="E75" s="3" t="s">
        <v>32</v>
      </c>
      <c r="F75" s="3" t="s">
        <v>25</v>
      </c>
      <c r="G75" s="3" t="s">
        <v>25</v>
      </c>
      <c r="H75" s="3" t="s">
        <v>25</v>
      </c>
      <c r="I75" s="6">
        <v>44593</v>
      </c>
      <c r="J75" s="4">
        <v>0</v>
      </c>
      <c r="K75" s="4">
        <v>0</v>
      </c>
      <c r="L75" s="4">
        <v>14.343999999999999</v>
      </c>
      <c r="M75" s="4">
        <v>14.343999999999999</v>
      </c>
      <c r="N75" s="4">
        <v>14.343999999999999</v>
      </c>
      <c r="O75" s="4">
        <v>14.343999999999999</v>
      </c>
      <c r="P75" s="4">
        <v>186</v>
      </c>
      <c r="Q75" s="3" t="s">
        <v>26</v>
      </c>
      <c r="R75" s="3">
        <v>0</v>
      </c>
      <c r="S75" s="3">
        <v>0</v>
      </c>
      <c r="T75" s="3">
        <v>32</v>
      </c>
      <c r="U75" s="3">
        <v>47</v>
      </c>
      <c r="V75" s="4">
        <f>IF(ISERROR(VLOOKUP($S$75,'TAR FIN'!$A$1:$O$85,15,0)),0,VLOOKUP($S$75,'TAR FIN'!$A$1:$O$85,15,0))</f>
        <v>0</v>
      </c>
      <c r="W75" s="4">
        <f>IF(ISERROR(VLOOKUP($T$75,'TAR FIN'!$A$1:$O$85,15,0)),0,VLOOKUP($T$75,'TAR FIN'!$A$1:$O$85,15,0))</f>
        <v>699.91</v>
      </c>
      <c r="X75" s="4">
        <f>IF(ISERROR(VLOOKUP($U$75,'TAR FIN'!$A$1:$O$85,15,0)),0,VLOOKUP($U$75,'TAR FIN'!$A$1:$O$85,15,0))</f>
        <v>231.33</v>
      </c>
      <c r="Y75" s="4"/>
      <c r="Z75" s="4">
        <f ca="1">('TUSD BE'!$AM$24+'TUSD BF'!$AM$24+'TUSD CVA'!$AM$24-('TUSD BE'!$P$24+'TUSD BF'!$P$24+'TUSD CVA'!$P$24)-('TUSD BE'!$Q$24+'TUSD BF'!$Q$24+'TUSD CVA'!$Q$24)-('TUSD BE'!$R$24+'TUSD BF'!$R$24+'TUSD CVA'!$R$24))*(1-CUSTOS!$M$37)</f>
        <v>837.79711604938052</v>
      </c>
      <c r="AA75" s="4">
        <f>('TE BE'!$AA$15+'TE BF'!$AA$15+'TE CVA'!$AA$15)*(1-CUSTOS!$M$37)</f>
        <v>260.80314197522284</v>
      </c>
      <c r="AB75" s="4">
        <f t="shared" si="6"/>
        <v>0</v>
      </c>
      <c r="AC75" s="4">
        <f>(L75-M75)*(W75+X75)+($W$63+$X$63-$W$75-$X$75)*(L75)</f>
        <v>4.0768100006971507E-13</v>
      </c>
      <c r="AD75" s="4">
        <f t="shared" si="7"/>
        <v>0</v>
      </c>
      <c r="AE75" s="4">
        <f ca="1">(L75-M75)*(Z75+AA75)+($Z$63+$AA$63-$Z$75-$AA$75)*(L75)</f>
        <v>0</v>
      </c>
      <c r="AF75" s="3" t="s">
        <v>641</v>
      </c>
    </row>
    <row r="76" spans="1:32" ht="11.25" customHeight="1" x14ac:dyDescent="0.25">
      <c r="A76" s="3" t="s">
        <v>21</v>
      </c>
      <c r="B76" s="3" t="s">
        <v>22</v>
      </c>
      <c r="C76" s="3" t="s">
        <v>23</v>
      </c>
      <c r="D76" s="3" t="s">
        <v>24</v>
      </c>
      <c r="E76" s="3" t="s">
        <v>32</v>
      </c>
      <c r="F76" s="3" t="s">
        <v>25</v>
      </c>
      <c r="G76" s="3" t="s">
        <v>25</v>
      </c>
      <c r="H76" s="3" t="s">
        <v>25</v>
      </c>
      <c r="I76" s="6">
        <v>44621</v>
      </c>
      <c r="J76" s="4">
        <v>0</v>
      </c>
      <c r="K76" s="4">
        <v>0</v>
      </c>
      <c r="L76" s="4">
        <v>21.021999999999998</v>
      </c>
      <c r="M76" s="4">
        <v>21.021999999999998</v>
      </c>
      <c r="N76" s="4">
        <v>21.021999999999998</v>
      </c>
      <c r="O76" s="4">
        <v>21.021999999999998</v>
      </c>
      <c r="P76" s="4">
        <v>271</v>
      </c>
      <c r="Q76" s="3" t="s">
        <v>26</v>
      </c>
      <c r="R76" s="3">
        <v>0</v>
      </c>
      <c r="S76" s="3">
        <v>0</v>
      </c>
      <c r="T76" s="3">
        <v>32</v>
      </c>
      <c r="U76" s="3">
        <v>47</v>
      </c>
      <c r="V76" s="4">
        <f>IF(ISERROR(VLOOKUP($S$76,'TAR FIN'!$A$1:$O$85,15,0)),0,VLOOKUP($S$76,'TAR FIN'!$A$1:$O$85,15,0))</f>
        <v>0</v>
      </c>
      <c r="W76" s="4">
        <f>IF(ISERROR(VLOOKUP($T$76,'TAR FIN'!$A$1:$O$85,15,0)),0,VLOOKUP($T$76,'TAR FIN'!$A$1:$O$85,15,0))</f>
        <v>699.91</v>
      </c>
      <c r="X76" s="4">
        <f>IF(ISERROR(VLOOKUP($U$76,'TAR FIN'!$A$1:$O$85,15,0)),0,VLOOKUP($U$76,'TAR FIN'!$A$1:$O$85,15,0))</f>
        <v>231.33</v>
      </c>
      <c r="Y76" s="4"/>
      <c r="Z76" s="4">
        <f ca="1">('TUSD BE'!$AM$24+'TUSD BF'!$AM$24+'TUSD CVA'!$AM$24-('TUSD BE'!$P$24+'TUSD BF'!$P$24+'TUSD CVA'!$P$24)-('TUSD BE'!$Q$24+'TUSD BF'!$Q$24+'TUSD CVA'!$Q$24)-('TUSD BE'!$R$24+'TUSD BF'!$R$24+'TUSD CVA'!$R$24))*(1-CUSTOS!$M$37)</f>
        <v>837.79711604938052</v>
      </c>
      <c r="AA76" s="4">
        <f>('TE BE'!$AA$15+'TE BF'!$AA$15+'TE CVA'!$AA$15)*(1-CUSTOS!$M$37)</f>
        <v>260.80314197522284</v>
      </c>
      <c r="AB76" s="4">
        <f t="shared" si="6"/>
        <v>0</v>
      </c>
      <c r="AC76" s="4">
        <f>(L76-M76)*(W76+X76)+($W$63+$X$63-$W$76-$X$76)*(L76)</f>
        <v>5.97481175645953E-13</v>
      </c>
      <c r="AD76" s="4">
        <f t="shared" si="7"/>
        <v>0</v>
      </c>
      <c r="AE76" s="4">
        <f ca="1">(L76-M76)*(Z76+AA76)+($Z$63+$AA$63-$Z$76-$AA$76)*(L76)</f>
        <v>0</v>
      </c>
      <c r="AF76" s="3" t="s">
        <v>641</v>
      </c>
    </row>
    <row r="77" spans="1:32" ht="11.25" customHeight="1" x14ac:dyDescent="0.25">
      <c r="A77" s="3" t="s">
        <v>21</v>
      </c>
      <c r="B77" s="3" t="s">
        <v>43</v>
      </c>
      <c r="C77" s="3" t="s">
        <v>23</v>
      </c>
      <c r="D77" s="3" t="s">
        <v>44</v>
      </c>
      <c r="E77" s="3" t="s">
        <v>52</v>
      </c>
      <c r="F77" s="3" t="s">
        <v>53</v>
      </c>
      <c r="G77" s="3" t="s">
        <v>25</v>
      </c>
      <c r="H77" s="3" t="s">
        <v>25</v>
      </c>
      <c r="I77" s="6">
        <v>44287</v>
      </c>
      <c r="J77" s="4">
        <v>0</v>
      </c>
      <c r="K77" s="4">
        <v>0</v>
      </c>
      <c r="L77" s="4">
        <v>5.9669999999999996</v>
      </c>
      <c r="M77" s="4">
        <v>5.9669999999999996</v>
      </c>
      <c r="N77" s="4">
        <v>5.9669999999999996</v>
      </c>
      <c r="O77" s="4">
        <v>5.9669999999999996</v>
      </c>
      <c r="P77" s="4">
        <v>0</v>
      </c>
      <c r="Q77" s="3" t="s">
        <v>26</v>
      </c>
      <c r="R77" s="3">
        <v>0</v>
      </c>
      <c r="S77" s="3">
        <v>0</v>
      </c>
      <c r="T77" s="3">
        <v>9</v>
      </c>
      <c r="U77" s="3">
        <v>56</v>
      </c>
      <c r="V77" s="4">
        <f>IF(ISERROR(VLOOKUP($S$77,'TAR FIN'!$A$1:$O$85,15,0)),0,VLOOKUP($S$77,'TAR FIN'!$A$1:$O$85,15,0))</f>
        <v>0</v>
      </c>
      <c r="W77" s="4">
        <f>IF(ISERROR(VLOOKUP($T$77,'TAR FIN'!$A$1:$O$85,15,0)),0,VLOOKUP($T$77,'TAR FIN'!$A$1:$O$85,15,0))</f>
        <v>697.32</v>
      </c>
      <c r="X77" s="4">
        <f>IF(ISERROR(VLOOKUP($U$77,'TAR FIN'!$A$1:$O$85,15,0)),0,VLOOKUP($U$77,'TAR FIN'!$A$1:$O$85,15,0))</f>
        <v>203.57</v>
      </c>
      <c r="Y77" s="4"/>
      <c r="Z77" s="4">
        <f ca="1">('TUSD BE'!$AM$33+'TUSD BF'!$AM$33+'TUSD CVA'!$AM$33)*(1-CUSTOS!$M$38)</f>
        <v>911.35112319392283</v>
      </c>
      <c r="AA77" s="4">
        <f>('TE BE'!$AA$24+'TE BF'!$AA$24+'TE CVA'!$AA$24)*(1-CUSTOS!$M$38)</f>
        <v>245.15495345670945</v>
      </c>
      <c r="AB77" s="4">
        <f t="shared" si="6"/>
        <v>0</v>
      </c>
      <c r="AC77" s="4">
        <f>(L77-M77)*(W77+X77)+($W$2+$X$2-$W$77-$X$77)*(L77)</f>
        <v>733.04594999999972</v>
      </c>
      <c r="AD77" s="4">
        <f t="shared" si="7"/>
        <v>0</v>
      </c>
      <c r="AE77" s="4">
        <f ca="1">(L77-M77)*(Z77+AA77)+($Z$2+$AA$2-$Z$77-$AA$77)*(L77)</f>
        <v>440.48117613027625</v>
      </c>
      <c r="AF77" s="3" t="s">
        <v>642</v>
      </c>
    </row>
    <row r="78" spans="1:32" ht="11.25" customHeight="1" x14ac:dyDescent="0.25">
      <c r="A78" s="3" t="s">
        <v>28</v>
      </c>
      <c r="B78" s="3" t="s">
        <v>43</v>
      </c>
      <c r="C78" s="3" t="s">
        <v>23</v>
      </c>
      <c r="D78" s="3" t="s">
        <v>44</v>
      </c>
      <c r="E78" s="3" t="s">
        <v>52</v>
      </c>
      <c r="F78" s="3" t="s">
        <v>53</v>
      </c>
      <c r="G78" s="3" t="s">
        <v>25</v>
      </c>
      <c r="H78" s="3" t="s">
        <v>25</v>
      </c>
      <c r="I78" s="6">
        <v>44317</v>
      </c>
      <c r="J78" s="4">
        <v>0</v>
      </c>
      <c r="K78" s="4">
        <v>0</v>
      </c>
      <c r="L78" s="4">
        <v>0.1</v>
      </c>
      <c r="M78" s="4">
        <v>0.1</v>
      </c>
      <c r="N78" s="4">
        <v>0.1</v>
      </c>
      <c r="O78" s="4">
        <v>0.1</v>
      </c>
      <c r="P78" s="4">
        <v>0</v>
      </c>
      <c r="Q78" s="3" t="s">
        <v>26</v>
      </c>
      <c r="R78" s="3">
        <v>0</v>
      </c>
      <c r="S78" s="3">
        <v>0</v>
      </c>
      <c r="T78" s="3">
        <v>9</v>
      </c>
      <c r="U78" s="3">
        <v>56</v>
      </c>
      <c r="V78" s="4">
        <f>IF(ISERROR(VLOOKUP($S$78,'TAR FIN'!$A$1:$O$85,15,0)),0,VLOOKUP($S$78,'TAR FIN'!$A$1:$O$85,15,0))</f>
        <v>0</v>
      </c>
      <c r="W78" s="4">
        <f>IF(ISERROR(VLOOKUP($T$78,'TAR FIN'!$A$1:$O$85,15,0)),0,VLOOKUP($T$78,'TAR FIN'!$A$1:$O$85,15,0))</f>
        <v>697.32</v>
      </c>
      <c r="X78" s="4">
        <f>IF(ISERROR(VLOOKUP($U$78,'TAR FIN'!$A$1:$O$85,15,0)),0,VLOOKUP($U$78,'TAR FIN'!$A$1:$O$85,15,0))</f>
        <v>203.57</v>
      </c>
      <c r="Y78" s="4"/>
      <c r="Z78" s="4">
        <f ca="1">('TUSD BE'!$AM$33+'TUSD BF'!$AM$33+'TUSD CVA'!$AM$33)*(1-CUSTOS!$M$38)</f>
        <v>911.35112319392283</v>
      </c>
      <c r="AA78" s="4">
        <f>('TE BE'!$AA$24+'TE BF'!$AA$24+'TE CVA'!$AA$24)*(1-CUSTOS!$M$38)</f>
        <v>245.15495345670945</v>
      </c>
      <c r="AB78" s="4">
        <f t="shared" si="6"/>
        <v>0</v>
      </c>
      <c r="AC78" s="4">
        <f>(L78-M78)*(W78+X78)+($W$2+$X$2-$W$78-$X$78)*(L78)</f>
        <v>12.284999999999997</v>
      </c>
      <c r="AD78" s="4">
        <f t="shared" si="7"/>
        <v>0</v>
      </c>
      <c r="AE78" s="4">
        <f ca="1">(L78-M78)*(Z78+AA78)+($Z$2+$AA$2-$Z$78-$AA$78)*(L78)</f>
        <v>7.3819536807487225</v>
      </c>
      <c r="AF78" s="3" t="s">
        <v>642</v>
      </c>
    </row>
    <row r="79" spans="1:32" ht="11.25" customHeight="1" x14ac:dyDescent="0.25">
      <c r="A79" s="3" t="s">
        <v>28</v>
      </c>
      <c r="B79" s="3" t="s">
        <v>43</v>
      </c>
      <c r="C79" s="3" t="s">
        <v>23</v>
      </c>
      <c r="D79" s="3" t="s">
        <v>44</v>
      </c>
      <c r="E79" s="3" t="s">
        <v>52</v>
      </c>
      <c r="F79" s="3" t="s">
        <v>53</v>
      </c>
      <c r="G79" s="3" t="s">
        <v>25</v>
      </c>
      <c r="H79" s="3" t="s">
        <v>25</v>
      </c>
      <c r="I79" s="6">
        <v>44348</v>
      </c>
      <c r="J79" s="4">
        <v>0</v>
      </c>
      <c r="K79" s="4">
        <v>0</v>
      </c>
      <c r="L79" s="4">
        <v>1.641</v>
      </c>
      <c r="M79" s="4">
        <v>1.641</v>
      </c>
      <c r="N79" s="4">
        <v>1.641</v>
      </c>
      <c r="O79" s="4">
        <v>1.641</v>
      </c>
      <c r="P79" s="4">
        <v>0</v>
      </c>
      <c r="Q79" s="3" t="s">
        <v>26</v>
      </c>
      <c r="R79" s="3">
        <v>0</v>
      </c>
      <c r="S79" s="3">
        <v>0</v>
      </c>
      <c r="T79" s="3">
        <v>9</v>
      </c>
      <c r="U79" s="3">
        <v>56</v>
      </c>
      <c r="V79" s="4">
        <f>IF(ISERROR(VLOOKUP($S$79,'TAR FIN'!$A$1:$O$85,15,0)),0,VLOOKUP($S$79,'TAR FIN'!$A$1:$O$85,15,0))</f>
        <v>0</v>
      </c>
      <c r="W79" s="4">
        <f>IF(ISERROR(VLOOKUP($T$79,'TAR FIN'!$A$1:$O$85,15,0)),0,VLOOKUP($T$79,'TAR FIN'!$A$1:$O$85,15,0))</f>
        <v>697.32</v>
      </c>
      <c r="X79" s="4">
        <f>IF(ISERROR(VLOOKUP($U$79,'TAR FIN'!$A$1:$O$85,15,0)),0,VLOOKUP($U$79,'TAR FIN'!$A$1:$O$85,15,0))</f>
        <v>203.57</v>
      </c>
      <c r="Y79" s="4"/>
      <c r="Z79" s="4">
        <f ca="1">('TUSD BE'!$AM$33+'TUSD BF'!$AM$33+'TUSD CVA'!$AM$33)*(1-CUSTOS!$M$38)</f>
        <v>911.35112319392283</v>
      </c>
      <c r="AA79" s="4">
        <f>('TE BE'!$AA$24+'TE BF'!$AA$24+'TE CVA'!$AA$24)*(1-CUSTOS!$M$38)</f>
        <v>245.15495345670945</v>
      </c>
      <c r="AB79" s="4">
        <f t="shared" si="6"/>
        <v>0</v>
      </c>
      <c r="AC79" s="4">
        <f>(L79-M79)*(W79+X79)+($W$2+$X$2-$W$79-$X$79)*(L79)</f>
        <v>201.59684999999993</v>
      </c>
      <c r="AD79" s="4">
        <f t="shared" si="7"/>
        <v>0</v>
      </c>
      <c r="AE79" s="4">
        <f ca="1">(L79-M79)*(Z79+AA79)+($Z$2+$AA$2-$Z$79-$AA$79)*(L79)</f>
        <v>121.13785990108654</v>
      </c>
      <c r="AF79" s="3" t="s">
        <v>642</v>
      </c>
    </row>
    <row r="80" spans="1:32" ht="11.25" customHeight="1" x14ac:dyDescent="0.25">
      <c r="A80" s="3" t="s">
        <v>28</v>
      </c>
      <c r="B80" s="3" t="s">
        <v>43</v>
      </c>
      <c r="C80" s="3" t="s">
        <v>23</v>
      </c>
      <c r="D80" s="3" t="s">
        <v>44</v>
      </c>
      <c r="E80" s="3" t="s">
        <v>52</v>
      </c>
      <c r="F80" s="3" t="s">
        <v>53</v>
      </c>
      <c r="G80" s="3" t="s">
        <v>25</v>
      </c>
      <c r="H80" s="3" t="s">
        <v>25</v>
      </c>
      <c r="I80" s="6">
        <v>44378</v>
      </c>
      <c r="J80" s="4">
        <v>0</v>
      </c>
      <c r="K80" s="4">
        <v>0</v>
      </c>
      <c r="L80" s="4">
        <v>2.6859999999999999</v>
      </c>
      <c r="M80" s="4">
        <v>2.6859999999999999</v>
      </c>
      <c r="N80" s="4">
        <v>2.6859999999999999</v>
      </c>
      <c r="O80" s="4">
        <v>2.6859999999999999</v>
      </c>
      <c r="P80" s="4">
        <v>0</v>
      </c>
      <c r="Q80" s="3" t="s">
        <v>26</v>
      </c>
      <c r="R80" s="3">
        <v>0</v>
      </c>
      <c r="S80" s="3">
        <v>0</v>
      </c>
      <c r="T80" s="3">
        <v>9</v>
      </c>
      <c r="U80" s="3">
        <v>56</v>
      </c>
      <c r="V80" s="4">
        <f>IF(ISERROR(VLOOKUP($S$80,'TAR FIN'!$A$1:$O$85,15,0)),0,VLOOKUP($S$80,'TAR FIN'!$A$1:$O$85,15,0))</f>
        <v>0</v>
      </c>
      <c r="W80" s="4">
        <f>IF(ISERROR(VLOOKUP($T$80,'TAR FIN'!$A$1:$O$85,15,0)),0,VLOOKUP($T$80,'TAR FIN'!$A$1:$O$85,15,0))</f>
        <v>697.32</v>
      </c>
      <c r="X80" s="4">
        <f>IF(ISERROR(VLOOKUP($U$80,'TAR FIN'!$A$1:$O$85,15,0)),0,VLOOKUP($U$80,'TAR FIN'!$A$1:$O$85,15,0))</f>
        <v>203.57</v>
      </c>
      <c r="Y80" s="4"/>
      <c r="Z80" s="4">
        <f ca="1">('TUSD BE'!$AM$33+'TUSD BF'!$AM$33+'TUSD CVA'!$AM$33)*(1-CUSTOS!$M$38)</f>
        <v>911.35112319392283</v>
      </c>
      <c r="AA80" s="4">
        <f>('TE BE'!$AA$24+'TE BF'!$AA$24+'TE CVA'!$AA$24)*(1-CUSTOS!$M$38)</f>
        <v>245.15495345670945</v>
      </c>
      <c r="AB80" s="4">
        <f t="shared" si="6"/>
        <v>0</v>
      </c>
      <c r="AC80" s="4">
        <f>(L80-M80)*(W80+X80)+($W$2+$X$2-$W$80-$X$80)*(L80)</f>
        <v>329.97509999999988</v>
      </c>
      <c r="AD80" s="4">
        <f t="shared" si="7"/>
        <v>0</v>
      </c>
      <c r="AE80" s="4">
        <f ca="1">(L80-M80)*(Z80+AA80)+($Z$2+$AA$2-$Z$80-$AA$80)*(L80)</f>
        <v>198.27927586491069</v>
      </c>
      <c r="AF80" s="3" t="s">
        <v>642</v>
      </c>
    </row>
    <row r="81" spans="1:32" ht="11.25" customHeight="1" x14ac:dyDescent="0.25">
      <c r="A81" s="3" t="s">
        <v>28</v>
      </c>
      <c r="B81" s="3" t="s">
        <v>43</v>
      </c>
      <c r="C81" s="3" t="s">
        <v>23</v>
      </c>
      <c r="D81" s="3" t="s">
        <v>44</v>
      </c>
      <c r="E81" s="3" t="s">
        <v>52</v>
      </c>
      <c r="F81" s="3" t="s">
        <v>53</v>
      </c>
      <c r="G81" s="3" t="s">
        <v>25</v>
      </c>
      <c r="H81" s="3" t="s">
        <v>25</v>
      </c>
      <c r="I81" s="6">
        <v>44409</v>
      </c>
      <c r="J81" s="4">
        <v>0</v>
      </c>
      <c r="K81" s="4">
        <v>0</v>
      </c>
      <c r="L81" s="4">
        <v>2.9529999999999998</v>
      </c>
      <c r="M81" s="4">
        <v>2.9529999999999998</v>
      </c>
      <c r="N81" s="4">
        <v>2.9529999999999998</v>
      </c>
      <c r="O81" s="4">
        <v>2.9529999999999998</v>
      </c>
      <c r="P81" s="4">
        <v>0</v>
      </c>
      <c r="Q81" s="3" t="s">
        <v>26</v>
      </c>
      <c r="R81" s="3">
        <v>0</v>
      </c>
      <c r="S81" s="3">
        <v>0</v>
      </c>
      <c r="T81" s="3">
        <v>9</v>
      </c>
      <c r="U81" s="3">
        <v>56</v>
      </c>
      <c r="V81" s="4">
        <f>IF(ISERROR(VLOOKUP($S$81,'TAR FIN'!$A$1:$O$85,15,0)),0,VLOOKUP($S$81,'TAR FIN'!$A$1:$O$85,15,0))</f>
        <v>0</v>
      </c>
      <c r="W81" s="4">
        <f>IF(ISERROR(VLOOKUP($T$81,'TAR FIN'!$A$1:$O$85,15,0)),0,VLOOKUP($T$81,'TAR FIN'!$A$1:$O$85,15,0))</f>
        <v>697.32</v>
      </c>
      <c r="X81" s="4">
        <f>IF(ISERROR(VLOOKUP($U$81,'TAR FIN'!$A$1:$O$85,15,0)),0,VLOOKUP($U$81,'TAR FIN'!$A$1:$O$85,15,0))</f>
        <v>203.57</v>
      </c>
      <c r="Y81" s="4"/>
      <c r="Z81" s="4">
        <f ca="1">('TUSD BE'!$AM$33+'TUSD BF'!$AM$33+'TUSD CVA'!$AM$33)*(1-CUSTOS!$M$38)</f>
        <v>911.35112319392283</v>
      </c>
      <c r="AA81" s="4">
        <f>('TE BE'!$AA$24+'TE BF'!$AA$24+'TE CVA'!$AA$24)*(1-CUSTOS!$M$38)</f>
        <v>245.15495345670945</v>
      </c>
      <c r="AB81" s="4">
        <f t="shared" si="6"/>
        <v>0</v>
      </c>
      <c r="AC81" s="4">
        <f>(L81-M81)*(W81+X81)+($W$2+$X$2-$W$81-$X$81)*(L81)</f>
        <v>362.77604999999988</v>
      </c>
      <c r="AD81" s="4">
        <f t="shared" si="7"/>
        <v>0</v>
      </c>
      <c r="AE81" s="4">
        <f ca="1">(L81-M81)*(Z81+AA81)+($Z$2+$AA$2-$Z$81-$AA$81)*(L81)</f>
        <v>217.98909219250976</v>
      </c>
      <c r="AF81" s="3" t="s">
        <v>642</v>
      </c>
    </row>
    <row r="82" spans="1:32" ht="11.25" customHeight="1" x14ac:dyDescent="0.25">
      <c r="A82" s="3" t="s">
        <v>28</v>
      </c>
      <c r="B82" s="3" t="s">
        <v>43</v>
      </c>
      <c r="C82" s="3" t="s">
        <v>23</v>
      </c>
      <c r="D82" s="3" t="s">
        <v>44</v>
      </c>
      <c r="E82" s="3" t="s">
        <v>52</v>
      </c>
      <c r="F82" s="3" t="s">
        <v>53</v>
      </c>
      <c r="G82" s="3" t="s">
        <v>25</v>
      </c>
      <c r="H82" s="3" t="s">
        <v>25</v>
      </c>
      <c r="I82" s="6">
        <v>44470</v>
      </c>
      <c r="J82" s="4">
        <v>0</v>
      </c>
      <c r="K82" s="4">
        <v>0</v>
      </c>
      <c r="L82" s="4">
        <v>0.34699999999999998</v>
      </c>
      <c r="M82" s="4">
        <v>0.34699999999999998</v>
      </c>
      <c r="N82" s="4">
        <v>0.34699999999999998</v>
      </c>
      <c r="O82" s="4">
        <v>0.34699999999999998</v>
      </c>
      <c r="P82" s="4">
        <v>0</v>
      </c>
      <c r="Q82" s="3" t="s">
        <v>26</v>
      </c>
      <c r="R82" s="3">
        <v>0</v>
      </c>
      <c r="S82" s="3">
        <v>0</v>
      </c>
      <c r="T82" s="3">
        <v>9</v>
      </c>
      <c r="U82" s="3">
        <v>56</v>
      </c>
      <c r="V82" s="4">
        <f>IF(ISERROR(VLOOKUP($S$82,'TAR FIN'!$A$1:$O$85,15,0)),0,VLOOKUP($S$82,'TAR FIN'!$A$1:$O$85,15,0))</f>
        <v>0</v>
      </c>
      <c r="W82" s="4">
        <f>IF(ISERROR(VLOOKUP($T$82,'TAR FIN'!$A$1:$O$85,15,0)),0,VLOOKUP($T$82,'TAR FIN'!$A$1:$O$85,15,0))</f>
        <v>697.32</v>
      </c>
      <c r="X82" s="4">
        <f>IF(ISERROR(VLOOKUP($U$82,'TAR FIN'!$A$1:$O$85,15,0)),0,VLOOKUP($U$82,'TAR FIN'!$A$1:$O$85,15,0))</f>
        <v>203.57</v>
      </c>
      <c r="Y82" s="4"/>
      <c r="Z82" s="4">
        <f ca="1">('TUSD BE'!$AM$33+'TUSD BF'!$AM$33+'TUSD CVA'!$AM$33)*(1-CUSTOS!$M$38)</f>
        <v>911.35112319392283</v>
      </c>
      <c r="AA82" s="4">
        <f>('TE BE'!$AA$24+'TE BF'!$AA$24+'TE CVA'!$AA$24)*(1-CUSTOS!$M$38)</f>
        <v>245.15495345670945</v>
      </c>
      <c r="AB82" s="4">
        <f t="shared" si="6"/>
        <v>0</v>
      </c>
      <c r="AC82" s="4">
        <f>(L82-M82)*(W82+X82)+($W$2+$X$2-$W$82-$X$82)*(L82)</f>
        <v>42.628949999999982</v>
      </c>
      <c r="AD82" s="4">
        <f t="shared" si="7"/>
        <v>0</v>
      </c>
      <c r="AE82" s="4">
        <f ca="1">(L82-M82)*(Z82+AA82)+($Z$2+$AA$2-$Z$82-$AA$82)*(L82)</f>
        <v>25.615379272198066</v>
      </c>
      <c r="AF82" s="3" t="s">
        <v>642</v>
      </c>
    </row>
    <row r="83" spans="1:32" ht="11.25" customHeight="1" x14ac:dyDescent="0.25">
      <c r="A83" s="3" t="s">
        <v>28</v>
      </c>
      <c r="B83" s="3" t="s">
        <v>43</v>
      </c>
      <c r="C83" s="3" t="s">
        <v>23</v>
      </c>
      <c r="D83" s="3" t="s">
        <v>44</v>
      </c>
      <c r="E83" s="3" t="s">
        <v>52</v>
      </c>
      <c r="F83" s="3" t="s">
        <v>53</v>
      </c>
      <c r="G83" s="3" t="s">
        <v>25</v>
      </c>
      <c r="H83" s="3" t="s">
        <v>25</v>
      </c>
      <c r="I83" s="6">
        <v>44562</v>
      </c>
      <c r="J83" s="4">
        <v>0</v>
      </c>
      <c r="K83" s="4">
        <v>0</v>
      </c>
      <c r="L83" s="4">
        <v>0.78900000000000003</v>
      </c>
      <c r="M83" s="4">
        <v>0.78900000000000003</v>
      </c>
      <c r="N83" s="4">
        <v>0.78900000000000003</v>
      </c>
      <c r="O83" s="4">
        <v>0.78900000000000003</v>
      </c>
      <c r="P83" s="4">
        <v>0</v>
      </c>
      <c r="Q83" s="3" t="s">
        <v>26</v>
      </c>
      <c r="R83" s="3">
        <v>0</v>
      </c>
      <c r="S83" s="3">
        <v>0</v>
      </c>
      <c r="T83" s="3">
        <v>9</v>
      </c>
      <c r="U83" s="3">
        <v>56</v>
      </c>
      <c r="V83" s="4">
        <f>IF(ISERROR(VLOOKUP($S$83,'TAR FIN'!$A$1:$O$85,15,0)),0,VLOOKUP($S$83,'TAR FIN'!$A$1:$O$85,15,0))</f>
        <v>0</v>
      </c>
      <c r="W83" s="4">
        <f>IF(ISERROR(VLOOKUP($T$83,'TAR FIN'!$A$1:$O$85,15,0)),0,VLOOKUP($T$83,'TAR FIN'!$A$1:$O$85,15,0))</f>
        <v>697.32</v>
      </c>
      <c r="X83" s="4">
        <f>IF(ISERROR(VLOOKUP($U$83,'TAR FIN'!$A$1:$O$85,15,0)),0,VLOOKUP($U$83,'TAR FIN'!$A$1:$O$85,15,0))</f>
        <v>203.57</v>
      </c>
      <c r="Y83" s="4"/>
      <c r="Z83" s="4">
        <f ca="1">('TUSD BE'!$AM$33+'TUSD BF'!$AM$33+'TUSD CVA'!$AM$33)*(1-CUSTOS!$M$38)</f>
        <v>911.35112319392283</v>
      </c>
      <c r="AA83" s="4">
        <f>('TE BE'!$AA$24+'TE BF'!$AA$24+'TE CVA'!$AA$24)*(1-CUSTOS!$M$38)</f>
        <v>245.15495345670945</v>
      </c>
      <c r="AB83" s="4">
        <f t="shared" si="6"/>
        <v>0</v>
      </c>
      <c r="AC83" s="4">
        <f>(L83-M83)*(W83+X83)+($W$2+$X$2-$W$83-$X$83)*(L83)</f>
        <v>96.928649999999976</v>
      </c>
      <c r="AD83" s="4">
        <f t="shared" si="7"/>
        <v>0</v>
      </c>
      <c r="AE83" s="4">
        <f ca="1">(L83-M83)*(Z83+AA83)+($Z$2+$AA$2-$Z$83-$AA$83)*(L83)</f>
        <v>58.243614541107426</v>
      </c>
      <c r="AF83" s="3" t="s">
        <v>642</v>
      </c>
    </row>
    <row r="84" spans="1:32" ht="11.25" customHeight="1" x14ac:dyDescent="0.25">
      <c r="A84" s="3" t="s">
        <v>28</v>
      </c>
      <c r="B84" s="3" t="s">
        <v>43</v>
      </c>
      <c r="C84" s="3" t="s">
        <v>23</v>
      </c>
      <c r="D84" s="3" t="s">
        <v>44</v>
      </c>
      <c r="E84" s="3" t="s">
        <v>52</v>
      </c>
      <c r="F84" s="3" t="s">
        <v>53</v>
      </c>
      <c r="G84" s="3" t="s">
        <v>25</v>
      </c>
      <c r="H84" s="3" t="s">
        <v>25</v>
      </c>
      <c r="I84" s="6">
        <v>44621</v>
      </c>
      <c r="J84" s="4">
        <v>0</v>
      </c>
      <c r="K84" s="4">
        <v>0</v>
      </c>
      <c r="L84" s="4">
        <v>0.1</v>
      </c>
      <c r="M84" s="4">
        <v>0.1</v>
      </c>
      <c r="N84" s="4">
        <v>0.1</v>
      </c>
      <c r="O84" s="4">
        <v>0.1</v>
      </c>
      <c r="P84" s="4">
        <v>0</v>
      </c>
      <c r="Q84" s="3" t="s">
        <v>26</v>
      </c>
      <c r="R84" s="3">
        <v>0</v>
      </c>
      <c r="S84" s="3">
        <v>0</v>
      </c>
      <c r="T84" s="3">
        <v>9</v>
      </c>
      <c r="U84" s="3">
        <v>56</v>
      </c>
      <c r="V84" s="4">
        <f>IF(ISERROR(VLOOKUP($S$84,'TAR FIN'!$A$1:$O$85,15,0)),0,VLOOKUP($S$84,'TAR FIN'!$A$1:$O$85,15,0))</f>
        <v>0</v>
      </c>
      <c r="W84" s="4">
        <f>IF(ISERROR(VLOOKUP($T$84,'TAR FIN'!$A$1:$O$85,15,0)),0,VLOOKUP($T$84,'TAR FIN'!$A$1:$O$85,15,0))</f>
        <v>697.32</v>
      </c>
      <c r="X84" s="4">
        <f>IF(ISERROR(VLOOKUP($U$84,'TAR FIN'!$A$1:$O$85,15,0)),0,VLOOKUP($U$84,'TAR FIN'!$A$1:$O$85,15,0))</f>
        <v>203.57</v>
      </c>
      <c r="Y84" s="4"/>
      <c r="Z84" s="4">
        <f ca="1">('TUSD BE'!$AM$33+'TUSD BF'!$AM$33+'TUSD CVA'!$AM$33)*(1-CUSTOS!$M$38)</f>
        <v>911.35112319392283</v>
      </c>
      <c r="AA84" s="4">
        <f>('TE BE'!$AA$24+'TE BF'!$AA$24+'TE CVA'!$AA$24)*(1-CUSTOS!$M$38)</f>
        <v>245.15495345670945</v>
      </c>
      <c r="AB84" s="4">
        <f t="shared" si="6"/>
        <v>0</v>
      </c>
      <c r="AC84" s="4">
        <f>(L84-M84)*(W84+X84)+($W$2+$X$2-$W$84-$X$84)*(L84)</f>
        <v>12.284999999999997</v>
      </c>
      <c r="AD84" s="4">
        <f t="shared" si="7"/>
        <v>0</v>
      </c>
      <c r="AE84" s="4">
        <f ca="1">(L84-M84)*(Z84+AA84)+($Z$2+$AA$2-$Z$84-$AA$84)*(L84)</f>
        <v>7.3819536807487225</v>
      </c>
      <c r="AF84" s="3" t="s">
        <v>642</v>
      </c>
    </row>
    <row r="85" spans="1:32" ht="11.25" customHeight="1" x14ac:dyDescent="0.25">
      <c r="A85" s="3" t="s">
        <v>21</v>
      </c>
      <c r="B85" s="3" t="s">
        <v>43</v>
      </c>
      <c r="C85" s="3" t="s">
        <v>23</v>
      </c>
      <c r="D85" s="3" t="s">
        <v>44</v>
      </c>
      <c r="E85" s="3" t="s">
        <v>52</v>
      </c>
      <c r="F85" s="3" t="s">
        <v>54</v>
      </c>
      <c r="G85" s="3" t="s">
        <v>25</v>
      </c>
      <c r="H85" s="3" t="s">
        <v>25</v>
      </c>
      <c r="I85" s="6">
        <v>44287</v>
      </c>
      <c r="J85" s="4">
        <v>0</v>
      </c>
      <c r="K85" s="4">
        <v>0</v>
      </c>
      <c r="L85" s="4">
        <v>9.3239999999999998</v>
      </c>
      <c r="M85" s="4">
        <v>3.7296</v>
      </c>
      <c r="N85" s="4">
        <v>9.3239999999999998</v>
      </c>
      <c r="O85" s="4">
        <v>3.7296</v>
      </c>
      <c r="P85" s="4">
        <v>0</v>
      </c>
      <c r="Q85" s="3" t="s">
        <v>26</v>
      </c>
      <c r="R85" s="3">
        <v>0</v>
      </c>
      <c r="S85" s="3">
        <v>0</v>
      </c>
      <c r="T85" s="3">
        <v>9</v>
      </c>
      <c r="U85" s="3">
        <v>56</v>
      </c>
      <c r="V85" s="4">
        <f>IF(ISERROR(VLOOKUP($S$85,'TAR FIN'!$A$1:$O$85,15,0)),0,VLOOKUP($S$85,'TAR FIN'!$A$1:$O$85,15,0))</f>
        <v>0</v>
      </c>
      <c r="W85" s="4">
        <f>IF(ISERROR(VLOOKUP($T$85,'TAR FIN'!$A$1:$O$85,15,0)),0,VLOOKUP($T$85,'TAR FIN'!$A$1:$O$85,15,0))</f>
        <v>697.32</v>
      </c>
      <c r="X85" s="4">
        <f>IF(ISERROR(VLOOKUP($U$85,'TAR FIN'!$A$1:$O$85,15,0)),0,VLOOKUP($U$85,'TAR FIN'!$A$1:$O$85,15,0))</f>
        <v>203.57</v>
      </c>
      <c r="Y85" s="4"/>
      <c r="Z85" s="4">
        <f ca="1">('TUSD BE'!$AM$33+'TUSD BF'!$AM$33+'TUSD CVA'!$AM$33)*(1-CUSTOS!$M$38)</f>
        <v>911.35112319392283</v>
      </c>
      <c r="AA85" s="4">
        <f>('TE BE'!$AA$24+'TE BF'!$AA$24+'TE CVA'!$AA$24)*(1-CUSTOS!$M$38)</f>
        <v>245.15495345670945</v>
      </c>
      <c r="AB85" s="4">
        <f t="shared" si="6"/>
        <v>0</v>
      </c>
      <c r="AC85" s="4">
        <f>(L85-M85)*(W85+X85)+($W$2+$X$2-$W$85-$X$85)*(L85)</f>
        <v>6185.3924160000006</v>
      </c>
      <c r="AD85" s="4">
        <f t="shared" si="7"/>
        <v>0</v>
      </c>
      <c r="AE85" s="4">
        <f ca="1">(L85-M85)*(Z85+AA85)+($Z$2+$AA$2-$Z$85-$AA$85)*(L85)</f>
        <v>7158.250956407308</v>
      </c>
      <c r="AF85" s="3" t="s">
        <v>643</v>
      </c>
    </row>
    <row r="86" spans="1:32" ht="11.25" customHeight="1" x14ac:dyDescent="0.25">
      <c r="A86" s="3" t="s">
        <v>28</v>
      </c>
      <c r="B86" s="3" t="s">
        <v>43</v>
      </c>
      <c r="C86" s="3" t="s">
        <v>23</v>
      </c>
      <c r="D86" s="3" t="s">
        <v>44</v>
      </c>
      <c r="E86" s="3" t="s">
        <v>52</v>
      </c>
      <c r="F86" s="3" t="s">
        <v>54</v>
      </c>
      <c r="G86" s="3" t="s">
        <v>25</v>
      </c>
      <c r="H86" s="3" t="s">
        <v>25</v>
      </c>
      <c r="I86" s="6">
        <v>44348</v>
      </c>
      <c r="J86" s="4">
        <v>0</v>
      </c>
      <c r="K86" s="4">
        <v>0</v>
      </c>
      <c r="L86" s="4">
        <v>4.3010000000000002</v>
      </c>
      <c r="M86" s="4">
        <v>1.7203999999999999</v>
      </c>
      <c r="N86" s="4">
        <v>4.3010000000000002</v>
      </c>
      <c r="O86" s="4">
        <v>1.7203999999999999</v>
      </c>
      <c r="P86" s="4">
        <v>0</v>
      </c>
      <c r="Q86" s="3" t="s">
        <v>26</v>
      </c>
      <c r="R86" s="3">
        <v>0</v>
      </c>
      <c r="S86" s="3">
        <v>0</v>
      </c>
      <c r="T86" s="3">
        <v>9</v>
      </c>
      <c r="U86" s="3">
        <v>56</v>
      </c>
      <c r="V86" s="4">
        <f>IF(ISERROR(VLOOKUP($S$86,'TAR FIN'!$A$1:$O$85,15,0)),0,VLOOKUP($S$86,'TAR FIN'!$A$1:$O$85,15,0))</f>
        <v>0</v>
      </c>
      <c r="W86" s="4">
        <f>IF(ISERROR(VLOOKUP($T$86,'TAR FIN'!$A$1:$O$85,15,0)),0,VLOOKUP($T$86,'TAR FIN'!$A$1:$O$85,15,0))</f>
        <v>697.32</v>
      </c>
      <c r="X86" s="4">
        <f>IF(ISERROR(VLOOKUP($U$86,'TAR FIN'!$A$1:$O$85,15,0)),0,VLOOKUP($U$86,'TAR FIN'!$A$1:$O$85,15,0))</f>
        <v>203.57</v>
      </c>
      <c r="Y86" s="4"/>
      <c r="Z86" s="4">
        <f ca="1">('TUSD BE'!$AM$33+'TUSD BF'!$AM$33+'TUSD CVA'!$AM$33)*(1-CUSTOS!$M$38)</f>
        <v>911.35112319392283</v>
      </c>
      <c r="AA86" s="4">
        <f>('TE BE'!$AA$24+'TE BF'!$AA$24+'TE CVA'!$AA$24)*(1-CUSTOS!$M$38)</f>
        <v>245.15495345670945</v>
      </c>
      <c r="AB86" s="4">
        <f t="shared" si="6"/>
        <v>0</v>
      </c>
      <c r="AC86" s="4">
        <f>(L86-M86)*(W86+X86)+($W$2+$X$2-$W$86-$X$86)*(L86)</f>
        <v>2853.2145840000007</v>
      </c>
      <c r="AD86" s="4">
        <f t="shared" si="7"/>
        <v>0</v>
      </c>
      <c r="AE86" s="4">
        <f ca="1">(L86-M86)*(Z86+AA86)+($Z$2+$AA$2-$Z$86-$AA$86)*(L86)</f>
        <v>3301.9774092136245</v>
      </c>
      <c r="AF86" s="3" t="s">
        <v>643</v>
      </c>
    </row>
    <row r="87" spans="1:32" ht="11.25" customHeight="1" x14ac:dyDescent="0.25">
      <c r="A87" s="3" t="s">
        <v>28</v>
      </c>
      <c r="B87" s="3" t="s">
        <v>43</v>
      </c>
      <c r="C87" s="3" t="s">
        <v>23</v>
      </c>
      <c r="D87" s="3" t="s">
        <v>44</v>
      </c>
      <c r="E87" s="3" t="s">
        <v>52</v>
      </c>
      <c r="F87" s="3" t="s">
        <v>54</v>
      </c>
      <c r="G87" s="3" t="s">
        <v>25</v>
      </c>
      <c r="H87" s="3" t="s">
        <v>25</v>
      </c>
      <c r="I87" s="6">
        <v>44378</v>
      </c>
      <c r="J87" s="4">
        <v>0</v>
      </c>
      <c r="K87" s="4">
        <v>0</v>
      </c>
      <c r="L87" s="4">
        <v>3.6890000000000001</v>
      </c>
      <c r="M87" s="4">
        <v>1.4756</v>
      </c>
      <c r="N87" s="4">
        <v>3.6890000000000001</v>
      </c>
      <c r="O87" s="4">
        <v>1.4756</v>
      </c>
      <c r="P87" s="4">
        <v>0</v>
      </c>
      <c r="Q87" s="3" t="s">
        <v>26</v>
      </c>
      <c r="R87" s="3">
        <v>0</v>
      </c>
      <c r="S87" s="3">
        <v>0</v>
      </c>
      <c r="T87" s="3">
        <v>9</v>
      </c>
      <c r="U87" s="3">
        <v>56</v>
      </c>
      <c r="V87" s="4">
        <f>IF(ISERROR(VLOOKUP($S$87,'TAR FIN'!$A$1:$O$85,15,0)),0,VLOOKUP($S$87,'TAR FIN'!$A$1:$O$85,15,0))</f>
        <v>0</v>
      </c>
      <c r="W87" s="4">
        <f>IF(ISERROR(VLOOKUP($T$87,'TAR FIN'!$A$1:$O$85,15,0)),0,VLOOKUP($T$87,'TAR FIN'!$A$1:$O$85,15,0))</f>
        <v>697.32</v>
      </c>
      <c r="X87" s="4">
        <f>IF(ISERROR(VLOOKUP($U$87,'TAR FIN'!$A$1:$O$85,15,0)),0,VLOOKUP($U$87,'TAR FIN'!$A$1:$O$85,15,0))</f>
        <v>203.57</v>
      </c>
      <c r="Y87" s="4"/>
      <c r="Z87" s="4">
        <f ca="1">('TUSD BE'!$AM$33+'TUSD BF'!$AM$33+'TUSD CVA'!$AM$33)*(1-CUSTOS!$M$38)</f>
        <v>911.35112319392283</v>
      </c>
      <c r="AA87" s="4">
        <f>('TE BE'!$AA$24+'TE BF'!$AA$24+'TE CVA'!$AA$24)*(1-CUSTOS!$M$38)</f>
        <v>245.15495345670945</v>
      </c>
      <c r="AB87" s="4">
        <f t="shared" si="6"/>
        <v>0</v>
      </c>
      <c r="AC87" s="4">
        <f>(L87-M87)*(W87+X87)+($W$2+$X$2-$W$87-$X$87)*(L87)</f>
        <v>2447.2235759999999</v>
      </c>
      <c r="AD87" s="4">
        <f t="shared" si="7"/>
        <v>0</v>
      </c>
      <c r="AE87" s="4">
        <f ca="1">(L87-M87)*(Z87+AA87)+($Z$2+$AA$2-$Z$87-$AA$87)*(L87)</f>
        <v>2832.1308213413295</v>
      </c>
      <c r="AF87" s="3" t="s">
        <v>643</v>
      </c>
    </row>
    <row r="88" spans="1:32" ht="11.25" customHeight="1" x14ac:dyDescent="0.25">
      <c r="A88" s="3" t="s">
        <v>28</v>
      </c>
      <c r="B88" s="3" t="s">
        <v>43</v>
      </c>
      <c r="C88" s="3" t="s">
        <v>23</v>
      </c>
      <c r="D88" s="3" t="s">
        <v>44</v>
      </c>
      <c r="E88" s="3" t="s">
        <v>52</v>
      </c>
      <c r="F88" s="3" t="s">
        <v>54</v>
      </c>
      <c r="G88" s="3" t="s">
        <v>25</v>
      </c>
      <c r="H88" s="3" t="s">
        <v>25</v>
      </c>
      <c r="I88" s="6">
        <v>44409</v>
      </c>
      <c r="J88" s="4">
        <v>0</v>
      </c>
      <c r="K88" s="4">
        <v>0</v>
      </c>
      <c r="L88" s="4">
        <v>4.5810000000000004</v>
      </c>
      <c r="M88" s="4">
        <v>1.8324</v>
      </c>
      <c r="N88" s="4">
        <v>4.5810000000000004</v>
      </c>
      <c r="O88" s="4">
        <v>1.8324</v>
      </c>
      <c r="P88" s="4">
        <v>0</v>
      </c>
      <c r="Q88" s="3" t="s">
        <v>26</v>
      </c>
      <c r="R88" s="3">
        <v>0</v>
      </c>
      <c r="S88" s="3">
        <v>0</v>
      </c>
      <c r="T88" s="3">
        <v>9</v>
      </c>
      <c r="U88" s="3">
        <v>56</v>
      </c>
      <c r="V88" s="4">
        <f>IF(ISERROR(VLOOKUP($S$88,'TAR FIN'!$A$1:$O$85,15,0)),0,VLOOKUP($S$88,'TAR FIN'!$A$1:$O$85,15,0))</f>
        <v>0</v>
      </c>
      <c r="W88" s="4">
        <f>IF(ISERROR(VLOOKUP($T$88,'TAR FIN'!$A$1:$O$85,15,0)),0,VLOOKUP($T$88,'TAR FIN'!$A$1:$O$85,15,0))</f>
        <v>697.32</v>
      </c>
      <c r="X88" s="4">
        <f>IF(ISERROR(VLOOKUP($U$88,'TAR FIN'!$A$1:$O$85,15,0)),0,VLOOKUP($U$88,'TAR FIN'!$A$1:$O$85,15,0))</f>
        <v>203.57</v>
      </c>
      <c r="Y88" s="4"/>
      <c r="Z88" s="4">
        <f ca="1">('TUSD BE'!$AM$33+'TUSD BF'!$AM$33+'TUSD CVA'!$AM$33)*(1-CUSTOS!$M$38)</f>
        <v>911.35112319392283</v>
      </c>
      <c r="AA88" s="4">
        <f>('TE BE'!$AA$24+'TE BF'!$AA$24+'TE CVA'!$AA$24)*(1-CUSTOS!$M$38)</f>
        <v>245.15495345670945</v>
      </c>
      <c r="AB88" s="4">
        <f t="shared" si="6"/>
        <v>0</v>
      </c>
      <c r="AC88" s="4">
        <f>(L88-M88)*(W88+X88)+($W$2+$X$2-$W$88-$X$88)*(L88)</f>
        <v>3038.9621040000006</v>
      </c>
      <c r="AD88" s="4">
        <f t="shared" si="7"/>
        <v>0</v>
      </c>
      <c r="AE88" s="4">
        <f ca="1">(L88-M88)*(Z88+AA88)+($Z$2+$AA$2-$Z$88-$AA$88)*(L88)</f>
        <v>3516.9399003970275</v>
      </c>
      <c r="AF88" s="3" t="s">
        <v>643</v>
      </c>
    </row>
    <row r="89" spans="1:32" ht="11.25" customHeight="1" x14ac:dyDescent="0.25">
      <c r="A89" s="3" t="s">
        <v>28</v>
      </c>
      <c r="B89" s="3" t="s">
        <v>43</v>
      </c>
      <c r="C89" s="3" t="s">
        <v>23</v>
      </c>
      <c r="D89" s="3" t="s">
        <v>44</v>
      </c>
      <c r="E89" s="3" t="s">
        <v>52</v>
      </c>
      <c r="F89" s="3" t="s">
        <v>54</v>
      </c>
      <c r="G89" s="3" t="s">
        <v>25</v>
      </c>
      <c r="H89" s="3" t="s">
        <v>25</v>
      </c>
      <c r="I89" s="6">
        <v>44440</v>
      </c>
      <c r="J89" s="4">
        <v>0</v>
      </c>
      <c r="K89" s="4">
        <v>0</v>
      </c>
      <c r="L89" s="4">
        <v>4.3339999999999996</v>
      </c>
      <c r="M89" s="4">
        <v>1.7336</v>
      </c>
      <c r="N89" s="4">
        <v>4.3339999999999996</v>
      </c>
      <c r="O89" s="4">
        <v>1.7336</v>
      </c>
      <c r="P89" s="4">
        <v>0</v>
      </c>
      <c r="Q89" s="3" t="s">
        <v>26</v>
      </c>
      <c r="R89" s="3">
        <v>0</v>
      </c>
      <c r="S89" s="3">
        <v>0</v>
      </c>
      <c r="T89" s="3">
        <v>9</v>
      </c>
      <c r="U89" s="3">
        <v>56</v>
      </c>
      <c r="V89" s="4">
        <f>IF(ISERROR(VLOOKUP($S$89,'TAR FIN'!$A$1:$O$85,15,0)),0,VLOOKUP($S$89,'TAR FIN'!$A$1:$O$85,15,0))</f>
        <v>0</v>
      </c>
      <c r="W89" s="4">
        <f>IF(ISERROR(VLOOKUP($T$89,'TAR FIN'!$A$1:$O$85,15,0)),0,VLOOKUP($T$89,'TAR FIN'!$A$1:$O$85,15,0))</f>
        <v>697.32</v>
      </c>
      <c r="X89" s="4">
        <f>IF(ISERROR(VLOOKUP($U$89,'TAR FIN'!$A$1:$O$85,15,0)),0,VLOOKUP($U$89,'TAR FIN'!$A$1:$O$85,15,0))</f>
        <v>203.57</v>
      </c>
      <c r="Y89" s="4"/>
      <c r="Z89" s="4">
        <f ca="1">('TUSD BE'!$AM$33+'TUSD BF'!$AM$33+'TUSD CVA'!$AM$33)*(1-CUSTOS!$M$38)</f>
        <v>911.35112319392283</v>
      </c>
      <c r="AA89" s="4">
        <f>('TE BE'!$AA$24+'TE BF'!$AA$24+'TE CVA'!$AA$24)*(1-CUSTOS!$M$38)</f>
        <v>245.15495345670945</v>
      </c>
      <c r="AB89" s="4">
        <f t="shared" si="6"/>
        <v>0</v>
      </c>
      <c r="AC89" s="4">
        <f>(L89-M89)*(W89+X89)+($W$2+$X$2-$W$89-$X$89)*(L89)</f>
        <v>2875.106256</v>
      </c>
      <c r="AD89" s="4">
        <f t="shared" si="7"/>
        <v>0</v>
      </c>
      <c r="AE89" s="4">
        <f ca="1">(L89-M89)*(Z89+AA89)+($Z$2+$AA$2-$Z$89-$AA$89)*(L89)</f>
        <v>3327.3122742459527</v>
      </c>
      <c r="AF89" s="3" t="s">
        <v>643</v>
      </c>
    </row>
    <row r="90" spans="1:32" ht="11.25" customHeight="1" x14ac:dyDescent="0.25">
      <c r="A90" s="3" t="s">
        <v>28</v>
      </c>
      <c r="B90" s="3" t="s">
        <v>43</v>
      </c>
      <c r="C90" s="3" t="s">
        <v>23</v>
      </c>
      <c r="D90" s="3" t="s">
        <v>44</v>
      </c>
      <c r="E90" s="3" t="s">
        <v>52</v>
      </c>
      <c r="F90" s="3" t="s">
        <v>54</v>
      </c>
      <c r="G90" s="3" t="s">
        <v>25</v>
      </c>
      <c r="H90" s="3" t="s">
        <v>25</v>
      </c>
      <c r="I90" s="6">
        <v>44470</v>
      </c>
      <c r="J90" s="4">
        <v>0</v>
      </c>
      <c r="K90" s="4">
        <v>0</v>
      </c>
      <c r="L90" s="4">
        <v>2.9340000000000002</v>
      </c>
      <c r="M90" s="4">
        <v>1.1736</v>
      </c>
      <c r="N90" s="4">
        <v>2.9340000000000002</v>
      </c>
      <c r="O90" s="4">
        <v>1.1736</v>
      </c>
      <c r="P90" s="4">
        <v>0</v>
      </c>
      <c r="Q90" s="3" t="s">
        <v>26</v>
      </c>
      <c r="R90" s="3">
        <v>0</v>
      </c>
      <c r="S90" s="3">
        <v>0</v>
      </c>
      <c r="T90" s="3">
        <v>9</v>
      </c>
      <c r="U90" s="3">
        <v>56</v>
      </c>
      <c r="V90" s="4">
        <f>IF(ISERROR(VLOOKUP($S$90,'TAR FIN'!$A$1:$O$85,15,0)),0,VLOOKUP($S$90,'TAR FIN'!$A$1:$O$85,15,0))</f>
        <v>0</v>
      </c>
      <c r="W90" s="4">
        <f>IF(ISERROR(VLOOKUP($T$90,'TAR FIN'!$A$1:$O$85,15,0)),0,VLOOKUP($T$90,'TAR FIN'!$A$1:$O$85,15,0))</f>
        <v>697.32</v>
      </c>
      <c r="X90" s="4">
        <f>IF(ISERROR(VLOOKUP($U$90,'TAR FIN'!$A$1:$O$85,15,0)),0,VLOOKUP($U$90,'TAR FIN'!$A$1:$O$85,15,0))</f>
        <v>203.57</v>
      </c>
      <c r="Y90" s="4"/>
      <c r="Z90" s="4">
        <f ca="1">('TUSD BE'!$AM$33+'TUSD BF'!$AM$33+'TUSD CVA'!$AM$33)*(1-CUSTOS!$M$38)</f>
        <v>911.35112319392283</v>
      </c>
      <c r="AA90" s="4">
        <f>('TE BE'!$AA$24+'TE BF'!$AA$24+'TE CVA'!$AA$24)*(1-CUSTOS!$M$38)</f>
        <v>245.15495345670945</v>
      </c>
      <c r="AB90" s="4">
        <f t="shared" si="6"/>
        <v>0</v>
      </c>
      <c r="AC90" s="4">
        <f>(L90-M90)*(W90+X90)+($W$2+$X$2-$W$90-$X$90)*(L90)</f>
        <v>1946.3686560000001</v>
      </c>
      <c r="AD90" s="4">
        <f t="shared" si="7"/>
        <v>0</v>
      </c>
      <c r="AE90" s="4">
        <f ca="1">(L90-M90)*(Z90+AA90)+($Z$2+$AA$2-$Z$90-$AA$90)*(L90)</f>
        <v>2252.4998183289404</v>
      </c>
      <c r="AF90" s="3" t="s">
        <v>643</v>
      </c>
    </row>
    <row r="91" spans="1:32" ht="11.25" customHeight="1" x14ac:dyDescent="0.25">
      <c r="A91" s="3" t="s">
        <v>28</v>
      </c>
      <c r="B91" s="3" t="s">
        <v>43</v>
      </c>
      <c r="C91" s="3" t="s">
        <v>23</v>
      </c>
      <c r="D91" s="3" t="s">
        <v>44</v>
      </c>
      <c r="E91" s="3" t="s">
        <v>52</v>
      </c>
      <c r="F91" s="3" t="s">
        <v>54</v>
      </c>
      <c r="G91" s="3" t="s">
        <v>25</v>
      </c>
      <c r="H91" s="3" t="s">
        <v>25</v>
      </c>
      <c r="I91" s="6">
        <v>44501</v>
      </c>
      <c r="J91" s="4">
        <v>0</v>
      </c>
      <c r="K91" s="4">
        <v>0</v>
      </c>
      <c r="L91" s="4">
        <v>0.47399999999999998</v>
      </c>
      <c r="M91" s="4">
        <v>0.18959999999999999</v>
      </c>
      <c r="N91" s="4">
        <v>0.47399999999999998</v>
      </c>
      <c r="O91" s="4">
        <v>0.18959999999999999</v>
      </c>
      <c r="P91" s="4">
        <v>0</v>
      </c>
      <c r="Q91" s="3" t="s">
        <v>26</v>
      </c>
      <c r="R91" s="3">
        <v>0</v>
      </c>
      <c r="S91" s="3">
        <v>0</v>
      </c>
      <c r="T91" s="3">
        <v>9</v>
      </c>
      <c r="U91" s="3">
        <v>56</v>
      </c>
      <c r="V91" s="4">
        <f>IF(ISERROR(VLOOKUP($S$91,'TAR FIN'!$A$1:$O$85,15,0)),0,VLOOKUP($S$91,'TAR FIN'!$A$1:$O$85,15,0))</f>
        <v>0</v>
      </c>
      <c r="W91" s="4">
        <f>IF(ISERROR(VLOOKUP($T$91,'TAR FIN'!$A$1:$O$85,15,0)),0,VLOOKUP($T$91,'TAR FIN'!$A$1:$O$85,15,0))</f>
        <v>697.32</v>
      </c>
      <c r="X91" s="4">
        <f>IF(ISERROR(VLOOKUP($U$91,'TAR FIN'!$A$1:$O$85,15,0)),0,VLOOKUP($U$91,'TAR FIN'!$A$1:$O$85,15,0))</f>
        <v>203.57</v>
      </c>
      <c r="Y91" s="4"/>
      <c r="Z91" s="4">
        <f ca="1">('TUSD BE'!$AM$33+'TUSD BF'!$AM$33+'TUSD CVA'!$AM$33)*(1-CUSTOS!$M$38)</f>
        <v>911.35112319392283</v>
      </c>
      <c r="AA91" s="4">
        <f>('TE BE'!$AA$24+'TE BF'!$AA$24+'TE CVA'!$AA$24)*(1-CUSTOS!$M$38)</f>
        <v>245.15495345670945</v>
      </c>
      <c r="AB91" s="4">
        <f t="shared" si="6"/>
        <v>0</v>
      </c>
      <c r="AC91" s="4">
        <f>(L91-M91)*(W91+X91)+($W$2+$X$2-$W$91-$X$91)*(L91)</f>
        <v>314.44401599999998</v>
      </c>
      <c r="AD91" s="4">
        <f t="shared" si="7"/>
        <v>0</v>
      </c>
      <c r="AE91" s="4">
        <f ca="1">(L91-M91)*(Z91+AA91)+($Z$2+$AA$2-$Z$91-$AA$91)*(L91)</f>
        <v>363.90078864618874</v>
      </c>
      <c r="AF91" s="3" t="s">
        <v>643</v>
      </c>
    </row>
    <row r="92" spans="1:32" ht="11.25" customHeight="1" x14ac:dyDescent="0.25">
      <c r="A92" s="3" t="s">
        <v>28</v>
      </c>
      <c r="B92" s="3" t="s">
        <v>43</v>
      </c>
      <c r="C92" s="3" t="s">
        <v>23</v>
      </c>
      <c r="D92" s="3" t="s">
        <v>44</v>
      </c>
      <c r="E92" s="3" t="s">
        <v>52</v>
      </c>
      <c r="F92" s="3" t="s">
        <v>54</v>
      </c>
      <c r="G92" s="3" t="s">
        <v>25</v>
      </c>
      <c r="H92" s="3" t="s">
        <v>25</v>
      </c>
      <c r="I92" s="6">
        <v>44531</v>
      </c>
      <c r="J92" s="4">
        <v>0</v>
      </c>
      <c r="K92" s="4">
        <v>0</v>
      </c>
      <c r="L92" s="4">
        <v>0.78900000000000003</v>
      </c>
      <c r="M92" s="4">
        <v>0.31559999999999999</v>
      </c>
      <c r="N92" s="4">
        <v>0.78900000000000003</v>
      </c>
      <c r="O92" s="4">
        <v>0.31559999999999999</v>
      </c>
      <c r="P92" s="4">
        <v>0</v>
      </c>
      <c r="Q92" s="3" t="s">
        <v>26</v>
      </c>
      <c r="R92" s="3">
        <v>0</v>
      </c>
      <c r="S92" s="3">
        <v>0</v>
      </c>
      <c r="T92" s="3">
        <v>9</v>
      </c>
      <c r="U92" s="3">
        <v>56</v>
      </c>
      <c r="V92" s="4">
        <f>IF(ISERROR(VLOOKUP($S$92,'TAR FIN'!$A$1:$O$85,15,0)),0,VLOOKUP($S$92,'TAR FIN'!$A$1:$O$85,15,0))</f>
        <v>0</v>
      </c>
      <c r="W92" s="4">
        <f>IF(ISERROR(VLOOKUP($T$92,'TAR FIN'!$A$1:$O$85,15,0)),0,VLOOKUP($T$92,'TAR FIN'!$A$1:$O$85,15,0))</f>
        <v>697.32</v>
      </c>
      <c r="X92" s="4">
        <f>IF(ISERROR(VLOOKUP($U$92,'TAR FIN'!$A$1:$O$85,15,0)),0,VLOOKUP($U$92,'TAR FIN'!$A$1:$O$85,15,0))</f>
        <v>203.57</v>
      </c>
      <c r="Y92" s="4"/>
      <c r="Z92" s="4">
        <f ca="1">('TUSD BE'!$AM$33+'TUSD BF'!$AM$33+'TUSD CVA'!$AM$33)*(1-CUSTOS!$M$38)</f>
        <v>911.35112319392283</v>
      </c>
      <c r="AA92" s="4">
        <f>('TE BE'!$AA$24+'TE BF'!$AA$24+'TE CVA'!$AA$24)*(1-CUSTOS!$M$38)</f>
        <v>245.15495345670945</v>
      </c>
      <c r="AB92" s="4">
        <f t="shared" si="6"/>
        <v>0</v>
      </c>
      <c r="AC92" s="4">
        <f>(L92-M92)*(W92+X92)+($W$2+$X$2-$W$92-$X$92)*(L92)</f>
        <v>523.40997600000003</v>
      </c>
      <c r="AD92" s="4">
        <f t="shared" si="7"/>
        <v>0</v>
      </c>
      <c r="AE92" s="4">
        <f ca="1">(L92-M92)*(Z92+AA92)+($Z$2+$AA$2-$Z$92-$AA$92)*(L92)</f>
        <v>605.73359122751674</v>
      </c>
      <c r="AF92" s="3" t="s">
        <v>643</v>
      </c>
    </row>
    <row r="93" spans="1:32" ht="11.25" customHeight="1" x14ac:dyDescent="0.25">
      <c r="A93" s="3" t="s">
        <v>28</v>
      </c>
      <c r="B93" s="3" t="s">
        <v>43</v>
      </c>
      <c r="C93" s="3" t="s">
        <v>23</v>
      </c>
      <c r="D93" s="3" t="s">
        <v>44</v>
      </c>
      <c r="E93" s="3" t="s">
        <v>52</v>
      </c>
      <c r="F93" s="3" t="s">
        <v>54</v>
      </c>
      <c r="G93" s="3" t="s">
        <v>25</v>
      </c>
      <c r="H93" s="3" t="s">
        <v>25</v>
      </c>
      <c r="I93" s="6">
        <v>44562</v>
      </c>
      <c r="J93" s="4">
        <v>0</v>
      </c>
      <c r="K93" s="4">
        <v>0</v>
      </c>
      <c r="L93" s="4">
        <v>3.746</v>
      </c>
      <c r="M93" s="4">
        <v>1.4984</v>
      </c>
      <c r="N93" s="4">
        <v>3.746</v>
      </c>
      <c r="O93" s="4">
        <v>1.4984</v>
      </c>
      <c r="P93" s="4">
        <v>0</v>
      </c>
      <c r="Q93" s="3" t="s">
        <v>26</v>
      </c>
      <c r="R93" s="3">
        <v>0</v>
      </c>
      <c r="S93" s="3">
        <v>0</v>
      </c>
      <c r="T93" s="3">
        <v>9</v>
      </c>
      <c r="U93" s="3">
        <v>56</v>
      </c>
      <c r="V93" s="4">
        <f>IF(ISERROR(VLOOKUP($S$93,'TAR FIN'!$A$1:$O$85,15,0)),0,VLOOKUP($S$93,'TAR FIN'!$A$1:$O$85,15,0))</f>
        <v>0</v>
      </c>
      <c r="W93" s="4">
        <f>IF(ISERROR(VLOOKUP($T$93,'TAR FIN'!$A$1:$O$85,15,0)),0,VLOOKUP($T$93,'TAR FIN'!$A$1:$O$85,15,0))</f>
        <v>697.32</v>
      </c>
      <c r="X93" s="4">
        <f>IF(ISERROR(VLOOKUP($U$93,'TAR FIN'!$A$1:$O$85,15,0)),0,VLOOKUP($U$93,'TAR FIN'!$A$1:$O$85,15,0))</f>
        <v>203.57</v>
      </c>
      <c r="Y93" s="4"/>
      <c r="Z93" s="4">
        <f ca="1">('TUSD BE'!$AM$33+'TUSD BF'!$AM$33+'TUSD CVA'!$AM$33)*(1-CUSTOS!$M$38)</f>
        <v>911.35112319392283</v>
      </c>
      <c r="AA93" s="4">
        <f>('TE BE'!$AA$24+'TE BF'!$AA$24+'TE CVA'!$AA$24)*(1-CUSTOS!$M$38)</f>
        <v>245.15495345670945</v>
      </c>
      <c r="AB93" s="4">
        <f t="shared" si="6"/>
        <v>0</v>
      </c>
      <c r="AC93" s="4">
        <f>(L93-M93)*(W93+X93)+($W$2+$X$2-$W$93-$X$93)*(L93)</f>
        <v>2485.0364640000003</v>
      </c>
      <c r="AD93" s="4">
        <f t="shared" si="7"/>
        <v>0</v>
      </c>
      <c r="AE93" s="4">
        <f ca="1">(L93-M93)*(Z93+AA93)+($Z$2+$AA$2-$Z$93-$AA$93)*(L93)</f>
        <v>2875.8910427608084</v>
      </c>
      <c r="AF93" s="3" t="s">
        <v>643</v>
      </c>
    </row>
    <row r="94" spans="1:32" ht="11.25" customHeight="1" x14ac:dyDescent="0.25">
      <c r="A94" s="3" t="s">
        <v>28</v>
      </c>
      <c r="B94" s="3" t="s">
        <v>43</v>
      </c>
      <c r="C94" s="3" t="s">
        <v>23</v>
      </c>
      <c r="D94" s="3" t="s">
        <v>44</v>
      </c>
      <c r="E94" s="3" t="s">
        <v>52</v>
      </c>
      <c r="F94" s="3" t="s">
        <v>54</v>
      </c>
      <c r="G94" s="3" t="s">
        <v>25</v>
      </c>
      <c r="H94" s="3" t="s">
        <v>25</v>
      </c>
      <c r="I94" s="6">
        <v>44593</v>
      </c>
      <c r="J94" s="4">
        <v>0</v>
      </c>
      <c r="K94" s="4">
        <v>0</v>
      </c>
      <c r="L94" s="4">
        <v>3.93</v>
      </c>
      <c r="M94" s="4">
        <v>1.5720000000000001</v>
      </c>
      <c r="N94" s="4">
        <v>3.93</v>
      </c>
      <c r="O94" s="4">
        <v>1.5720000000000001</v>
      </c>
      <c r="P94" s="4">
        <v>0</v>
      </c>
      <c r="Q94" s="3" t="s">
        <v>26</v>
      </c>
      <c r="R94" s="3">
        <v>0</v>
      </c>
      <c r="S94" s="3">
        <v>0</v>
      </c>
      <c r="T94" s="3">
        <v>9</v>
      </c>
      <c r="U94" s="3">
        <v>56</v>
      </c>
      <c r="V94" s="4">
        <f>IF(ISERROR(VLOOKUP($S$94,'TAR FIN'!$A$1:$O$85,15,0)),0,VLOOKUP($S$94,'TAR FIN'!$A$1:$O$85,15,0))</f>
        <v>0</v>
      </c>
      <c r="W94" s="4">
        <f>IF(ISERROR(VLOOKUP($T$94,'TAR FIN'!$A$1:$O$85,15,0)),0,VLOOKUP($T$94,'TAR FIN'!$A$1:$O$85,15,0))</f>
        <v>697.32</v>
      </c>
      <c r="X94" s="4">
        <f>IF(ISERROR(VLOOKUP($U$94,'TAR FIN'!$A$1:$O$85,15,0)),0,VLOOKUP($U$94,'TAR FIN'!$A$1:$O$85,15,0))</f>
        <v>203.57</v>
      </c>
      <c r="Y94" s="4"/>
      <c r="Z94" s="4">
        <f ca="1">('TUSD BE'!$AM$33+'TUSD BF'!$AM$33+'TUSD CVA'!$AM$33)*(1-CUSTOS!$M$38)</f>
        <v>911.35112319392283</v>
      </c>
      <c r="AA94" s="4">
        <f>('TE BE'!$AA$24+'TE BF'!$AA$24+'TE CVA'!$AA$24)*(1-CUSTOS!$M$38)</f>
        <v>245.15495345670945</v>
      </c>
      <c r="AB94" s="4">
        <f t="shared" si="6"/>
        <v>0</v>
      </c>
      <c r="AC94" s="4">
        <f>(L94-M94)*(W94+X94)+($W$2+$X$2-$W$94-$X$94)*(L94)</f>
        <v>2607.0991200000003</v>
      </c>
      <c r="AD94" s="4">
        <f t="shared" si="7"/>
        <v>0</v>
      </c>
      <c r="AE94" s="4">
        <f ca="1">(L94-M94)*(Z94+AA94)+($Z$2+$AA$2-$Z$94-$AA$94)*(L94)</f>
        <v>3017.1521083956154</v>
      </c>
      <c r="AF94" s="3" t="s">
        <v>643</v>
      </c>
    </row>
    <row r="95" spans="1:32" ht="11.25" customHeight="1" x14ac:dyDescent="0.25">
      <c r="A95" s="3" t="s">
        <v>21</v>
      </c>
      <c r="B95" s="3" t="s">
        <v>43</v>
      </c>
      <c r="C95" s="3" t="s">
        <v>23</v>
      </c>
      <c r="D95" s="3" t="s">
        <v>44</v>
      </c>
      <c r="E95" s="3" t="s">
        <v>25</v>
      </c>
      <c r="F95" s="3" t="s">
        <v>25</v>
      </c>
      <c r="G95" s="3" t="s">
        <v>25</v>
      </c>
      <c r="H95" s="3" t="s">
        <v>25</v>
      </c>
      <c r="I95" s="6">
        <v>44287</v>
      </c>
      <c r="J95" s="4">
        <v>0</v>
      </c>
      <c r="K95" s="4">
        <v>0</v>
      </c>
      <c r="L95" s="4">
        <v>315.08999999999997</v>
      </c>
      <c r="M95" s="4">
        <v>315.08999999999997</v>
      </c>
      <c r="N95" s="4">
        <v>315.08999999999997</v>
      </c>
      <c r="O95" s="4">
        <v>315.08999999999997</v>
      </c>
      <c r="P95" s="4">
        <v>577</v>
      </c>
      <c r="Q95" s="3" t="s">
        <v>26</v>
      </c>
      <c r="R95" s="3">
        <v>0</v>
      </c>
      <c r="S95" s="3">
        <v>0</v>
      </c>
      <c r="T95" s="3">
        <v>9</v>
      </c>
      <c r="U95" s="3">
        <v>56</v>
      </c>
      <c r="V95" s="4">
        <f>IF(ISERROR(VLOOKUP($S$95,'TAR FIN'!$A$1:$O$85,15,0)),0,VLOOKUP($S$95,'TAR FIN'!$A$1:$O$85,15,0))</f>
        <v>0</v>
      </c>
      <c r="W95" s="4">
        <f>IF(ISERROR(VLOOKUP($T$95,'TAR FIN'!$A$1:$O$85,15,0)),0,VLOOKUP($T$95,'TAR FIN'!$A$1:$O$85,15,0))</f>
        <v>697.32</v>
      </c>
      <c r="X95" s="4">
        <f>IF(ISERROR(VLOOKUP($U$95,'TAR FIN'!$A$1:$O$85,15,0)),0,VLOOKUP($U$95,'TAR FIN'!$A$1:$O$85,15,0))</f>
        <v>203.57</v>
      </c>
      <c r="Y95" s="4"/>
      <c r="Z95" s="4">
        <f ca="1">('TUSD BE'!$AM$33+'TUSD BF'!$AM$33+'TUSD CVA'!$AM$33)*(1-CUSTOS!$M$38)</f>
        <v>911.35112319392283</v>
      </c>
      <c r="AA95" s="4">
        <f>('TE BE'!$AA$24+'TE BF'!$AA$24+'TE CVA'!$AA$24)*(1-CUSTOS!$M$38)</f>
        <v>245.15495345670945</v>
      </c>
      <c r="AB95" s="4">
        <f t="shared" si="6"/>
        <v>0</v>
      </c>
      <c r="AC95" s="4">
        <f>(L95-M95)*(W95+X95)+($W$2+$X$2-$W$95-$X$95)*(L95)</f>
        <v>38708.806499999984</v>
      </c>
      <c r="AD95" s="4">
        <f t="shared" si="7"/>
        <v>0</v>
      </c>
      <c r="AE95" s="4">
        <f ca="1">(L95-M95)*(Z95+AA95)+($Z$2+$AA$2-$Z$95-$AA$95)*(L95)</f>
        <v>23259.797852671149</v>
      </c>
      <c r="AF95" s="3" t="s">
        <v>642</v>
      </c>
    </row>
    <row r="96" spans="1:32" ht="11.25" customHeight="1" x14ac:dyDescent="0.25">
      <c r="A96" s="3" t="s">
        <v>27</v>
      </c>
      <c r="B96" s="3" t="s">
        <v>43</v>
      </c>
      <c r="C96" s="3" t="s">
        <v>23</v>
      </c>
      <c r="D96" s="3" t="s">
        <v>44</v>
      </c>
      <c r="E96" s="3" t="s">
        <v>25</v>
      </c>
      <c r="F96" s="3" t="s">
        <v>25</v>
      </c>
      <c r="G96" s="3" t="s">
        <v>25</v>
      </c>
      <c r="H96" s="3" t="s">
        <v>25</v>
      </c>
      <c r="I96" s="6">
        <v>44287</v>
      </c>
      <c r="J96" s="4">
        <v>0</v>
      </c>
      <c r="K96" s="4">
        <v>0</v>
      </c>
      <c r="L96" s="4">
        <v>-1.155</v>
      </c>
      <c r="M96" s="4">
        <v>-1.155</v>
      </c>
      <c r="N96" s="4">
        <v>-1.155</v>
      </c>
      <c r="O96" s="4">
        <v>-1.155</v>
      </c>
      <c r="P96" s="4">
        <v>0</v>
      </c>
      <c r="Q96" s="3" t="s">
        <v>26</v>
      </c>
      <c r="R96" s="3">
        <v>0</v>
      </c>
      <c r="S96" s="3">
        <v>0</v>
      </c>
      <c r="T96" s="3">
        <v>9</v>
      </c>
      <c r="U96" s="3">
        <v>56</v>
      </c>
      <c r="V96" s="4">
        <f>IF(ISERROR(VLOOKUP($S$96,'TAR FIN'!$A$1:$O$85,15,0)),0,VLOOKUP($S$96,'TAR FIN'!$A$1:$O$85,15,0))</f>
        <v>0</v>
      </c>
      <c r="W96" s="4">
        <f>IF(ISERROR(VLOOKUP($T$96,'TAR FIN'!$A$1:$O$85,15,0)),0,VLOOKUP($T$96,'TAR FIN'!$A$1:$O$85,15,0))</f>
        <v>697.32</v>
      </c>
      <c r="X96" s="4">
        <f>IF(ISERROR(VLOOKUP($U$96,'TAR FIN'!$A$1:$O$85,15,0)),0,VLOOKUP($U$96,'TAR FIN'!$A$1:$O$85,15,0))</f>
        <v>203.57</v>
      </c>
      <c r="Y96" s="4"/>
      <c r="Z96" s="4">
        <f ca="1">('TUSD BE'!$AM$33+'TUSD BF'!$AM$33+'TUSD CVA'!$AM$33)*(1-CUSTOS!$M$38)</f>
        <v>911.35112319392283</v>
      </c>
      <c r="AA96" s="4">
        <f>('TE BE'!$AA$24+'TE BF'!$AA$24+'TE CVA'!$AA$24)*(1-CUSTOS!$M$38)</f>
        <v>245.15495345670945</v>
      </c>
      <c r="AB96" s="4">
        <f t="shared" si="6"/>
        <v>0</v>
      </c>
      <c r="AC96" s="4">
        <f>(L96-M96)*(W96+X96)+($W$2+$X$2-$W$96-$X$96)*(L96)</f>
        <v>-141.89174999999997</v>
      </c>
      <c r="AD96" s="4">
        <f t="shared" si="7"/>
        <v>0</v>
      </c>
      <c r="AE96" s="4">
        <f ca="1">(L96-M96)*(Z96+AA96)+($Z$2+$AA$2-$Z$96-$AA$96)*(L96)</f>
        <v>-85.26156501264775</v>
      </c>
      <c r="AF96" s="3" t="s">
        <v>642</v>
      </c>
    </row>
    <row r="97" spans="1:32" ht="11.25" customHeight="1" x14ac:dyDescent="0.25">
      <c r="A97" s="3" t="s">
        <v>28</v>
      </c>
      <c r="B97" s="3" t="s">
        <v>43</v>
      </c>
      <c r="C97" s="3" t="s">
        <v>23</v>
      </c>
      <c r="D97" s="3" t="s">
        <v>44</v>
      </c>
      <c r="E97" s="3" t="s">
        <v>25</v>
      </c>
      <c r="F97" s="3" t="s">
        <v>25</v>
      </c>
      <c r="G97" s="3" t="s">
        <v>25</v>
      </c>
      <c r="H97" s="3" t="s">
        <v>25</v>
      </c>
      <c r="I97" s="6">
        <v>44287</v>
      </c>
      <c r="J97" s="4">
        <v>0</v>
      </c>
      <c r="K97" s="4">
        <v>0</v>
      </c>
      <c r="L97" s="4">
        <v>20.838999999999999</v>
      </c>
      <c r="M97" s="4">
        <v>20.838999999999999</v>
      </c>
      <c r="N97" s="4">
        <v>20.838999999999999</v>
      </c>
      <c r="O97" s="4">
        <v>20.838999999999999</v>
      </c>
      <c r="P97" s="4">
        <v>24</v>
      </c>
      <c r="Q97" s="3" t="s">
        <v>26</v>
      </c>
      <c r="R97" s="3">
        <v>0</v>
      </c>
      <c r="S97" s="3">
        <v>0</v>
      </c>
      <c r="T97" s="3">
        <v>9</v>
      </c>
      <c r="U97" s="3">
        <v>56</v>
      </c>
      <c r="V97" s="4">
        <f>IF(ISERROR(VLOOKUP($S$97,'TAR FIN'!$A$1:$O$85,15,0)),0,VLOOKUP($S$97,'TAR FIN'!$A$1:$O$85,15,0))</f>
        <v>0</v>
      </c>
      <c r="W97" s="4">
        <f>IF(ISERROR(VLOOKUP($T$97,'TAR FIN'!$A$1:$O$85,15,0)),0,VLOOKUP($T$97,'TAR FIN'!$A$1:$O$85,15,0))</f>
        <v>697.32</v>
      </c>
      <c r="X97" s="4">
        <f>IF(ISERROR(VLOOKUP($U$97,'TAR FIN'!$A$1:$O$85,15,0)),0,VLOOKUP($U$97,'TAR FIN'!$A$1:$O$85,15,0))</f>
        <v>203.57</v>
      </c>
      <c r="Y97" s="4"/>
      <c r="Z97" s="4">
        <f ca="1">('TUSD BE'!$AM$33+'TUSD BF'!$AM$33+'TUSD CVA'!$AM$33)*(1-CUSTOS!$M$38)</f>
        <v>911.35112319392283</v>
      </c>
      <c r="AA97" s="4">
        <f>('TE BE'!$AA$24+'TE BF'!$AA$24+'TE CVA'!$AA$24)*(1-CUSTOS!$M$38)</f>
        <v>245.15495345670945</v>
      </c>
      <c r="AB97" s="4">
        <f t="shared" si="6"/>
        <v>0</v>
      </c>
      <c r="AC97" s="4">
        <f>(L97-M97)*(W97+X97)+($W$2+$X$2-$W$97-$X$97)*(L97)</f>
        <v>2560.0711499999993</v>
      </c>
      <c r="AD97" s="4">
        <f t="shared" si="7"/>
        <v>0</v>
      </c>
      <c r="AE97" s="4">
        <f ca="1">(L97-M97)*(Z97+AA97)+($Z$2+$AA$2-$Z$97-$AA$97)*(L97)</f>
        <v>1538.3253275312261</v>
      </c>
      <c r="AF97" s="3" t="s">
        <v>642</v>
      </c>
    </row>
    <row r="98" spans="1:32" ht="11.25" customHeight="1" x14ac:dyDescent="0.25">
      <c r="A98" s="3" t="s">
        <v>21</v>
      </c>
      <c r="B98" s="3" t="s">
        <v>43</v>
      </c>
      <c r="C98" s="3" t="s">
        <v>23</v>
      </c>
      <c r="D98" s="3" t="s">
        <v>44</v>
      </c>
      <c r="E98" s="3" t="s">
        <v>25</v>
      </c>
      <c r="F98" s="3" t="s">
        <v>25</v>
      </c>
      <c r="G98" s="3" t="s">
        <v>25</v>
      </c>
      <c r="H98" s="3" t="s">
        <v>25</v>
      </c>
      <c r="I98" s="6">
        <v>44317</v>
      </c>
      <c r="J98" s="4">
        <v>0</v>
      </c>
      <c r="K98" s="4">
        <v>0</v>
      </c>
      <c r="L98" s="4">
        <v>258.86500000000001</v>
      </c>
      <c r="M98" s="4">
        <v>258.86500000000001</v>
      </c>
      <c r="N98" s="4">
        <v>258.86500000000001</v>
      </c>
      <c r="O98" s="4">
        <v>258.86500000000001</v>
      </c>
      <c r="P98" s="4">
        <v>571</v>
      </c>
      <c r="Q98" s="3" t="s">
        <v>26</v>
      </c>
      <c r="R98" s="3">
        <v>0</v>
      </c>
      <c r="S98" s="3">
        <v>0</v>
      </c>
      <c r="T98" s="3">
        <v>9</v>
      </c>
      <c r="U98" s="3">
        <v>56</v>
      </c>
      <c r="V98" s="4">
        <f>IF(ISERROR(VLOOKUP($S$98,'TAR FIN'!$A$1:$O$85,15,0)),0,VLOOKUP($S$98,'TAR FIN'!$A$1:$O$85,15,0))</f>
        <v>0</v>
      </c>
      <c r="W98" s="4">
        <f>IF(ISERROR(VLOOKUP($T$98,'TAR FIN'!$A$1:$O$85,15,0)),0,VLOOKUP($T$98,'TAR FIN'!$A$1:$O$85,15,0))</f>
        <v>697.32</v>
      </c>
      <c r="X98" s="4">
        <f>IF(ISERROR(VLOOKUP($U$98,'TAR FIN'!$A$1:$O$85,15,0)),0,VLOOKUP($U$98,'TAR FIN'!$A$1:$O$85,15,0))</f>
        <v>203.57</v>
      </c>
      <c r="Y98" s="4"/>
      <c r="Z98" s="4">
        <f ca="1">('TUSD BE'!$AM$33+'TUSD BF'!$AM$33+'TUSD CVA'!$AM$33)*(1-CUSTOS!$M$38)</f>
        <v>911.35112319392283</v>
      </c>
      <c r="AA98" s="4">
        <f>('TE BE'!$AA$24+'TE BF'!$AA$24+'TE CVA'!$AA$24)*(1-CUSTOS!$M$38)</f>
        <v>245.15495345670945</v>
      </c>
      <c r="AB98" s="4">
        <f t="shared" ref="AB98:AB125" si="8">(J98-K98)*V98</f>
        <v>0</v>
      </c>
      <c r="AC98" s="4">
        <f>(L98-M98)*(W98+X98)+($W$2+$X$2-$W$98-$X$98)*(L98)</f>
        <v>31801.565249999992</v>
      </c>
      <c r="AD98" s="4">
        <f t="shared" ref="AD98:AD125" si="9">(J98-K98)*Y98</f>
        <v>0</v>
      </c>
      <c r="AE98" s="4">
        <f ca="1">(L98-M98)*(Z98+AA98)+($Z$2+$AA$2-$Z$98-$AA$98)*(L98)</f>
        <v>19109.294395670182</v>
      </c>
      <c r="AF98" s="3" t="s">
        <v>642</v>
      </c>
    </row>
    <row r="99" spans="1:32" ht="11.25" customHeight="1" x14ac:dyDescent="0.25">
      <c r="A99" s="3" t="s">
        <v>28</v>
      </c>
      <c r="B99" s="3" t="s">
        <v>43</v>
      </c>
      <c r="C99" s="3" t="s">
        <v>23</v>
      </c>
      <c r="D99" s="3" t="s">
        <v>44</v>
      </c>
      <c r="E99" s="3" t="s">
        <v>25</v>
      </c>
      <c r="F99" s="3" t="s">
        <v>25</v>
      </c>
      <c r="G99" s="3" t="s">
        <v>25</v>
      </c>
      <c r="H99" s="3" t="s">
        <v>25</v>
      </c>
      <c r="I99" s="6">
        <v>44317</v>
      </c>
      <c r="J99" s="4">
        <v>0</v>
      </c>
      <c r="K99" s="4">
        <v>0</v>
      </c>
      <c r="L99" s="4">
        <v>24.317</v>
      </c>
      <c r="M99" s="4">
        <v>24.317</v>
      </c>
      <c r="N99" s="4">
        <v>24.317</v>
      </c>
      <c r="O99" s="4">
        <v>24.317</v>
      </c>
      <c r="P99" s="4">
        <v>30</v>
      </c>
      <c r="Q99" s="3" t="s">
        <v>26</v>
      </c>
      <c r="R99" s="3">
        <v>0</v>
      </c>
      <c r="S99" s="3">
        <v>0</v>
      </c>
      <c r="T99" s="3">
        <v>9</v>
      </c>
      <c r="U99" s="3">
        <v>56</v>
      </c>
      <c r="V99" s="4">
        <f>IF(ISERROR(VLOOKUP($S$99,'TAR FIN'!$A$1:$O$85,15,0)),0,VLOOKUP($S$99,'TAR FIN'!$A$1:$O$85,15,0))</f>
        <v>0</v>
      </c>
      <c r="W99" s="4">
        <f>IF(ISERROR(VLOOKUP($T$99,'TAR FIN'!$A$1:$O$85,15,0)),0,VLOOKUP($T$99,'TAR FIN'!$A$1:$O$85,15,0))</f>
        <v>697.32</v>
      </c>
      <c r="X99" s="4">
        <f>IF(ISERROR(VLOOKUP($U$99,'TAR FIN'!$A$1:$O$85,15,0)),0,VLOOKUP($U$99,'TAR FIN'!$A$1:$O$85,15,0))</f>
        <v>203.57</v>
      </c>
      <c r="Y99" s="4"/>
      <c r="Z99" s="4">
        <f ca="1">('TUSD BE'!$AM$33+'TUSD BF'!$AM$33+'TUSD CVA'!$AM$33)*(1-CUSTOS!$M$38)</f>
        <v>911.35112319392283</v>
      </c>
      <c r="AA99" s="4">
        <f>('TE BE'!$AA$24+'TE BF'!$AA$24+'TE CVA'!$AA$24)*(1-CUSTOS!$M$38)</f>
        <v>245.15495345670945</v>
      </c>
      <c r="AB99" s="4">
        <f t="shared" si="8"/>
        <v>0</v>
      </c>
      <c r="AC99" s="4">
        <f>(L99-M99)*(W99+X99)+($W$2+$X$2-$W$99-$X$99)*(L99)</f>
        <v>2987.3434499999994</v>
      </c>
      <c r="AD99" s="4">
        <f t="shared" si="9"/>
        <v>0</v>
      </c>
      <c r="AE99" s="4">
        <f ca="1">(L99-M99)*(Z99+AA99)+($Z$2+$AA$2-$Z$99-$AA$99)*(L99)</f>
        <v>1795.0696765476669</v>
      </c>
      <c r="AF99" s="3" t="s">
        <v>642</v>
      </c>
    </row>
    <row r="100" spans="1:32" ht="11.25" customHeight="1" x14ac:dyDescent="0.25">
      <c r="A100" s="3" t="s">
        <v>21</v>
      </c>
      <c r="B100" s="3" t="s">
        <v>43</v>
      </c>
      <c r="C100" s="3" t="s">
        <v>23</v>
      </c>
      <c r="D100" s="3" t="s">
        <v>44</v>
      </c>
      <c r="E100" s="3" t="s">
        <v>25</v>
      </c>
      <c r="F100" s="3" t="s">
        <v>25</v>
      </c>
      <c r="G100" s="3" t="s">
        <v>25</v>
      </c>
      <c r="H100" s="3" t="s">
        <v>25</v>
      </c>
      <c r="I100" s="6">
        <v>44348</v>
      </c>
      <c r="J100" s="4">
        <v>0</v>
      </c>
      <c r="K100" s="4">
        <v>0</v>
      </c>
      <c r="L100" s="4">
        <v>244.72399999999999</v>
      </c>
      <c r="M100" s="4">
        <v>244.72399999999999</v>
      </c>
      <c r="N100" s="4">
        <v>244.72399999999999</v>
      </c>
      <c r="O100" s="4">
        <v>244.72399999999999</v>
      </c>
      <c r="P100" s="4">
        <v>574</v>
      </c>
      <c r="Q100" s="3" t="s">
        <v>26</v>
      </c>
      <c r="R100" s="3">
        <v>0</v>
      </c>
      <c r="S100" s="3">
        <v>0</v>
      </c>
      <c r="T100" s="3">
        <v>9</v>
      </c>
      <c r="U100" s="3">
        <v>56</v>
      </c>
      <c r="V100" s="4">
        <f>IF(ISERROR(VLOOKUP($S$100,'TAR FIN'!$A$1:$O$85,15,0)),0,VLOOKUP($S$100,'TAR FIN'!$A$1:$O$85,15,0))</f>
        <v>0</v>
      </c>
      <c r="W100" s="4">
        <f>IF(ISERROR(VLOOKUP($T$100,'TAR FIN'!$A$1:$O$85,15,0)),0,VLOOKUP($T$100,'TAR FIN'!$A$1:$O$85,15,0))</f>
        <v>697.32</v>
      </c>
      <c r="X100" s="4">
        <f>IF(ISERROR(VLOOKUP($U$100,'TAR FIN'!$A$1:$O$85,15,0)),0,VLOOKUP($U$100,'TAR FIN'!$A$1:$O$85,15,0))</f>
        <v>203.57</v>
      </c>
      <c r="Y100" s="4"/>
      <c r="Z100" s="4">
        <f ca="1">('TUSD BE'!$AM$33+'TUSD BF'!$AM$33+'TUSD CVA'!$AM$33)*(1-CUSTOS!$M$38)</f>
        <v>911.35112319392283</v>
      </c>
      <c r="AA100" s="4">
        <f>('TE BE'!$AA$24+'TE BF'!$AA$24+'TE CVA'!$AA$24)*(1-CUSTOS!$M$38)</f>
        <v>245.15495345670945</v>
      </c>
      <c r="AB100" s="4">
        <f t="shared" si="8"/>
        <v>0</v>
      </c>
      <c r="AC100" s="4">
        <f>(L100-M100)*(W100+X100)+($W$2+$X$2-$W$100-$X$100)*(L100)</f>
        <v>30064.343399999991</v>
      </c>
      <c r="AD100" s="4">
        <f t="shared" si="9"/>
        <v>0</v>
      </c>
      <c r="AE100" s="4">
        <f ca="1">(L100-M100)*(Z100+AA100)+($Z$2+$AA$2-$Z$100-$AA$100)*(L100)</f>
        <v>18065.412325675501</v>
      </c>
      <c r="AF100" s="3" t="s">
        <v>642</v>
      </c>
    </row>
    <row r="101" spans="1:32" ht="11.25" customHeight="1" x14ac:dyDescent="0.25">
      <c r="A101" s="3" t="s">
        <v>28</v>
      </c>
      <c r="B101" s="3" t="s">
        <v>43</v>
      </c>
      <c r="C101" s="3" t="s">
        <v>23</v>
      </c>
      <c r="D101" s="3" t="s">
        <v>44</v>
      </c>
      <c r="E101" s="3" t="s">
        <v>25</v>
      </c>
      <c r="F101" s="3" t="s">
        <v>25</v>
      </c>
      <c r="G101" s="3" t="s">
        <v>25</v>
      </c>
      <c r="H101" s="3" t="s">
        <v>25</v>
      </c>
      <c r="I101" s="6">
        <v>44348</v>
      </c>
      <c r="J101" s="4">
        <v>0</v>
      </c>
      <c r="K101" s="4">
        <v>0</v>
      </c>
      <c r="L101" s="4">
        <v>24.001999999999999</v>
      </c>
      <c r="M101" s="4">
        <v>24.001999999999999</v>
      </c>
      <c r="N101" s="4">
        <v>24.001999999999999</v>
      </c>
      <c r="O101" s="4">
        <v>24.001999999999999</v>
      </c>
      <c r="P101" s="4">
        <v>29</v>
      </c>
      <c r="Q101" s="3" t="s">
        <v>26</v>
      </c>
      <c r="R101" s="3">
        <v>0</v>
      </c>
      <c r="S101" s="3">
        <v>0</v>
      </c>
      <c r="T101" s="3">
        <v>9</v>
      </c>
      <c r="U101" s="3">
        <v>56</v>
      </c>
      <c r="V101" s="4">
        <f>IF(ISERROR(VLOOKUP($S$101,'TAR FIN'!$A$1:$O$85,15,0)),0,VLOOKUP($S$101,'TAR FIN'!$A$1:$O$85,15,0))</f>
        <v>0</v>
      </c>
      <c r="W101" s="4">
        <f>IF(ISERROR(VLOOKUP($T$101,'TAR FIN'!$A$1:$O$85,15,0)),0,VLOOKUP($T$101,'TAR FIN'!$A$1:$O$85,15,0))</f>
        <v>697.32</v>
      </c>
      <c r="X101" s="4">
        <f>IF(ISERROR(VLOOKUP($U$101,'TAR FIN'!$A$1:$O$85,15,0)),0,VLOOKUP($U$101,'TAR FIN'!$A$1:$O$85,15,0))</f>
        <v>203.57</v>
      </c>
      <c r="Y101" s="4"/>
      <c r="Z101" s="4">
        <f ca="1">('TUSD BE'!$AM$33+'TUSD BF'!$AM$33+'TUSD CVA'!$AM$33)*(1-CUSTOS!$M$38)</f>
        <v>911.35112319392283</v>
      </c>
      <c r="AA101" s="4">
        <f>('TE BE'!$AA$24+'TE BF'!$AA$24+'TE CVA'!$AA$24)*(1-CUSTOS!$M$38)</f>
        <v>245.15495345670945</v>
      </c>
      <c r="AB101" s="4">
        <f t="shared" si="8"/>
        <v>0</v>
      </c>
      <c r="AC101" s="4">
        <f>(L101-M101)*(W101+X101)+($W$2+$X$2-$W$101-$X$101)*(L101)</f>
        <v>2948.6456999999991</v>
      </c>
      <c r="AD101" s="4">
        <f t="shared" si="9"/>
        <v>0</v>
      </c>
      <c r="AE101" s="4">
        <f ca="1">(L101-M101)*(Z101+AA101)+($Z$2+$AA$2-$Z$101-$AA$101)*(L101)</f>
        <v>1771.8165224533084</v>
      </c>
      <c r="AF101" s="3" t="s">
        <v>642</v>
      </c>
    </row>
    <row r="102" spans="1:32" ht="11.25" customHeight="1" x14ac:dyDescent="0.25">
      <c r="A102" s="3" t="s">
        <v>21</v>
      </c>
      <c r="B102" s="3" t="s">
        <v>43</v>
      </c>
      <c r="C102" s="3" t="s">
        <v>23</v>
      </c>
      <c r="D102" s="3" t="s">
        <v>44</v>
      </c>
      <c r="E102" s="3" t="s">
        <v>25</v>
      </c>
      <c r="F102" s="3" t="s">
        <v>25</v>
      </c>
      <c r="G102" s="3" t="s">
        <v>25</v>
      </c>
      <c r="H102" s="3" t="s">
        <v>25</v>
      </c>
      <c r="I102" s="6">
        <v>44378</v>
      </c>
      <c r="J102" s="4">
        <v>0</v>
      </c>
      <c r="K102" s="4">
        <v>0</v>
      </c>
      <c r="L102" s="4">
        <v>235.14400000000001</v>
      </c>
      <c r="M102" s="4">
        <v>235.14400000000001</v>
      </c>
      <c r="N102" s="4">
        <v>235.14400000000001</v>
      </c>
      <c r="O102" s="4">
        <v>235.14400000000001</v>
      </c>
      <c r="P102" s="4">
        <v>575</v>
      </c>
      <c r="Q102" s="3" t="s">
        <v>26</v>
      </c>
      <c r="R102" s="3">
        <v>0</v>
      </c>
      <c r="S102" s="3">
        <v>0</v>
      </c>
      <c r="T102" s="3">
        <v>9</v>
      </c>
      <c r="U102" s="3">
        <v>56</v>
      </c>
      <c r="V102" s="4">
        <f>IF(ISERROR(VLOOKUP($S$102,'TAR FIN'!$A$1:$O$85,15,0)),0,VLOOKUP($S$102,'TAR FIN'!$A$1:$O$85,15,0))</f>
        <v>0</v>
      </c>
      <c r="W102" s="4">
        <f>IF(ISERROR(VLOOKUP($T$102,'TAR FIN'!$A$1:$O$85,15,0)),0,VLOOKUP($T$102,'TAR FIN'!$A$1:$O$85,15,0))</f>
        <v>697.32</v>
      </c>
      <c r="X102" s="4">
        <f>IF(ISERROR(VLOOKUP($U$102,'TAR FIN'!$A$1:$O$85,15,0)),0,VLOOKUP($U$102,'TAR FIN'!$A$1:$O$85,15,0))</f>
        <v>203.57</v>
      </c>
      <c r="Y102" s="4"/>
      <c r="Z102" s="4">
        <f ca="1">('TUSD BE'!$AM$33+'TUSD BF'!$AM$33+'TUSD CVA'!$AM$33)*(1-CUSTOS!$M$38)</f>
        <v>911.35112319392283</v>
      </c>
      <c r="AA102" s="4">
        <f>('TE BE'!$AA$24+'TE BF'!$AA$24+'TE CVA'!$AA$24)*(1-CUSTOS!$M$38)</f>
        <v>245.15495345670945</v>
      </c>
      <c r="AB102" s="4">
        <f t="shared" si="8"/>
        <v>0</v>
      </c>
      <c r="AC102" s="4">
        <f>(L102-M102)*(W102+X102)+($W$2+$X$2-$W$102-$X$102)*(L102)</f>
        <v>28887.440399999992</v>
      </c>
      <c r="AD102" s="4">
        <f t="shared" si="9"/>
        <v>0</v>
      </c>
      <c r="AE102" s="4">
        <f ca="1">(L102-M102)*(Z102+AA102)+($Z$2+$AA$2-$Z$102-$AA$102)*(L102)</f>
        <v>17358.221163059778</v>
      </c>
      <c r="AF102" s="3" t="s">
        <v>642</v>
      </c>
    </row>
    <row r="103" spans="1:32" ht="11.25" customHeight="1" x14ac:dyDescent="0.25">
      <c r="A103" s="3" t="s">
        <v>27</v>
      </c>
      <c r="B103" s="3" t="s">
        <v>43</v>
      </c>
      <c r="C103" s="3" t="s">
        <v>23</v>
      </c>
      <c r="D103" s="3" t="s">
        <v>44</v>
      </c>
      <c r="E103" s="3" t="s">
        <v>25</v>
      </c>
      <c r="F103" s="3" t="s">
        <v>25</v>
      </c>
      <c r="G103" s="3" t="s">
        <v>25</v>
      </c>
      <c r="H103" s="3" t="s">
        <v>25</v>
      </c>
      <c r="I103" s="6">
        <v>44378</v>
      </c>
      <c r="J103" s="4">
        <v>0</v>
      </c>
      <c r="K103" s="4">
        <v>0</v>
      </c>
      <c r="L103" s="4">
        <v>-9.6000000000000002E-2</v>
      </c>
      <c r="M103" s="4">
        <v>-9.6000000000000002E-2</v>
      </c>
      <c r="N103" s="4">
        <v>-9.6000000000000002E-2</v>
      </c>
      <c r="O103" s="4">
        <v>-9.6000000000000002E-2</v>
      </c>
      <c r="P103" s="4">
        <v>0</v>
      </c>
      <c r="Q103" s="3" t="s">
        <v>26</v>
      </c>
      <c r="R103" s="3">
        <v>0</v>
      </c>
      <c r="S103" s="3">
        <v>0</v>
      </c>
      <c r="T103" s="3">
        <v>9</v>
      </c>
      <c r="U103" s="3">
        <v>56</v>
      </c>
      <c r="V103" s="4">
        <f>IF(ISERROR(VLOOKUP($S$103,'TAR FIN'!$A$1:$O$85,15,0)),0,VLOOKUP($S$103,'TAR FIN'!$A$1:$O$85,15,0))</f>
        <v>0</v>
      </c>
      <c r="W103" s="4">
        <f>IF(ISERROR(VLOOKUP($T$103,'TAR FIN'!$A$1:$O$85,15,0)),0,VLOOKUP($T$103,'TAR FIN'!$A$1:$O$85,15,0))</f>
        <v>697.32</v>
      </c>
      <c r="X103" s="4">
        <f>IF(ISERROR(VLOOKUP($U$103,'TAR FIN'!$A$1:$O$85,15,0)),0,VLOOKUP($U$103,'TAR FIN'!$A$1:$O$85,15,0))</f>
        <v>203.57</v>
      </c>
      <c r="Y103" s="4"/>
      <c r="Z103" s="4">
        <f ca="1">('TUSD BE'!$AM$33+'TUSD BF'!$AM$33+'TUSD CVA'!$AM$33)*(1-CUSTOS!$M$38)</f>
        <v>911.35112319392283</v>
      </c>
      <c r="AA103" s="4">
        <f>('TE BE'!$AA$24+'TE BF'!$AA$24+'TE CVA'!$AA$24)*(1-CUSTOS!$M$38)</f>
        <v>245.15495345670945</v>
      </c>
      <c r="AB103" s="4">
        <f t="shared" si="8"/>
        <v>0</v>
      </c>
      <c r="AC103" s="4">
        <f>(L103-M103)*(W103+X103)+($W$2+$X$2-$W$103-$X$103)*(L103)</f>
        <v>-11.793599999999996</v>
      </c>
      <c r="AD103" s="4">
        <f t="shared" si="9"/>
        <v>0</v>
      </c>
      <c r="AE103" s="4">
        <f ca="1">(L103-M103)*(Z103+AA103)+($Z$2+$AA$2-$Z$103-$AA$103)*(L103)</f>
        <v>-7.0866755335187737</v>
      </c>
      <c r="AF103" s="3" t="s">
        <v>642</v>
      </c>
    </row>
    <row r="104" spans="1:32" ht="11.25" customHeight="1" x14ac:dyDescent="0.25">
      <c r="A104" s="3" t="s">
        <v>28</v>
      </c>
      <c r="B104" s="3" t="s">
        <v>43</v>
      </c>
      <c r="C104" s="3" t="s">
        <v>23</v>
      </c>
      <c r="D104" s="3" t="s">
        <v>44</v>
      </c>
      <c r="E104" s="3" t="s">
        <v>25</v>
      </c>
      <c r="F104" s="3" t="s">
        <v>25</v>
      </c>
      <c r="G104" s="3" t="s">
        <v>25</v>
      </c>
      <c r="H104" s="3" t="s">
        <v>25</v>
      </c>
      <c r="I104" s="6">
        <v>44378</v>
      </c>
      <c r="J104" s="4">
        <v>0</v>
      </c>
      <c r="K104" s="4">
        <v>0</v>
      </c>
      <c r="L104" s="4">
        <v>22.145</v>
      </c>
      <c r="M104" s="4">
        <v>22.145</v>
      </c>
      <c r="N104" s="4">
        <v>22.145</v>
      </c>
      <c r="O104" s="4">
        <v>22.145</v>
      </c>
      <c r="P104" s="4">
        <v>30</v>
      </c>
      <c r="Q104" s="3" t="s">
        <v>26</v>
      </c>
      <c r="R104" s="3">
        <v>0</v>
      </c>
      <c r="S104" s="3">
        <v>0</v>
      </c>
      <c r="T104" s="3">
        <v>9</v>
      </c>
      <c r="U104" s="3">
        <v>56</v>
      </c>
      <c r="V104" s="4">
        <f>IF(ISERROR(VLOOKUP($S$104,'TAR FIN'!$A$1:$O$85,15,0)),0,VLOOKUP($S$104,'TAR FIN'!$A$1:$O$85,15,0))</f>
        <v>0</v>
      </c>
      <c r="W104" s="4">
        <f>IF(ISERROR(VLOOKUP($T$104,'TAR FIN'!$A$1:$O$85,15,0)),0,VLOOKUP($T$104,'TAR FIN'!$A$1:$O$85,15,0))</f>
        <v>697.32</v>
      </c>
      <c r="X104" s="4">
        <f>IF(ISERROR(VLOOKUP($U$104,'TAR FIN'!$A$1:$O$85,15,0)),0,VLOOKUP($U$104,'TAR FIN'!$A$1:$O$85,15,0))</f>
        <v>203.57</v>
      </c>
      <c r="Y104" s="4"/>
      <c r="Z104" s="4">
        <f ca="1">('TUSD BE'!$AM$33+'TUSD BF'!$AM$33+'TUSD CVA'!$AM$33)*(1-CUSTOS!$M$38)</f>
        <v>911.35112319392283</v>
      </c>
      <c r="AA104" s="4">
        <f>('TE BE'!$AA$24+'TE BF'!$AA$24+'TE CVA'!$AA$24)*(1-CUSTOS!$M$38)</f>
        <v>245.15495345670945</v>
      </c>
      <c r="AB104" s="4">
        <f t="shared" si="8"/>
        <v>0</v>
      </c>
      <c r="AC104" s="4">
        <f>(L104-M104)*(W104+X104)+($W$2+$X$2-$W$104-$X$104)*(L104)</f>
        <v>2720.5132499999991</v>
      </c>
      <c r="AD104" s="4">
        <f t="shared" si="9"/>
        <v>0</v>
      </c>
      <c r="AE104" s="4">
        <f ca="1">(L104-M104)*(Z104+AA104)+($Z$2+$AA$2-$Z$104-$AA$104)*(L104)</f>
        <v>1634.7336426018046</v>
      </c>
      <c r="AF104" s="3" t="s">
        <v>642</v>
      </c>
    </row>
    <row r="105" spans="1:32" ht="11.25" customHeight="1" x14ac:dyDescent="0.25">
      <c r="A105" s="3" t="s">
        <v>21</v>
      </c>
      <c r="B105" s="3" t="s">
        <v>43</v>
      </c>
      <c r="C105" s="3" t="s">
        <v>23</v>
      </c>
      <c r="D105" s="3" t="s">
        <v>44</v>
      </c>
      <c r="E105" s="3" t="s">
        <v>25</v>
      </c>
      <c r="F105" s="3" t="s">
        <v>25</v>
      </c>
      <c r="G105" s="3" t="s">
        <v>25</v>
      </c>
      <c r="H105" s="3" t="s">
        <v>25</v>
      </c>
      <c r="I105" s="6">
        <v>44409</v>
      </c>
      <c r="J105" s="4">
        <v>0</v>
      </c>
      <c r="K105" s="4">
        <v>0</v>
      </c>
      <c r="L105" s="4">
        <v>221.601</v>
      </c>
      <c r="M105" s="4">
        <v>221.601</v>
      </c>
      <c r="N105" s="4">
        <v>221.601</v>
      </c>
      <c r="O105" s="4">
        <v>221.601</v>
      </c>
      <c r="P105" s="4">
        <v>571</v>
      </c>
      <c r="Q105" s="3" t="s">
        <v>26</v>
      </c>
      <c r="R105" s="3">
        <v>0</v>
      </c>
      <c r="S105" s="3">
        <v>0</v>
      </c>
      <c r="T105" s="3">
        <v>9</v>
      </c>
      <c r="U105" s="3">
        <v>56</v>
      </c>
      <c r="V105" s="4">
        <f>IF(ISERROR(VLOOKUP($S$105,'TAR FIN'!$A$1:$O$85,15,0)),0,VLOOKUP($S$105,'TAR FIN'!$A$1:$O$85,15,0))</f>
        <v>0</v>
      </c>
      <c r="W105" s="4">
        <f>IF(ISERROR(VLOOKUP($T$105,'TAR FIN'!$A$1:$O$85,15,0)),0,VLOOKUP($T$105,'TAR FIN'!$A$1:$O$85,15,0))</f>
        <v>697.32</v>
      </c>
      <c r="X105" s="4">
        <f>IF(ISERROR(VLOOKUP($U$105,'TAR FIN'!$A$1:$O$85,15,0)),0,VLOOKUP($U$105,'TAR FIN'!$A$1:$O$85,15,0))</f>
        <v>203.57</v>
      </c>
      <c r="Y105" s="4"/>
      <c r="Z105" s="4">
        <f ca="1">('TUSD BE'!$AM$33+'TUSD BF'!$AM$33+'TUSD CVA'!$AM$33)*(1-CUSTOS!$M$38)</f>
        <v>911.35112319392283</v>
      </c>
      <c r="AA105" s="4">
        <f>('TE BE'!$AA$24+'TE BF'!$AA$24+'TE CVA'!$AA$24)*(1-CUSTOS!$M$38)</f>
        <v>245.15495345670945</v>
      </c>
      <c r="AB105" s="4">
        <f t="shared" si="8"/>
        <v>0</v>
      </c>
      <c r="AC105" s="4">
        <f>(L105-M105)*(W105+X105)+($W$2+$X$2-$W$105-$X$105)*(L105)</f>
        <v>27223.682849999994</v>
      </c>
      <c r="AD105" s="4">
        <f t="shared" si="9"/>
        <v>0</v>
      </c>
      <c r="AE105" s="4">
        <f ca="1">(L105-M105)*(Z105+AA105)+($Z$2+$AA$2-$Z$105-$AA$105)*(L105)</f>
        <v>16358.483176075977</v>
      </c>
      <c r="AF105" s="3" t="s">
        <v>642</v>
      </c>
    </row>
    <row r="106" spans="1:32" ht="11.25" customHeight="1" x14ac:dyDescent="0.25">
      <c r="A106" s="3" t="s">
        <v>28</v>
      </c>
      <c r="B106" s="3" t="s">
        <v>43</v>
      </c>
      <c r="C106" s="3" t="s">
        <v>23</v>
      </c>
      <c r="D106" s="3" t="s">
        <v>44</v>
      </c>
      <c r="E106" s="3" t="s">
        <v>25</v>
      </c>
      <c r="F106" s="3" t="s">
        <v>25</v>
      </c>
      <c r="G106" s="3" t="s">
        <v>25</v>
      </c>
      <c r="H106" s="3" t="s">
        <v>25</v>
      </c>
      <c r="I106" s="6">
        <v>44409</v>
      </c>
      <c r="J106" s="4">
        <v>0</v>
      </c>
      <c r="K106" s="4">
        <v>0</v>
      </c>
      <c r="L106" s="4">
        <v>22.946000000000002</v>
      </c>
      <c r="M106" s="4">
        <v>22.946000000000002</v>
      </c>
      <c r="N106" s="4">
        <v>22.946000000000002</v>
      </c>
      <c r="O106" s="4">
        <v>22.946000000000002</v>
      </c>
      <c r="P106" s="4">
        <v>34</v>
      </c>
      <c r="Q106" s="3" t="s">
        <v>26</v>
      </c>
      <c r="R106" s="3">
        <v>0</v>
      </c>
      <c r="S106" s="3">
        <v>0</v>
      </c>
      <c r="T106" s="3">
        <v>9</v>
      </c>
      <c r="U106" s="3">
        <v>56</v>
      </c>
      <c r="V106" s="4">
        <f>IF(ISERROR(VLOOKUP($S$106,'TAR FIN'!$A$1:$O$85,15,0)),0,VLOOKUP($S$106,'TAR FIN'!$A$1:$O$85,15,0))</f>
        <v>0</v>
      </c>
      <c r="W106" s="4">
        <f>IF(ISERROR(VLOOKUP($T$106,'TAR FIN'!$A$1:$O$85,15,0)),0,VLOOKUP($T$106,'TAR FIN'!$A$1:$O$85,15,0))</f>
        <v>697.32</v>
      </c>
      <c r="X106" s="4">
        <f>IF(ISERROR(VLOOKUP($U$106,'TAR FIN'!$A$1:$O$85,15,0)),0,VLOOKUP($U$106,'TAR FIN'!$A$1:$O$85,15,0))</f>
        <v>203.57</v>
      </c>
      <c r="Y106" s="4"/>
      <c r="Z106" s="4">
        <f ca="1">('TUSD BE'!$AM$33+'TUSD BF'!$AM$33+'TUSD CVA'!$AM$33)*(1-CUSTOS!$M$38)</f>
        <v>911.35112319392283</v>
      </c>
      <c r="AA106" s="4">
        <f>('TE BE'!$AA$24+'TE BF'!$AA$24+'TE CVA'!$AA$24)*(1-CUSTOS!$M$38)</f>
        <v>245.15495345670945</v>
      </c>
      <c r="AB106" s="4">
        <f t="shared" si="8"/>
        <v>0</v>
      </c>
      <c r="AC106" s="4">
        <f>(L106-M106)*(W106+X106)+($W$2+$X$2-$W$106-$X$106)*(L106)</f>
        <v>2818.9160999999995</v>
      </c>
      <c r="AD106" s="4">
        <f t="shared" si="9"/>
        <v>0</v>
      </c>
      <c r="AE106" s="4">
        <f ca="1">(L106-M106)*(Z106+AA106)+($Z$2+$AA$2-$Z$106-$AA$106)*(L106)</f>
        <v>1693.863091584602</v>
      </c>
      <c r="AF106" s="3" t="s">
        <v>642</v>
      </c>
    </row>
    <row r="107" spans="1:32" ht="11.25" customHeight="1" x14ac:dyDescent="0.25">
      <c r="A107" s="3" t="s">
        <v>21</v>
      </c>
      <c r="B107" s="3" t="s">
        <v>43</v>
      </c>
      <c r="C107" s="3" t="s">
        <v>23</v>
      </c>
      <c r="D107" s="3" t="s">
        <v>44</v>
      </c>
      <c r="E107" s="3" t="s">
        <v>25</v>
      </c>
      <c r="F107" s="3" t="s">
        <v>25</v>
      </c>
      <c r="G107" s="3" t="s">
        <v>25</v>
      </c>
      <c r="H107" s="3" t="s">
        <v>25</v>
      </c>
      <c r="I107" s="6">
        <v>44440</v>
      </c>
      <c r="J107" s="4">
        <v>0</v>
      </c>
      <c r="K107" s="4">
        <v>0</v>
      </c>
      <c r="L107" s="4">
        <v>250.00299999999999</v>
      </c>
      <c r="M107" s="4">
        <v>250.00299999999999</v>
      </c>
      <c r="N107" s="4">
        <v>250.00299999999999</v>
      </c>
      <c r="O107" s="4">
        <v>250.00299999999999</v>
      </c>
      <c r="P107" s="4">
        <v>568</v>
      </c>
      <c r="Q107" s="3" t="s">
        <v>26</v>
      </c>
      <c r="R107" s="3">
        <v>0</v>
      </c>
      <c r="S107" s="3">
        <v>0</v>
      </c>
      <c r="T107" s="3">
        <v>9</v>
      </c>
      <c r="U107" s="3">
        <v>56</v>
      </c>
      <c r="V107" s="4">
        <f>IF(ISERROR(VLOOKUP($S$107,'TAR FIN'!$A$1:$O$85,15,0)),0,VLOOKUP($S$107,'TAR FIN'!$A$1:$O$85,15,0))</f>
        <v>0</v>
      </c>
      <c r="W107" s="4">
        <f>IF(ISERROR(VLOOKUP($T$107,'TAR FIN'!$A$1:$O$85,15,0)),0,VLOOKUP($T$107,'TAR FIN'!$A$1:$O$85,15,0))</f>
        <v>697.32</v>
      </c>
      <c r="X107" s="4">
        <f>IF(ISERROR(VLOOKUP($U$107,'TAR FIN'!$A$1:$O$85,15,0)),0,VLOOKUP($U$107,'TAR FIN'!$A$1:$O$85,15,0))</f>
        <v>203.57</v>
      </c>
      <c r="Y107" s="4"/>
      <c r="Z107" s="4">
        <f ca="1">('TUSD BE'!$AM$33+'TUSD BF'!$AM$33+'TUSD CVA'!$AM$33)*(1-CUSTOS!$M$38)</f>
        <v>911.35112319392283</v>
      </c>
      <c r="AA107" s="4">
        <f>('TE BE'!$AA$24+'TE BF'!$AA$24+'TE CVA'!$AA$24)*(1-CUSTOS!$M$38)</f>
        <v>245.15495345670945</v>
      </c>
      <c r="AB107" s="4">
        <f t="shared" si="8"/>
        <v>0</v>
      </c>
      <c r="AC107" s="4">
        <f>(L107-M107)*(W107+X107)+($W$2+$X$2-$W$107-$X$107)*(L107)</f>
        <v>30712.868549999988</v>
      </c>
      <c r="AD107" s="4">
        <f t="shared" si="9"/>
        <v>0</v>
      </c>
      <c r="AE107" s="4">
        <f ca="1">(L107-M107)*(Z107+AA107)+($Z$2+$AA$2-$Z$107-$AA$107)*(L107)</f>
        <v>18455.105660482226</v>
      </c>
      <c r="AF107" s="3" t="s">
        <v>642</v>
      </c>
    </row>
    <row r="108" spans="1:32" ht="11.25" customHeight="1" x14ac:dyDescent="0.25">
      <c r="A108" s="3" t="s">
        <v>27</v>
      </c>
      <c r="B108" s="3" t="s">
        <v>43</v>
      </c>
      <c r="C108" s="3" t="s">
        <v>23</v>
      </c>
      <c r="D108" s="3" t="s">
        <v>44</v>
      </c>
      <c r="E108" s="3" t="s">
        <v>25</v>
      </c>
      <c r="F108" s="3" t="s">
        <v>25</v>
      </c>
      <c r="G108" s="3" t="s">
        <v>25</v>
      </c>
      <c r="H108" s="3" t="s">
        <v>25</v>
      </c>
      <c r="I108" s="6">
        <v>44440</v>
      </c>
      <c r="J108" s="4">
        <v>0</v>
      </c>
      <c r="K108" s="4">
        <v>0</v>
      </c>
      <c r="L108" s="4">
        <v>-0.1</v>
      </c>
      <c r="M108" s="4">
        <v>-0.1</v>
      </c>
      <c r="N108" s="4">
        <v>-0.1</v>
      </c>
      <c r="O108" s="4">
        <v>-0.1</v>
      </c>
      <c r="P108" s="4">
        <v>0</v>
      </c>
      <c r="Q108" s="3" t="s">
        <v>26</v>
      </c>
      <c r="R108" s="3">
        <v>0</v>
      </c>
      <c r="S108" s="3">
        <v>0</v>
      </c>
      <c r="T108" s="3">
        <v>9</v>
      </c>
      <c r="U108" s="3">
        <v>56</v>
      </c>
      <c r="V108" s="4">
        <f>IF(ISERROR(VLOOKUP($S$108,'TAR FIN'!$A$1:$O$85,15,0)),0,VLOOKUP($S$108,'TAR FIN'!$A$1:$O$85,15,0))</f>
        <v>0</v>
      </c>
      <c r="W108" s="4">
        <f>IF(ISERROR(VLOOKUP($T$108,'TAR FIN'!$A$1:$O$85,15,0)),0,VLOOKUP($T$108,'TAR FIN'!$A$1:$O$85,15,0))</f>
        <v>697.32</v>
      </c>
      <c r="X108" s="4">
        <f>IF(ISERROR(VLOOKUP($U$108,'TAR FIN'!$A$1:$O$85,15,0)),0,VLOOKUP($U$108,'TAR FIN'!$A$1:$O$85,15,0))</f>
        <v>203.57</v>
      </c>
      <c r="Y108" s="4"/>
      <c r="Z108" s="4">
        <f ca="1">('TUSD BE'!$AM$33+'TUSD BF'!$AM$33+'TUSD CVA'!$AM$33)*(1-CUSTOS!$M$38)</f>
        <v>911.35112319392283</v>
      </c>
      <c r="AA108" s="4">
        <f>('TE BE'!$AA$24+'TE BF'!$AA$24+'TE CVA'!$AA$24)*(1-CUSTOS!$M$38)</f>
        <v>245.15495345670945</v>
      </c>
      <c r="AB108" s="4">
        <f t="shared" si="8"/>
        <v>0</v>
      </c>
      <c r="AC108" s="4">
        <f>(L108-M108)*(W108+X108)+($W$2+$X$2-$W$108-$X$108)*(L108)</f>
        <v>-12.284999999999997</v>
      </c>
      <c r="AD108" s="4">
        <f t="shared" si="9"/>
        <v>0</v>
      </c>
      <c r="AE108" s="4">
        <f ca="1">(L108-M108)*(Z108+AA108)+($Z$2+$AA$2-$Z$108-$AA$108)*(L108)</f>
        <v>-7.3819536807487225</v>
      </c>
      <c r="AF108" s="3" t="s">
        <v>642</v>
      </c>
    </row>
    <row r="109" spans="1:32" ht="11.25" customHeight="1" x14ac:dyDescent="0.25">
      <c r="A109" s="3" t="s">
        <v>28</v>
      </c>
      <c r="B109" s="3" t="s">
        <v>43</v>
      </c>
      <c r="C109" s="3" t="s">
        <v>23</v>
      </c>
      <c r="D109" s="3" t="s">
        <v>44</v>
      </c>
      <c r="E109" s="3" t="s">
        <v>25</v>
      </c>
      <c r="F109" s="3" t="s">
        <v>25</v>
      </c>
      <c r="G109" s="3" t="s">
        <v>25</v>
      </c>
      <c r="H109" s="3" t="s">
        <v>25</v>
      </c>
      <c r="I109" s="6">
        <v>44440</v>
      </c>
      <c r="J109" s="4">
        <v>0</v>
      </c>
      <c r="K109" s="4">
        <v>0</v>
      </c>
      <c r="L109" s="4">
        <v>25.404</v>
      </c>
      <c r="M109" s="4">
        <v>25.404</v>
      </c>
      <c r="N109" s="4">
        <v>25.404</v>
      </c>
      <c r="O109" s="4">
        <v>25.404</v>
      </c>
      <c r="P109" s="4">
        <v>34</v>
      </c>
      <c r="Q109" s="3" t="s">
        <v>26</v>
      </c>
      <c r="R109" s="3">
        <v>0</v>
      </c>
      <c r="S109" s="3">
        <v>0</v>
      </c>
      <c r="T109" s="3">
        <v>9</v>
      </c>
      <c r="U109" s="3">
        <v>56</v>
      </c>
      <c r="V109" s="4">
        <f>IF(ISERROR(VLOOKUP($S$109,'TAR FIN'!$A$1:$O$85,15,0)),0,VLOOKUP($S$109,'TAR FIN'!$A$1:$O$85,15,0))</f>
        <v>0</v>
      </c>
      <c r="W109" s="4">
        <f>IF(ISERROR(VLOOKUP($T$109,'TAR FIN'!$A$1:$O$85,15,0)),0,VLOOKUP($T$109,'TAR FIN'!$A$1:$O$85,15,0))</f>
        <v>697.32</v>
      </c>
      <c r="X109" s="4">
        <f>IF(ISERROR(VLOOKUP($U$109,'TAR FIN'!$A$1:$O$85,15,0)),0,VLOOKUP($U$109,'TAR FIN'!$A$1:$O$85,15,0))</f>
        <v>203.57</v>
      </c>
      <c r="Y109" s="4"/>
      <c r="Z109" s="4">
        <f ca="1">('TUSD BE'!$AM$33+'TUSD BF'!$AM$33+'TUSD CVA'!$AM$33)*(1-CUSTOS!$M$38)</f>
        <v>911.35112319392283</v>
      </c>
      <c r="AA109" s="4">
        <f>('TE BE'!$AA$24+'TE BF'!$AA$24+'TE CVA'!$AA$24)*(1-CUSTOS!$M$38)</f>
        <v>245.15495345670945</v>
      </c>
      <c r="AB109" s="4">
        <f t="shared" si="8"/>
        <v>0</v>
      </c>
      <c r="AC109" s="4">
        <f>(L109-M109)*(W109+X109)+($W$2+$X$2-$W$109-$X$109)*(L109)</f>
        <v>3120.8813999999993</v>
      </c>
      <c r="AD109" s="4">
        <f t="shared" si="9"/>
        <v>0</v>
      </c>
      <c r="AE109" s="4">
        <f ca="1">(L109-M109)*(Z109+AA109)+($Z$2+$AA$2-$Z$109-$AA$109)*(L109)</f>
        <v>1875.3115130574054</v>
      </c>
      <c r="AF109" s="3" t="s">
        <v>642</v>
      </c>
    </row>
    <row r="110" spans="1:32" ht="11.25" customHeight="1" x14ac:dyDescent="0.25">
      <c r="A110" s="3" t="s">
        <v>21</v>
      </c>
      <c r="B110" s="3" t="s">
        <v>43</v>
      </c>
      <c r="C110" s="3" t="s">
        <v>23</v>
      </c>
      <c r="D110" s="3" t="s">
        <v>44</v>
      </c>
      <c r="E110" s="3" t="s">
        <v>25</v>
      </c>
      <c r="F110" s="3" t="s">
        <v>25</v>
      </c>
      <c r="G110" s="3" t="s">
        <v>25</v>
      </c>
      <c r="H110" s="3" t="s">
        <v>25</v>
      </c>
      <c r="I110" s="6">
        <v>44470</v>
      </c>
      <c r="J110" s="4">
        <v>0</v>
      </c>
      <c r="K110" s="4">
        <v>0</v>
      </c>
      <c r="L110" s="4">
        <v>241.17099999999999</v>
      </c>
      <c r="M110" s="4">
        <v>241.17099999999999</v>
      </c>
      <c r="N110" s="4">
        <v>241.17099999999999</v>
      </c>
      <c r="O110" s="4">
        <v>241.17099999999999</v>
      </c>
      <c r="P110" s="4">
        <v>566</v>
      </c>
      <c r="Q110" s="3" t="s">
        <v>26</v>
      </c>
      <c r="R110" s="3">
        <v>0</v>
      </c>
      <c r="S110" s="3">
        <v>0</v>
      </c>
      <c r="T110" s="3">
        <v>9</v>
      </c>
      <c r="U110" s="3">
        <v>56</v>
      </c>
      <c r="V110" s="4">
        <f>IF(ISERROR(VLOOKUP($S$110,'TAR FIN'!$A$1:$O$85,15,0)),0,VLOOKUP($S$110,'TAR FIN'!$A$1:$O$85,15,0))</f>
        <v>0</v>
      </c>
      <c r="W110" s="4">
        <f>IF(ISERROR(VLOOKUP($T$110,'TAR FIN'!$A$1:$O$85,15,0)),0,VLOOKUP($T$110,'TAR FIN'!$A$1:$O$85,15,0))</f>
        <v>697.32</v>
      </c>
      <c r="X110" s="4">
        <f>IF(ISERROR(VLOOKUP($U$110,'TAR FIN'!$A$1:$O$85,15,0)),0,VLOOKUP($U$110,'TAR FIN'!$A$1:$O$85,15,0))</f>
        <v>203.57</v>
      </c>
      <c r="Y110" s="4"/>
      <c r="Z110" s="4">
        <f ca="1">('TUSD BE'!$AM$33+'TUSD BF'!$AM$33+'TUSD CVA'!$AM$33)*(1-CUSTOS!$M$38)</f>
        <v>911.35112319392283</v>
      </c>
      <c r="AA110" s="4">
        <f>('TE BE'!$AA$24+'TE BF'!$AA$24+'TE CVA'!$AA$24)*(1-CUSTOS!$M$38)</f>
        <v>245.15495345670945</v>
      </c>
      <c r="AB110" s="4">
        <f t="shared" si="8"/>
        <v>0</v>
      </c>
      <c r="AC110" s="4">
        <f>(L110-M110)*(W110+X110)+($W$2+$X$2-$W$110-$X$110)*(L110)</f>
        <v>29627.857349999991</v>
      </c>
      <c r="AD110" s="4">
        <f t="shared" si="9"/>
        <v>0</v>
      </c>
      <c r="AE110" s="4">
        <f ca="1">(L110-M110)*(Z110+AA110)+($Z$2+$AA$2-$Z$110-$AA$110)*(L110)</f>
        <v>17803.1315113985</v>
      </c>
      <c r="AF110" s="3" t="s">
        <v>642</v>
      </c>
    </row>
    <row r="111" spans="1:32" ht="11.25" customHeight="1" x14ac:dyDescent="0.25">
      <c r="A111" s="3" t="s">
        <v>28</v>
      </c>
      <c r="B111" s="3" t="s">
        <v>43</v>
      </c>
      <c r="C111" s="3" t="s">
        <v>23</v>
      </c>
      <c r="D111" s="3" t="s">
        <v>44</v>
      </c>
      <c r="E111" s="3" t="s">
        <v>25</v>
      </c>
      <c r="F111" s="3" t="s">
        <v>25</v>
      </c>
      <c r="G111" s="3" t="s">
        <v>25</v>
      </c>
      <c r="H111" s="3" t="s">
        <v>25</v>
      </c>
      <c r="I111" s="6">
        <v>44470</v>
      </c>
      <c r="J111" s="4">
        <v>0</v>
      </c>
      <c r="K111" s="4">
        <v>0</v>
      </c>
      <c r="L111" s="4">
        <v>24.452999999999999</v>
      </c>
      <c r="M111" s="4">
        <v>24.452999999999999</v>
      </c>
      <c r="N111" s="4">
        <v>24.452999999999999</v>
      </c>
      <c r="O111" s="4">
        <v>24.452999999999999</v>
      </c>
      <c r="P111" s="4">
        <v>37</v>
      </c>
      <c r="Q111" s="3" t="s">
        <v>26</v>
      </c>
      <c r="R111" s="3">
        <v>0</v>
      </c>
      <c r="S111" s="3">
        <v>0</v>
      </c>
      <c r="T111" s="3">
        <v>9</v>
      </c>
      <c r="U111" s="3">
        <v>56</v>
      </c>
      <c r="V111" s="4">
        <f>IF(ISERROR(VLOOKUP($S$111,'TAR FIN'!$A$1:$O$85,15,0)),0,VLOOKUP($S$111,'TAR FIN'!$A$1:$O$85,15,0))</f>
        <v>0</v>
      </c>
      <c r="W111" s="4">
        <f>IF(ISERROR(VLOOKUP($T$111,'TAR FIN'!$A$1:$O$85,15,0)),0,VLOOKUP($T$111,'TAR FIN'!$A$1:$O$85,15,0))</f>
        <v>697.32</v>
      </c>
      <c r="X111" s="4">
        <f>IF(ISERROR(VLOOKUP($U$111,'TAR FIN'!$A$1:$O$85,15,0)),0,VLOOKUP($U$111,'TAR FIN'!$A$1:$O$85,15,0))</f>
        <v>203.57</v>
      </c>
      <c r="Y111" s="4"/>
      <c r="Z111" s="4">
        <f ca="1">('TUSD BE'!$AM$33+'TUSD BF'!$AM$33+'TUSD CVA'!$AM$33)*(1-CUSTOS!$M$38)</f>
        <v>911.35112319392283</v>
      </c>
      <c r="AA111" s="4">
        <f>('TE BE'!$AA$24+'TE BF'!$AA$24+'TE CVA'!$AA$24)*(1-CUSTOS!$M$38)</f>
        <v>245.15495345670945</v>
      </c>
      <c r="AB111" s="4">
        <f t="shared" si="8"/>
        <v>0</v>
      </c>
      <c r="AC111" s="4">
        <f>(L111-M111)*(W111+X111)+($W$2+$X$2-$W$111-$X$111)*(L111)</f>
        <v>3004.0510499999991</v>
      </c>
      <c r="AD111" s="4">
        <f t="shared" si="9"/>
        <v>0</v>
      </c>
      <c r="AE111" s="4">
        <f ca="1">(L111-M111)*(Z111+AA111)+($Z$2+$AA$2-$Z$111-$AA$111)*(L111)</f>
        <v>1805.109133553485</v>
      </c>
      <c r="AF111" s="3" t="s">
        <v>642</v>
      </c>
    </row>
    <row r="112" spans="1:32" ht="11.25" customHeight="1" x14ac:dyDescent="0.25">
      <c r="A112" s="3" t="s">
        <v>21</v>
      </c>
      <c r="B112" s="3" t="s">
        <v>43</v>
      </c>
      <c r="C112" s="3" t="s">
        <v>23</v>
      </c>
      <c r="D112" s="3" t="s">
        <v>44</v>
      </c>
      <c r="E112" s="3" t="s">
        <v>25</v>
      </c>
      <c r="F112" s="3" t="s">
        <v>25</v>
      </c>
      <c r="G112" s="3" t="s">
        <v>25</v>
      </c>
      <c r="H112" s="3" t="s">
        <v>25</v>
      </c>
      <c r="I112" s="6">
        <v>44501</v>
      </c>
      <c r="J112" s="4">
        <v>0</v>
      </c>
      <c r="K112" s="4">
        <v>0</v>
      </c>
      <c r="L112" s="4">
        <v>229.04900000000001</v>
      </c>
      <c r="M112" s="4">
        <v>229.04900000000001</v>
      </c>
      <c r="N112" s="4">
        <v>229.04900000000001</v>
      </c>
      <c r="O112" s="4">
        <v>229.04900000000001</v>
      </c>
      <c r="P112" s="4">
        <v>559</v>
      </c>
      <c r="Q112" s="3" t="s">
        <v>26</v>
      </c>
      <c r="R112" s="3">
        <v>0</v>
      </c>
      <c r="S112" s="3">
        <v>0</v>
      </c>
      <c r="T112" s="3">
        <v>9</v>
      </c>
      <c r="U112" s="3">
        <v>56</v>
      </c>
      <c r="V112" s="4">
        <f>IF(ISERROR(VLOOKUP($S$112,'TAR FIN'!$A$1:$O$85,15,0)),0,VLOOKUP($S$112,'TAR FIN'!$A$1:$O$85,15,0))</f>
        <v>0</v>
      </c>
      <c r="W112" s="4">
        <f>IF(ISERROR(VLOOKUP($T$112,'TAR FIN'!$A$1:$O$85,15,0)),0,VLOOKUP($T$112,'TAR FIN'!$A$1:$O$85,15,0))</f>
        <v>697.32</v>
      </c>
      <c r="X112" s="4">
        <f>IF(ISERROR(VLOOKUP($U$112,'TAR FIN'!$A$1:$O$85,15,0)),0,VLOOKUP($U$112,'TAR FIN'!$A$1:$O$85,15,0))</f>
        <v>203.57</v>
      </c>
      <c r="Y112" s="4"/>
      <c r="Z112" s="4">
        <f ca="1">('TUSD BE'!$AM$33+'TUSD BF'!$AM$33+'TUSD CVA'!$AM$33)*(1-CUSTOS!$M$38)</f>
        <v>911.35112319392283</v>
      </c>
      <c r="AA112" s="4">
        <f>('TE BE'!$AA$24+'TE BF'!$AA$24+'TE CVA'!$AA$24)*(1-CUSTOS!$M$38)</f>
        <v>245.15495345670945</v>
      </c>
      <c r="AB112" s="4">
        <f t="shared" si="8"/>
        <v>0</v>
      </c>
      <c r="AC112" s="4">
        <f>(L112-M112)*(W112+X112)+($W$2+$X$2-$W$112-$X$112)*(L112)</f>
        <v>28138.669649999993</v>
      </c>
      <c r="AD112" s="4">
        <f t="shared" si="9"/>
        <v>0</v>
      </c>
      <c r="AE112" s="4">
        <f ca="1">(L112-M112)*(Z112+AA112)+($Z$2+$AA$2-$Z$112-$AA$112)*(L112)</f>
        <v>16908.291086218142</v>
      </c>
      <c r="AF112" s="3" t="s">
        <v>642</v>
      </c>
    </row>
    <row r="113" spans="1:32" ht="11.25" customHeight="1" x14ac:dyDescent="0.25">
      <c r="A113" s="3" t="s">
        <v>28</v>
      </c>
      <c r="B113" s="3" t="s">
        <v>43</v>
      </c>
      <c r="C113" s="3" t="s">
        <v>23</v>
      </c>
      <c r="D113" s="3" t="s">
        <v>44</v>
      </c>
      <c r="E113" s="3" t="s">
        <v>25</v>
      </c>
      <c r="F113" s="3" t="s">
        <v>25</v>
      </c>
      <c r="G113" s="3" t="s">
        <v>25</v>
      </c>
      <c r="H113" s="3" t="s">
        <v>25</v>
      </c>
      <c r="I113" s="6">
        <v>44501</v>
      </c>
      <c r="J113" s="4">
        <v>0</v>
      </c>
      <c r="K113" s="4">
        <v>0</v>
      </c>
      <c r="L113" s="4">
        <v>28.51</v>
      </c>
      <c r="M113" s="4">
        <v>28.51</v>
      </c>
      <c r="N113" s="4">
        <v>28.51</v>
      </c>
      <c r="O113" s="4">
        <v>28.51</v>
      </c>
      <c r="P113" s="4">
        <v>38</v>
      </c>
      <c r="Q113" s="3" t="s">
        <v>26</v>
      </c>
      <c r="R113" s="3">
        <v>0</v>
      </c>
      <c r="S113" s="3">
        <v>0</v>
      </c>
      <c r="T113" s="3">
        <v>9</v>
      </c>
      <c r="U113" s="3">
        <v>56</v>
      </c>
      <c r="V113" s="4">
        <f>IF(ISERROR(VLOOKUP($S$113,'TAR FIN'!$A$1:$O$85,15,0)),0,VLOOKUP($S$113,'TAR FIN'!$A$1:$O$85,15,0))</f>
        <v>0</v>
      </c>
      <c r="W113" s="4">
        <f>IF(ISERROR(VLOOKUP($T$113,'TAR FIN'!$A$1:$O$85,15,0)),0,VLOOKUP($T$113,'TAR FIN'!$A$1:$O$85,15,0))</f>
        <v>697.32</v>
      </c>
      <c r="X113" s="4">
        <f>IF(ISERROR(VLOOKUP($U$113,'TAR FIN'!$A$1:$O$85,15,0)),0,VLOOKUP($U$113,'TAR FIN'!$A$1:$O$85,15,0))</f>
        <v>203.57</v>
      </c>
      <c r="Y113" s="4"/>
      <c r="Z113" s="4">
        <f ca="1">('TUSD BE'!$AM$33+'TUSD BF'!$AM$33+'TUSD CVA'!$AM$33)*(1-CUSTOS!$M$38)</f>
        <v>911.35112319392283</v>
      </c>
      <c r="AA113" s="4">
        <f>('TE BE'!$AA$24+'TE BF'!$AA$24+'TE CVA'!$AA$24)*(1-CUSTOS!$M$38)</f>
        <v>245.15495345670945</v>
      </c>
      <c r="AB113" s="4">
        <f t="shared" si="8"/>
        <v>0</v>
      </c>
      <c r="AC113" s="4">
        <f>(L113-M113)*(W113+X113)+($W$2+$X$2-$W$113-$X$113)*(L113)</f>
        <v>3502.4534999999992</v>
      </c>
      <c r="AD113" s="4">
        <f t="shared" si="9"/>
        <v>0</v>
      </c>
      <c r="AE113" s="4">
        <f ca="1">(L113-M113)*(Z113+AA113)+($Z$2+$AA$2-$Z$113-$AA$113)*(L113)</f>
        <v>2104.5949943814608</v>
      </c>
      <c r="AF113" s="3" t="s">
        <v>642</v>
      </c>
    </row>
    <row r="114" spans="1:32" ht="11.25" customHeight="1" x14ac:dyDescent="0.25">
      <c r="A114" s="3" t="s">
        <v>21</v>
      </c>
      <c r="B114" s="3" t="s">
        <v>43</v>
      </c>
      <c r="C114" s="3" t="s">
        <v>23</v>
      </c>
      <c r="D114" s="3" t="s">
        <v>44</v>
      </c>
      <c r="E114" s="3" t="s">
        <v>25</v>
      </c>
      <c r="F114" s="3" t="s">
        <v>25</v>
      </c>
      <c r="G114" s="3" t="s">
        <v>25</v>
      </c>
      <c r="H114" s="3" t="s">
        <v>25</v>
      </c>
      <c r="I114" s="6">
        <v>44531</v>
      </c>
      <c r="J114" s="4">
        <v>0</v>
      </c>
      <c r="K114" s="4">
        <v>0</v>
      </c>
      <c r="L114" s="4">
        <v>233.387</v>
      </c>
      <c r="M114" s="4">
        <v>233.387</v>
      </c>
      <c r="N114" s="4">
        <v>233.387</v>
      </c>
      <c r="O114" s="4">
        <v>233.387</v>
      </c>
      <c r="P114" s="4">
        <v>545</v>
      </c>
      <c r="Q114" s="3" t="s">
        <v>26</v>
      </c>
      <c r="R114" s="3">
        <v>0</v>
      </c>
      <c r="S114" s="3">
        <v>0</v>
      </c>
      <c r="T114" s="3">
        <v>9</v>
      </c>
      <c r="U114" s="3">
        <v>56</v>
      </c>
      <c r="V114" s="4">
        <f>IF(ISERROR(VLOOKUP($S$114,'TAR FIN'!$A$1:$O$85,15,0)),0,VLOOKUP($S$114,'TAR FIN'!$A$1:$O$85,15,0))</f>
        <v>0</v>
      </c>
      <c r="W114" s="4">
        <f>IF(ISERROR(VLOOKUP($T$114,'TAR FIN'!$A$1:$O$85,15,0)),0,VLOOKUP($T$114,'TAR FIN'!$A$1:$O$85,15,0))</f>
        <v>697.32</v>
      </c>
      <c r="X114" s="4">
        <f>IF(ISERROR(VLOOKUP($U$114,'TAR FIN'!$A$1:$O$85,15,0)),0,VLOOKUP($U$114,'TAR FIN'!$A$1:$O$85,15,0))</f>
        <v>203.57</v>
      </c>
      <c r="Y114" s="4"/>
      <c r="Z114" s="4">
        <f ca="1">('TUSD BE'!$AM$33+'TUSD BF'!$AM$33+'TUSD CVA'!$AM$33)*(1-CUSTOS!$M$38)</f>
        <v>911.35112319392283</v>
      </c>
      <c r="AA114" s="4">
        <f>('TE BE'!$AA$24+'TE BF'!$AA$24+'TE CVA'!$AA$24)*(1-CUSTOS!$M$38)</f>
        <v>245.15495345670945</v>
      </c>
      <c r="AB114" s="4">
        <f t="shared" si="8"/>
        <v>0</v>
      </c>
      <c r="AC114" s="4">
        <f>(L114-M114)*(W114+X114)+($W$2+$X$2-$W$114-$X$114)*(L114)</f>
        <v>28671.592949999991</v>
      </c>
      <c r="AD114" s="4">
        <f t="shared" si="9"/>
        <v>0</v>
      </c>
      <c r="AE114" s="4">
        <f ca="1">(L114-M114)*(Z114+AA114)+($Z$2+$AA$2-$Z$114-$AA$114)*(L114)</f>
        <v>17228.52023688902</v>
      </c>
      <c r="AF114" s="3" t="s">
        <v>642</v>
      </c>
    </row>
    <row r="115" spans="1:32" ht="11.25" customHeight="1" x14ac:dyDescent="0.25">
      <c r="A115" s="3" t="s">
        <v>27</v>
      </c>
      <c r="B115" s="3" t="s">
        <v>43</v>
      </c>
      <c r="C115" s="3" t="s">
        <v>23</v>
      </c>
      <c r="D115" s="3" t="s">
        <v>44</v>
      </c>
      <c r="E115" s="3" t="s">
        <v>25</v>
      </c>
      <c r="F115" s="3" t="s">
        <v>25</v>
      </c>
      <c r="G115" s="3" t="s">
        <v>25</v>
      </c>
      <c r="H115" s="3" t="s">
        <v>25</v>
      </c>
      <c r="I115" s="6">
        <v>44531</v>
      </c>
      <c r="J115" s="4">
        <v>0</v>
      </c>
      <c r="K115" s="4">
        <v>0</v>
      </c>
      <c r="L115" s="4">
        <v>-1.0740000000000001</v>
      </c>
      <c r="M115" s="4">
        <v>-1.0740000000000001</v>
      </c>
      <c r="N115" s="4">
        <v>-1.0740000000000001</v>
      </c>
      <c r="O115" s="4">
        <v>-1.0740000000000001</v>
      </c>
      <c r="P115" s="4">
        <v>0</v>
      </c>
      <c r="Q115" s="3" t="s">
        <v>26</v>
      </c>
      <c r="R115" s="3">
        <v>0</v>
      </c>
      <c r="S115" s="3">
        <v>0</v>
      </c>
      <c r="T115" s="3">
        <v>9</v>
      </c>
      <c r="U115" s="3">
        <v>56</v>
      </c>
      <c r="V115" s="4">
        <f>IF(ISERROR(VLOOKUP($S$115,'TAR FIN'!$A$1:$O$85,15,0)),0,VLOOKUP($S$115,'TAR FIN'!$A$1:$O$85,15,0))</f>
        <v>0</v>
      </c>
      <c r="W115" s="4">
        <f>IF(ISERROR(VLOOKUP($T$115,'TAR FIN'!$A$1:$O$85,15,0)),0,VLOOKUP($T$115,'TAR FIN'!$A$1:$O$85,15,0))</f>
        <v>697.32</v>
      </c>
      <c r="X115" s="4">
        <f>IF(ISERROR(VLOOKUP($U$115,'TAR FIN'!$A$1:$O$85,15,0)),0,VLOOKUP($U$115,'TAR FIN'!$A$1:$O$85,15,0))</f>
        <v>203.57</v>
      </c>
      <c r="Y115" s="4"/>
      <c r="Z115" s="4">
        <f ca="1">('TUSD BE'!$AM$33+'TUSD BF'!$AM$33+'TUSD CVA'!$AM$33)*(1-CUSTOS!$M$38)</f>
        <v>911.35112319392283</v>
      </c>
      <c r="AA115" s="4">
        <f>('TE BE'!$AA$24+'TE BF'!$AA$24+'TE CVA'!$AA$24)*(1-CUSTOS!$M$38)</f>
        <v>245.15495345670945</v>
      </c>
      <c r="AB115" s="4">
        <f t="shared" si="8"/>
        <v>0</v>
      </c>
      <c r="AC115" s="4">
        <f>(L115-M115)*(W115+X115)+($W$2+$X$2-$W$115-$X$115)*(L115)</f>
        <v>-131.94089999999997</v>
      </c>
      <c r="AD115" s="4">
        <f t="shared" si="9"/>
        <v>0</v>
      </c>
      <c r="AE115" s="4">
        <f ca="1">(L115-M115)*(Z115+AA115)+($Z$2+$AA$2-$Z$115-$AA$115)*(L115)</f>
        <v>-79.28218253124129</v>
      </c>
      <c r="AF115" s="3" t="s">
        <v>642</v>
      </c>
    </row>
    <row r="116" spans="1:32" ht="11.25" customHeight="1" x14ac:dyDescent="0.25">
      <c r="A116" s="3" t="s">
        <v>28</v>
      </c>
      <c r="B116" s="3" t="s">
        <v>43</v>
      </c>
      <c r="C116" s="3" t="s">
        <v>23</v>
      </c>
      <c r="D116" s="3" t="s">
        <v>44</v>
      </c>
      <c r="E116" s="3" t="s">
        <v>25</v>
      </c>
      <c r="F116" s="3" t="s">
        <v>25</v>
      </c>
      <c r="G116" s="3" t="s">
        <v>25</v>
      </c>
      <c r="H116" s="3" t="s">
        <v>25</v>
      </c>
      <c r="I116" s="6">
        <v>44531</v>
      </c>
      <c r="J116" s="4">
        <v>0</v>
      </c>
      <c r="K116" s="4">
        <v>0</v>
      </c>
      <c r="L116" s="4">
        <v>22.131</v>
      </c>
      <c r="M116" s="4">
        <v>22.131</v>
      </c>
      <c r="N116" s="4">
        <v>22.131</v>
      </c>
      <c r="O116" s="4">
        <v>22.131</v>
      </c>
      <c r="P116" s="4">
        <v>37</v>
      </c>
      <c r="Q116" s="3" t="s">
        <v>26</v>
      </c>
      <c r="R116" s="3">
        <v>0</v>
      </c>
      <c r="S116" s="3">
        <v>0</v>
      </c>
      <c r="T116" s="3">
        <v>9</v>
      </c>
      <c r="U116" s="3">
        <v>56</v>
      </c>
      <c r="V116" s="4">
        <f>IF(ISERROR(VLOOKUP($S$116,'TAR FIN'!$A$1:$O$85,15,0)),0,VLOOKUP($S$116,'TAR FIN'!$A$1:$O$85,15,0))</f>
        <v>0</v>
      </c>
      <c r="W116" s="4">
        <f>IF(ISERROR(VLOOKUP($T$116,'TAR FIN'!$A$1:$O$85,15,0)),0,VLOOKUP($T$116,'TAR FIN'!$A$1:$O$85,15,0))</f>
        <v>697.32</v>
      </c>
      <c r="X116" s="4">
        <f>IF(ISERROR(VLOOKUP($U$116,'TAR FIN'!$A$1:$O$85,15,0)),0,VLOOKUP($U$116,'TAR FIN'!$A$1:$O$85,15,0))</f>
        <v>203.57</v>
      </c>
      <c r="Y116" s="4"/>
      <c r="Z116" s="4">
        <f ca="1">('TUSD BE'!$AM$33+'TUSD BF'!$AM$33+'TUSD CVA'!$AM$33)*(1-CUSTOS!$M$38)</f>
        <v>911.35112319392283</v>
      </c>
      <c r="AA116" s="4">
        <f>('TE BE'!$AA$24+'TE BF'!$AA$24+'TE CVA'!$AA$24)*(1-CUSTOS!$M$38)</f>
        <v>245.15495345670945</v>
      </c>
      <c r="AB116" s="4">
        <f t="shared" si="8"/>
        <v>0</v>
      </c>
      <c r="AC116" s="4">
        <f>(L116-M116)*(W116+X116)+($W$2+$X$2-$W$116-$X$116)*(L116)</f>
        <v>2718.7933499999995</v>
      </c>
      <c r="AD116" s="4">
        <f t="shared" si="9"/>
        <v>0</v>
      </c>
      <c r="AE116" s="4">
        <f ca="1">(L116-M116)*(Z116+AA116)+($Z$2+$AA$2-$Z$116-$AA$116)*(L116)</f>
        <v>1633.7001690864997</v>
      </c>
      <c r="AF116" s="3" t="s">
        <v>642</v>
      </c>
    </row>
    <row r="117" spans="1:32" ht="11.25" customHeight="1" x14ac:dyDescent="0.25">
      <c r="A117" s="3" t="s">
        <v>21</v>
      </c>
      <c r="B117" s="3" t="s">
        <v>43</v>
      </c>
      <c r="C117" s="3" t="s">
        <v>23</v>
      </c>
      <c r="D117" s="3" t="s">
        <v>44</v>
      </c>
      <c r="E117" s="3" t="s">
        <v>25</v>
      </c>
      <c r="F117" s="3" t="s">
        <v>25</v>
      </c>
      <c r="G117" s="3" t="s">
        <v>25</v>
      </c>
      <c r="H117" s="3" t="s">
        <v>25</v>
      </c>
      <c r="I117" s="6">
        <v>44562</v>
      </c>
      <c r="J117" s="4">
        <v>0</v>
      </c>
      <c r="K117" s="4">
        <v>0</v>
      </c>
      <c r="L117" s="4">
        <v>252.148</v>
      </c>
      <c r="M117" s="4">
        <v>252.148</v>
      </c>
      <c r="N117" s="4">
        <v>252.148</v>
      </c>
      <c r="O117" s="4">
        <v>252.148</v>
      </c>
      <c r="P117" s="4">
        <v>534</v>
      </c>
      <c r="Q117" s="3" t="s">
        <v>26</v>
      </c>
      <c r="R117" s="3">
        <v>0</v>
      </c>
      <c r="S117" s="3">
        <v>0</v>
      </c>
      <c r="T117" s="3">
        <v>9</v>
      </c>
      <c r="U117" s="3">
        <v>56</v>
      </c>
      <c r="V117" s="4">
        <f>IF(ISERROR(VLOOKUP($S$117,'TAR FIN'!$A$1:$O$85,15,0)),0,VLOOKUP($S$117,'TAR FIN'!$A$1:$O$85,15,0))</f>
        <v>0</v>
      </c>
      <c r="W117" s="4">
        <f>IF(ISERROR(VLOOKUP($T$117,'TAR FIN'!$A$1:$O$85,15,0)),0,VLOOKUP($T$117,'TAR FIN'!$A$1:$O$85,15,0))</f>
        <v>697.32</v>
      </c>
      <c r="X117" s="4">
        <f>IF(ISERROR(VLOOKUP($U$117,'TAR FIN'!$A$1:$O$85,15,0)),0,VLOOKUP($U$117,'TAR FIN'!$A$1:$O$85,15,0))</f>
        <v>203.57</v>
      </c>
      <c r="Y117" s="4"/>
      <c r="Z117" s="4">
        <f ca="1">('TUSD BE'!$AM$33+'TUSD BF'!$AM$33+'TUSD CVA'!$AM$33)*(1-CUSTOS!$M$38)</f>
        <v>911.35112319392283</v>
      </c>
      <c r="AA117" s="4">
        <f>('TE BE'!$AA$24+'TE BF'!$AA$24+'TE CVA'!$AA$24)*(1-CUSTOS!$M$38)</f>
        <v>245.15495345670945</v>
      </c>
      <c r="AB117" s="4">
        <f t="shared" si="8"/>
        <v>0</v>
      </c>
      <c r="AC117" s="4">
        <f>(L117-M117)*(W117+X117)+($W$2+$X$2-$W$117-$X$117)*(L117)</f>
        <v>30976.381799999992</v>
      </c>
      <c r="AD117" s="4">
        <f t="shared" si="9"/>
        <v>0</v>
      </c>
      <c r="AE117" s="4">
        <f ca="1">(L117-M117)*(Z117+AA117)+($Z$2+$AA$2-$Z$117-$AA$117)*(L117)</f>
        <v>18613.44856693429</v>
      </c>
      <c r="AF117" s="3" t="s">
        <v>642</v>
      </c>
    </row>
    <row r="118" spans="1:32" ht="11.25" customHeight="1" x14ac:dyDescent="0.25">
      <c r="A118" s="3" t="s">
        <v>28</v>
      </c>
      <c r="B118" s="3" t="s">
        <v>43</v>
      </c>
      <c r="C118" s="3" t="s">
        <v>23</v>
      </c>
      <c r="D118" s="3" t="s">
        <v>44</v>
      </c>
      <c r="E118" s="3" t="s">
        <v>25</v>
      </c>
      <c r="F118" s="3" t="s">
        <v>25</v>
      </c>
      <c r="G118" s="3" t="s">
        <v>25</v>
      </c>
      <c r="H118" s="3" t="s">
        <v>25</v>
      </c>
      <c r="I118" s="6">
        <v>44562</v>
      </c>
      <c r="J118" s="4">
        <v>0</v>
      </c>
      <c r="K118" s="4">
        <v>0</v>
      </c>
      <c r="L118" s="4">
        <v>25.52</v>
      </c>
      <c r="M118" s="4">
        <v>25.52</v>
      </c>
      <c r="N118" s="4">
        <v>25.52</v>
      </c>
      <c r="O118" s="4">
        <v>25.52</v>
      </c>
      <c r="P118" s="4">
        <v>33</v>
      </c>
      <c r="Q118" s="3" t="s">
        <v>26</v>
      </c>
      <c r="R118" s="3">
        <v>0</v>
      </c>
      <c r="S118" s="3">
        <v>0</v>
      </c>
      <c r="T118" s="3">
        <v>9</v>
      </c>
      <c r="U118" s="3">
        <v>56</v>
      </c>
      <c r="V118" s="4">
        <f>IF(ISERROR(VLOOKUP($S$118,'TAR FIN'!$A$1:$O$85,15,0)),0,VLOOKUP($S$118,'TAR FIN'!$A$1:$O$85,15,0))</f>
        <v>0</v>
      </c>
      <c r="W118" s="4">
        <f>IF(ISERROR(VLOOKUP($T$118,'TAR FIN'!$A$1:$O$85,15,0)),0,VLOOKUP($T$118,'TAR FIN'!$A$1:$O$85,15,0))</f>
        <v>697.32</v>
      </c>
      <c r="X118" s="4">
        <f>IF(ISERROR(VLOOKUP($U$118,'TAR FIN'!$A$1:$O$85,15,0)),0,VLOOKUP($U$118,'TAR FIN'!$A$1:$O$85,15,0))</f>
        <v>203.57</v>
      </c>
      <c r="Y118" s="4"/>
      <c r="Z118" s="4">
        <f ca="1">('TUSD BE'!$AM$33+'TUSD BF'!$AM$33+'TUSD CVA'!$AM$33)*(1-CUSTOS!$M$38)</f>
        <v>911.35112319392283</v>
      </c>
      <c r="AA118" s="4">
        <f>('TE BE'!$AA$24+'TE BF'!$AA$24+'TE CVA'!$AA$24)*(1-CUSTOS!$M$38)</f>
        <v>245.15495345670945</v>
      </c>
      <c r="AB118" s="4">
        <f t="shared" si="8"/>
        <v>0</v>
      </c>
      <c r="AC118" s="4">
        <f>(L118-M118)*(W118+X118)+($W$2+$X$2-$W$118-$X$118)*(L118)</f>
        <v>3135.1319999999992</v>
      </c>
      <c r="AD118" s="4">
        <f t="shared" si="9"/>
        <v>0</v>
      </c>
      <c r="AE118" s="4">
        <f ca="1">(L118-M118)*(Z118+AA118)+($Z$2+$AA$2-$Z$118-$AA$118)*(L118)</f>
        <v>1883.8745793270739</v>
      </c>
      <c r="AF118" s="3" t="s">
        <v>642</v>
      </c>
    </row>
    <row r="119" spans="1:32" ht="11.25" customHeight="1" x14ac:dyDescent="0.25">
      <c r="A119" s="3" t="s">
        <v>28</v>
      </c>
      <c r="B119" s="3" t="s">
        <v>43</v>
      </c>
      <c r="C119" s="3" t="s">
        <v>23</v>
      </c>
      <c r="D119" s="3" t="s">
        <v>44</v>
      </c>
      <c r="E119" s="3" t="s">
        <v>25</v>
      </c>
      <c r="F119" s="3" t="s">
        <v>25</v>
      </c>
      <c r="G119" s="3" t="s">
        <v>25</v>
      </c>
      <c r="H119" s="3" t="s">
        <v>25</v>
      </c>
      <c r="I119" s="6">
        <v>44562</v>
      </c>
      <c r="J119" s="4">
        <v>0</v>
      </c>
      <c r="K119" s="4">
        <v>0</v>
      </c>
      <c r="L119" s="4">
        <v>0.41</v>
      </c>
      <c r="M119" s="4">
        <v>0.41</v>
      </c>
      <c r="N119" s="4">
        <v>0.41</v>
      </c>
      <c r="O119" s="4">
        <v>0.41</v>
      </c>
      <c r="P119" s="4">
        <v>1</v>
      </c>
      <c r="Q119" s="3" t="s">
        <v>26</v>
      </c>
      <c r="R119" s="3">
        <v>0</v>
      </c>
      <c r="S119" s="3">
        <v>0</v>
      </c>
      <c r="T119" s="3">
        <v>9</v>
      </c>
      <c r="U119" s="3">
        <v>56</v>
      </c>
      <c r="V119" s="4">
        <f>IF(ISERROR(VLOOKUP($S$119,'TAR FIN'!$A$1:$O$85,15,0)),0,VLOOKUP($S$119,'TAR FIN'!$A$1:$O$85,15,0))</f>
        <v>0</v>
      </c>
      <c r="W119" s="4">
        <f>IF(ISERROR(VLOOKUP($T$119,'TAR FIN'!$A$1:$O$85,15,0)),0,VLOOKUP($T$119,'TAR FIN'!$A$1:$O$85,15,0))</f>
        <v>697.32</v>
      </c>
      <c r="X119" s="4">
        <f>IF(ISERROR(VLOOKUP($U$119,'TAR FIN'!$A$1:$O$85,15,0)),0,VLOOKUP($U$119,'TAR FIN'!$A$1:$O$85,15,0))</f>
        <v>203.57</v>
      </c>
      <c r="Y119" s="4"/>
      <c r="Z119" s="4">
        <f ca="1">('TUSD BE'!$AM$33+'TUSD BF'!$AM$33+'TUSD CVA'!$AM$33)*(1-CUSTOS!$M$38)</f>
        <v>911.35112319392283</v>
      </c>
      <c r="AA119" s="4">
        <f>('TE BE'!$AA$24+'TE BF'!$AA$24+'TE CVA'!$AA$24)*(1-CUSTOS!$M$38)</f>
        <v>245.15495345670945</v>
      </c>
      <c r="AB119" s="4">
        <f t="shared" si="8"/>
        <v>0</v>
      </c>
      <c r="AC119" s="4">
        <f>(L119-M119)*(W119+X119)+($W$2+$X$2-$W$119-$X$119)*(L119)</f>
        <v>50.368499999999983</v>
      </c>
      <c r="AD119" s="4">
        <f t="shared" si="9"/>
        <v>0</v>
      </c>
      <c r="AE119" s="4">
        <f ca="1">(L119-M119)*(Z119+AA119)+($Z$2+$AA$2-$Z$119-$AA$119)*(L119)</f>
        <v>30.266010091069759</v>
      </c>
      <c r="AF119" s="3" t="s">
        <v>642</v>
      </c>
    </row>
    <row r="120" spans="1:32" ht="11.25" customHeight="1" x14ac:dyDescent="0.25">
      <c r="A120" s="3" t="s">
        <v>21</v>
      </c>
      <c r="B120" s="3" t="s">
        <v>43</v>
      </c>
      <c r="C120" s="3" t="s">
        <v>23</v>
      </c>
      <c r="D120" s="3" t="s">
        <v>44</v>
      </c>
      <c r="E120" s="3" t="s">
        <v>25</v>
      </c>
      <c r="F120" s="3" t="s">
        <v>25</v>
      </c>
      <c r="G120" s="3" t="s">
        <v>25</v>
      </c>
      <c r="H120" s="3" t="s">
        <v>25</v>
      </c>
      <c r="I120" s="6">
        <v>44593</v>
      </c>
      <c r="J120" s="4">
        <v>0</v>
      </c>
      <c r="K120" s="4">
        <v>0</v>
      </c>
      <c r="L120" s="4">
        <v>244.285</v>
      </c>
      <c r="M120" s="4">
        <v>244.285</v>
      </c>
      <c r="N120" s="4">
        <v>244.285</v>
      </c>
      <c r="O120" s="4">
        <v>244.285</v>
      </c>
      <c r="P120" s="4">
        <v>531</v>
      </c>
      <c r="Q120" s="3" t="s">
        <v>26</v>
      </c>
      <c r="R120" s="3">
        <v>0</v>
      </c>
      <c r="S120" s="3">
        <v>0</v>
      </c>
      <c r="T120" s="3">
        <v>9</v>
      </c>
      <c r="U120" s="3">
        <v>56</v>
      </c>
      <c r="V120" s="4">
        <f>IF(ISERROR(VLOOKUP($S$120,'TAR FIN'!$A$1:$O$85,15,0)),0,VLOOKUP($S$120,'TAR FIN'!$A$1:$O$85,15,0))</f>
        <v>0</v>
      </c>
      <c r="W120" s="4">
        <f>IF(ISERROR(VLOOKUP($T$120,'TAR FIN'!$A$1:$O$85,15,0)),0,VLOOKUP($T$120,'TAR FIN'!$A$1:$O$85,15,0))</f>
        <v>697.32</v>
      </c>
      <c r="X120" s="4">
        <f>IF(ISERROR(VLOOKUP($U$120,'TAR FIN'!$A$1:$O$85,15,0)),0,VLOOKUP($U$120,'TAR FIN'!$A$1:$O$85,15,0))</f>
        <v>203.57</v>
      </c>
      <c r="Y120" s="4"/>
      <c r="Z120" s="4">
        <f ca="1">('TUSD BE'!$AM$33+'TUSD BF'!$AM$33+'TUSD CVA'!$AM$33)*(1-CUSTOS!$M$38)</f>
        <v>911.35112319392283</v>
      </c>
      <c r="AA120" s="4">
        <f>('TE BE'!$AA$24+'TE BF'!$AA$24+'TE CVA'!$AA$24)*(1-CUSTOS!$M$38)</f>
        <v>245.15495345670945</v>
      </c>
      <c r="AB120" s="4">
        <f t="shared" si="8"/>
        <v>0</v>
      </c>
      <c r="AC120" s="4">
        <f>(L120-M120)*(W120+X120)+($W$2+$X$2-$W$120-$X$120)*(L120)</f>
        <v>30010.41224999999</v>
      </c>
      <c r="AD120" s="4">
        <f t="shared" si="9"/>
        <v>0</v>
      </c>
      <c r="AE120" s="4">
        <f ca="1">(L120-M120)*(Z120+AA120)+($Z$2+$AA$2-$Z$120-$AA$120)*(L120)</f>
        <v>18033.005549017016</v>
      </c>
      <c r="AF120" s="3" t="s">
        <v>642</v>
      </c>
    </row>
    <row r="121" spans="1:32" ht="11.25" customHeight="1" x14ac:dyDescent="0.25">
      <c r="A121" s="3" t="s">
        <v>27</v>
      </c>
      <c r="B121" s="3" t="s">
        <v>43</v>
      </c>
      <c r="C121" s="3" t="s">
        <v>23</v>
      </c>
      <c r="D121" s="3" t="s">
        <v>44</v>
      </c>
      <c r="E121" s="3" t="s">
        <v>25</v>
      </c>
      <c r="F121" s="3" t="s">
        <v>25</v>
      </c>
      <c r="G121" s="3" t="s">
        <v>25</v>
      </c>
      <c r="H121" s="3" t="s">
        <v>25</v>
      </c>
      <c r="I121" s="6">
        <v>44593</v>
      </c>
      <c r="J121" s="4">
        <v>0</v>
      </c>
      <c r="K121" s="4">
        <v>0</v>
      </c>
      <c r="L121" s="4">
        <v>-0.28000000000000003</v>
      </c>
      <c r="M121" s="4">
        <v>-0.28000000000000003</v>
      </c>
      <c r="N121" s="4">
        <v>-0.28000000000000003</v>
      </c>
      <c r="O121" s="4">
        <v>-0.28000000000000003</v>
      </c>
      <c r="P121" s="4">
        <v>0</v>
      </c>
      <c r="Q121" s="3" t="s">
        <v>26</v>
      </c>
      <c r="R121" s="3">
        <v>0</v>
      </c>
      <c r="S121" s="3">
        <v>0</v>
      </c>
      <c r="T121" s="3">
        <v>9</v>
      </c>
      <c r="U121" s="3">
        <v>56</v>
      </c>
      <c r="V121" s="4">
        <f>IF(ISERROR(VLOOKUP($S$121,'TAR FIN'!$A$1:$O$85,15,0)),0,VLOOKUP($S$121,'TAR FIN'!$A$1:$O$85,15,0))</f>
        <v>0</v>
      </c>
      <c r="W121" s="4">
        <f>IF(ISERROR(VLOOKUP($T$121,'TAR FIN'!$A$1:$O$85,15,0)),0,VLOOKUP($T$121,'TAR FIN'!$A$1:$O$85,15,0))</f>
        <v>697.32</v>
      </c>
      <c r="X121" s="4">
        <f>IF(ISERROR(VLOOKUP($U$121,'TAR FIN'!$A$1:$O$85,15,0)),0,VLOOKUP($U$121,'TAR FIN'!$A$1:$O$85,15,0))</f>
        <v>203.57</v>
      </c>
      <c r="Y121" s="4"/>
      <c r="Z121" s="4">
        <f ca="1">('TUSD BE'!$AM$33+'TUSD BF'!$AM$33+'TUSD CVA'!$AM$33)*(1-CUSTOS!$M$38)</f>
        <v>911.35112319392283</v>
      </c>
      <c r="AA121" s="4">
        <f>('TE BE'!$AA$24+'TE BF'!$AA$24+'TE CVA'!$AA$24)*(1-CUSTOS!$M$38)</f>
        <v>245.15495345670945</v>
      </c>
      <c r="AB121" s="4">
        <f t="shared" si="8"/>
        <v>0</v>
      </c>
      <c r="AC121" s="4">
        <f>(L121-M121)*(W121+X121)+($W$2+$X$2-$W$121-$X$121)*(L121)</f>
        <v>-34.397999999999996</v>
      </c>
      <c r="AD121" s="4">
        <f t="shared" si="9"/>
        <v>0</v>
      </c>
      <c r="AE121" s="4">
        <f ca="1">(L121-M121)*(Z121+AA121)+($Z$2+$AA$2-$Z$121-$AA$121)*(L121)</f>
        <v>-20.669470306096425</v>
      </c>
      <c r="AF121" s="3" t="s">
        <v>642</v>
      </c>
    </row>
    <row r="122" spans="1:32" ht="11.25" customHeight="1" x14ac:dyDescent="0.25">
      <c r="A122" s="3" t="s">
        <v>28</v>
      </c>
      <c r="B122" s="3" t="s">
        <v>43</v>
      </c>
      <c r="C122" s="3" t="s">
        <v>23</v>
      </c>
      <c r="D122" s="3" t="s">
        <v>44</v>
      </c>
      <c r="E122" s="3" t="s">
        <v>25</v>
      </c>
      <c r="F122" s="3" t="s">
        <v>25</v>
      </c>
      <c r="G122" s="3" t="s">
        <v>25</v>
      </c>
      <c r="H122" s="3" t="s">
        <v>25</v>
      </c>
      <c r="I122" s="6">
        <v>44593</v>
      </c>
      <c r="J122" s="4">
        <v>0</v>
      </c>
      <c r="K122" s="4">
        <v>0</v>
      </c>
      <c r="L122" s="4">
        <v>27.195</v>
      </c>
      <c r="M122" s="4">
        <v>27.195</v>
      </c>
      <c r="N122" s="4">
        <v>27.195</v>
      </c>
      <c r="O122" s="4">
        <v>27.195</v>
      </c>
      <c r="P122" s="4">
        <v>38</v>
      </c>
      <c r="Q122" s="3" t="s">
        <v>26</v>
      </c>
      <c r="R122" s="3">
        <v>0</v>
      </c>
      <c r="S122" s="3">
        <v>0</v>
      </c>
      <c r="T122" s="3">
        <v>9</v>
      </c>
      <c r="U122" s="3">
        <v>56</v>
      </c>
      <c r="V122" s="4">
        <f>IF(ISERROR(VLOOKUP($S$122,'TAR FIN'!$A$1:$O$85,15,0)),0,VLOOKUP($S$122,'TAR FIN'!$A$1:$O$85,15,0))</f>
        <v>0</v>
      </c>
      <c r="W122" s="4">
        <f>IF(ISERROR(VLOOKUP($T$122,'TAR FIN'!$A$1:$O$85,15,0)),0,VLOOKUP($T$122,'TAR FIN'!$A$1:$O$85,15,0))</f>
        <v>697.32</v>
      </c>
      <c r="X122" s="4">
        <f>IF(ISERROR(VLOOKUP($U$122,'TAR FIN'!$A$1:$O$85,15,0)),0,VLOOKUP($U$122,'TAR FIN'!$A$1:$O$85,15,0))</f>
        <v>203.57</v>
      </c>
      <c r="Y122" s="4"/>
      <c r="Z122" s="4">
        <f ca="1">('TUSD BE'!$AM$33+'TUSD BF'!$AM$33+'TUSD CVA'!$AM$33)*(1-CUSTOS!$M$38)</f>
        <v>911.35112319392283</v>
      </c>
      <c r="AA122" s="4">
        <f>('TE BE'!$AA$24+'TE BF'!$AA$24+'TE CVA'!$AA$24)*(1-CUSTOS!$M$38)</f>
        <v>245.15495345670945</v>
      </c>
      <c r="AB122" s="4">
        <f t="shared" si="8"/>
        <v>0</v>
      </c>
      <c r="AC122" s="4">
        <f>(L122-M122)*(W122+X122)+($W$2+$X$2-$W$122-$X$122)*(L122)</f>
        <v>3340.905749999999</v>
      </c>
      <c r="AD122" s="4">
        <f t="shared" si="9"/>
        <v>0</v>
      </c>
      <c r="AE122" s="4">
        <f ca="1">(L122-M122)*(Z122+AA122)+($Z$2+$AA$2-$Z$122-$AA$122)*(L122)</f>
        <v>2007.5223034796152</v>
      </c>
      <c r="AF122" s="3" t="s">
        <v>642</v>
      </c>
    </row>
    <row r="123" spans="1:32" ht="11.25" customHeight="1" x14ac:dyDescent="0.25">
      <c r="A123" s="3" t="s">
        <v>21</v>
      </c>
      <c r="B123" s="3" t="s">
        <v>43</v>
      </c>
      <c r="C123" s="3" t="s">
        <v>23</v>
      </c>
      <c r="D123" s="3" t="s">
        <v>44</v>
      </c>
      <c r="E123" s="3" t="s">
        <v>25</v>
      </c>
      <c r="F123" s="3" t="s">
        <v>25</v>
      </c>
      <c r="G123" s="3" t="s">
        <v>25</v>
      </c>
      <c r="H123" s="3" t="s">
        <v>25</v>
      </c>
      <c r="I123" s="6">
        <v>44621</v>
      </c>
      <c r="J123" s="4">
        <v>0</v>
      </c>
      <c r="K123" s="4">
        <v>0</v>
      </c>
      <c r="L123" s="4">
        <v>235.93100000000001</v>
      </c>
      <c r="M123" s="4">
        <v>235.93100000000001</v>
      </c>
      <c r="N123" s="4">
        <v>235.93100000000001</v>
      </c>
      <c r="O123" s="4">
        <v>235.93100000000001</v>
      </c>
      <c r="P123" s="4">
        <v>524</v>
      </c>
      <c r="Q123" s="3" t="s">
        <v>26</v>
      </c>
      <c r="R123" s="3">
        <v>0</v>
      </c>
      <c r="S123" s="3">
        <v>0</v>
      </c>
      <c r="T123" s="3">
        <v>9</v>
      </c>
      <c r="U123" s="3">
        <v>56</v>
      </c>
      <c r="V123" s="4">
        <f>IF(ISERROR(VLOOKUP($S$123,'TAR FIN'!$A$1:$O$85,15,0)),0,VLOOKUP($S$123,'TAR FIN'!$A$1:$O$85,15,0))</f>
        <v>0</v>
      </c>
      <c r="W123" s="4">
        <f>IF(ISERROR(VLOOKUP($T$123,'TAR FIN'!$A$1:$O$85,15,0)),0,VLOOKUP($T$123,'TAR FIN'!$A$1:$O$85,15,0))</f>
        <v>697.32</v>
      </c>
      <c r="X123" s="4">
        <f>IF(ISERROR(VLOOKUP($U$123,'TAR FIN'!$A$1:$O$85,15,0)),0,VLOOKUP($U$123,'TAR FIN'!$A$1:$O$85,15,0))</f>
        <v>203.57</v>
      </c>
      <c r="Y123" s="4"/>
      <c r="Z123" s="4">
        <f ca="1">('TUSD BE'!$AM$33+'TUSD BF'!$AM$33+'TUSD CVA'!$AM$33)*(1-CUSTOS!$M$38)</f>
        <v>911.35112319392283</v>
      </c>
      <c r="AA123" s="4">
        <f>('TE BE'!$AA$24+'TE BF'!$AA$24+'TE CVA'!$AA$24)*(1-CUSTOS!$M$38)</f>
        <v>245.15495345670945</v>
      </c>
      <c r="AB123" s="4">
        <f t="shared" si="8"/>
        <v>0</v>
      </c>
      <c r="AC123" s="4">
        <f>(L123-M123)*(W123+X123)+($W$2+$X$2-$W$123-$X$123)*(L123)</f>
        <v>28984.123349999994</v>
      </c>
      <c r="AD123" s="4">
        <f t="shared" si="9"/>
        <v>0</v>
      </c>
      <c r="AE123" s="4">
        <f ca="1">(L123-M123)*(Z123+AA123)+($Z$2+$AA$2-$Z$123-$AA$123)*(L123)</f>
        <v>17416.317138527269</v>
      </c>
      <c r="AF123" s="3" t="s">
        <v>642</v>
      </c>
    </row>
    <row r="124" spans="1:32" ht="11.25" customHeight="1" x14ac:dyDescent="0.25">
      <c r="A124" s="3" t="s">
        <v>27</v>
      </c>
      <c r="B124" s="3" t="s">
        <v>43</v>
      </c>
      <c r="C124" s="3" t="s">
        <v>23</v>
      </c>
      <c r="D124" s="3" t="s">
        <v>44</v>
      </c>
      <c r="E124" s="3" t="s">
        <v>25</v>
      </c>
      <c r="F124" s="3" t="s">
        <v>25</v>
      </c>
      <c r="G124" s="3" t="s">
        <v>25</v>
      </c>
      <c r="H124" s="3" t="s">
        <v>25</v>
      </c>
      <c r="I124" s="6">
        <v>44621</v>
      </c>
      <c r="J124" s="4">
        <v>0</v>
      </c>
      <c r="K124" s="4">
        <v>0</v>
      </c>
      <c r="L124" s="4">
        <v>-0.3</v>
      </c>
      <c r="M124" s="4">
        <v>-0.3</v>
      </c>
      <c r="N124" s="4">
        <v>-0.3</v>
      </c>
      <c r="O124" s="4">
        <v>-0.3</v>
      </c>
      <c r="P124" s="4">
        <v>0</v>
      </c>
      <c r="Q124" s="3" t="s">
        <v>26</v>
      </c>
      <c r="R124" s="3">
        <v>0</v>
      </c>
      <c r="S124" s="3">
        <v>0</v>
      </c>
      <c r="T124" s="3">
        <v>9</v>
      </c>
      <c r="U124" s="3">
        <v>56</v>
      </c>
      <c r="V124" s="4">
        <f>IF(ISERROR(VLOOKUP($S$124,'TAR FIN'!$A$1:$O$85,15,0)),0,VLOOKUP($S$124,'TAR FIN'!$A$1:$O$85,15,0))</f>
        <v>0</v>
      </c>
      <c r="W124" s="4">
        <f>IF(ISERROR(VLOOKUP($T$124,'TAR FIN'!$A$1:$O$85,15,0)),0,VLOOKUP($T$124,'TAR FIN'!$A$1:$O$85,15,0))</f>
        <v>697.32</v>
      </c>
      <c r="X124" s="4">
        <f>IF(ISERROR(VLOOKUP($U$124,'TAR FIN'!$A$1:$O$85,15,0)),0,VLOOKUP($U$124,'TAR FIN'!$A$1:$O$85,15,0))</f>
        <v>203.57</v>
      </c>
      <c r="Y124" s="4"/>
      <c r="Z124" s="4">
        <f ca="1">('TUSD BE'!$AM$33+'TUSD BF'!$AM$33+'TUSD CVA'!$AM$33)*(1-CUSTOS!$M$38)</f>
        <v>911.35112319392283</v>
      </c>
      <c r="AA124" s="4">
        <f>('TE BE'!$AA$24+'TE BF'!$AA$24+'TE CVA'!$AA$24)*(1-CUSTOS!$M$38)</f>
        <v>245.15495345670945</v>
      </c>
      <c r="AB124" s="4">
        <f t="shared" si="8"/>
        <v>0</v>
      </c>
      <c r="AC124" s="4">
        <f>(L124-M124)*(W124+X124)+($W$2+$X$2-$W$124-$X$124)*(L124)</f>
        <v>-36.85499999999999</v>
      </c>
      <c r="AD124" s="4">
        <f t="shared" si="9"/>
        <v>0</v>
      </c>
      <c r="AE124" s="4">
        <f ca="1">(L124-M124)*(Z124+AA124)+($Z$2+$AA$2-$Z$124-$AA$124)*(L124)</f>
        <v>-22.145861042246167</v>
      </c>
      <c r="AF124" s="3" t="s">
        <v>642</v>
      </c>
    </row>
    <row r="125" spans="1:32" ht="11.25" customHeight="1" x14ac:dyDescent="0.25">
      <c r="A125" s="3" t="s">
        <v>28</v>
      </c>
      <c r="B125" s="3" t="s">
        <v>43</v>
      </c>
      <c r="C125" s="3" t="s">
        <v>23</v>
      </c>
      <c r="D125" s="3" t="s">
        <v>44</v>
      </c>
      <c r="E125" s="3" t="s">
        <v>25</v>
      </c>
      <c r="F125" s="3" t="s">
        <v>25</v>
      </c>
      <c r="G125" s="3" t="s">
        <v>25</v>
      </c>
      <c r="H125" s="3" t="s">
        <v>25</v>
      </c>
      <c r="I125" s="6">
        <v>44621</v>
      </c>
      <c r="J125" s="4">
        <v>0</v>
      </c>
      <c r="K125" s="4">
        <v>0</v>
      </c>
      <c r="L125" s="4">
        <v>34.454999999999998</v>
      </c>
      <c r="M125" s="4">
        <v>34.454999999999998</v>
      </c>
      <c r="N125" s="4">
        <v>34.454999999999998</v>
      </c>
      <c r="O125" s="4">
        <v>34.454999999999998</v>
      </c>
      <c r="P125" s="4">
        <v>40</v>
      </c>
      <c r="Q125" s="3" t="s">
        <v>26</v>
      </c>
      <c r="R125" s="3">
        <v>0</v>
      </c>
      <c r="S125" s="3">
        <v>0</v>
      </c>
      <c r="T125" s="3">
        <v>9</v>
      </c>
      <c r="U125" s="3">
        <v>56</v>
      </c>
      <c r="V125" s="4">
        <f>IF(ISERROR(VLOOKUP($S$125,'TAR FIN'!$A$1:$O$85,15,0)),0,VLOOKUP($S$125,'TAR FIN'!$A$1:$O$85,15,0))</f>
        <v>0</v>
      </c>
      <c r="W125" s="4">
        <f>IF(ISERROR(VLOOKUP($T$125,'TAR FIN'!$A$1:$O$85,15,0)),0,VLOOKUP($T$125,'TAR FIN'!$A$1:$O$85,15,0))</f>
        <v>697.32</v>
      </c>
      <c r="X125" s="4">
        <f>IF(ISERROR(VLOOKUP($U$125,'TAR FIN'!$A$1:$O$85,15,0)),0,VLOOKUP($U$125,'TAR FIN'!$A$1:$O$85,15,0))</f>
        <v>203.57</v>
      </c>
      <c r="Y125" s="4"/>
      <c r="Z125" s="4">
        <f ca="1">('TUSD BE'!$AM$33+'TUSD BF'!$AM$33+'TUSD CVA'!$AM$33)*(1-CUSTOS!$M$38)</f>
        <v>911.35112319392283</v>
      </c>
      <c r="AA125" s="4">
        <f>('TE BE'!$AA$24+'TE BF'!$AA$24+'TE CVA'!$AA$24)*(1-CUSTOS!$M$38)</f>
        <v>245.15495345670945</v>
      </c>
      <c r="AB125" s="4">
        <f t="shared" si="8"/>
        <v>0</v>
      </c>
      <c r="AC125" s="4">
        <f>(L125-M125)*(W125+X125)+($W$2+$X$2-$W$125-$X$125)*(L125)</f>
        <v>4232.7967499999986</v>
      </c>
      <c r="AD125" s="4">
        <f t="shared" si="9"/>
        <v>0</v>
      </c>
      <c r="AE125" s="4">
        <f ca="1">(L125-M125)*(Z125+AA125)+($Z$2+$AA$2-$Z$125-$AA$125)*(L125)</f>
        <v>2543.452140701972</v>
      </c>
      <c r="AF125" s="3" t="s">
        <v>642</v>
      </c>
    </row>
    <row r="126" spans="1:32" ht="11.25" customHeight="1" x14ac:dyDescent="0.25">
      <c r="A126" s="3" t="s">
        <v>21</v>
      </c>
      <c r="B126" s="3" t="s">
        <v>39</v>
      </c>
      <c r="C126" s="3" t="s">
        <v>23</v>
      </c>
      <c r="D126" s="3" t="s">
        <v>49</v>
      </c>
      <c r="E126" s="3" t="s">
        <v>50</v>
      </c>
      <c r="F126" s="3" t="s">
        <v>25</v>
      </c>
      <c r="G126" s="3" t="s">
        <v>25</v>
      </c>
      <c r="H126" s="3" t="s">
        <v>25</v>
      </c>
      <c r="I126" s="6">
        <v>44287</v>
      </c>
      <c r="J126" s="4">
        <v>0</v>
      </c>
      <c r="K126" s="69">
        <v>0</v>
      </c>
      <c r="L126" s="4">
        <v>18.096</v>
      </c>
      <c r="M126" s="69">
        <v>18.096</v>
      </c>
      <c r="N126" s="4">
        <v>18.096</v>
      </c>
      <c r="O126" s="69">
        <v>18.096</v>
      </c>
      <c r="P126" s="4">
        <v>7</v>
      </c>
      <c r="Q126" s="3" t="s">
        <v>26</v>
      </c>
      <c r="R126" s="3">
        <v>0</v>
      </c>
      <c r="S126" s="3">
        <v>0</v>
      </c>
      <c r="T126" s="3">
        <v>39</v>
      </c>
      <c r="U126" s="3">
        <v>73</v>
      </c>
      <c r="V126" s="69">
        <f>IF(ISERROR(VLOOKUP($S$126,'TAR FIN'!$A$1:$O$85,15,0)),0,VLOOKUP($S$126,'TAR FIN'!$A$1:$O$85,15,0))</f>
        <v>0</v>
      </c>
      <c r="W126" s="69">
        <f>IF(ISERROR(VLOOKUP($T$126,'TAR FIN'!$A$1:$O$85,15,0)),0,VLOOKUP($T$126,'TAR FIN'!$A$1:$O$85,15,0))*(1-0.06)</f>
        <v>744.86539999999991</v>
      </c>
      <c r="X126" s="69">
        <f>IF(ISERROR(VLOOKUP($U$126,'TAR FIN'!$A$1:$O$85,15,0)),0,VLOOKUP($U$126,'TAR FIN'!$A$1:$O$85,15,0))*(1-0.06)</f>
        <v>217.4502</v>
      </c>
      <c r="Y126" s="69"/>
      <c r="Z126" s="69">
        <f ca="1">('TUSD BE'!$AM$48+'TUSD BF'!$AM$48+'TUSD CVA'!$AM$48)*1*(1-0.03)</f>
        <v>940.43679733840975</v>
      </c>
      <c r="AA126" s="69">
        <f>('TE BE'!$AA$39+'TE BF'!$AA$39+'TE CVA'!$AA$39)*1*(1-0.03)</f>
        <v>252.97904771596615</v>
      </c>
      <c r="AB126" s="69">
        <f>(SUBSIDIO!$J$126*SUBSIDIO!$V$126)*(0.06)/(1-0.06)</f>
        <v>0</v>
      </c>
      <c r="AC126" s="69">
        <f>((SUBSIDIO!$L$126*SUBSIDIO!$W$126)+(SUBSIDIO!$N$126*SUBSIDIO!$X$126))*(0.06)/(1-0.06)</f>
        <v>1111.5359423999998</v>
      </c>
      <c r="AD126" s="69">
        <f>(SUBSIDIO!$J$126*SUBSIDIO!$Y$126)*(0.03)/(1-0.03)</f>
        <v>0</v>
      </c>
      <c r="AE126" s="69">
        <f ca="1">((SUBSIDIO!$L$126*SUBSIDIO!$Z$126)+(SUBSIDIO!$N$126*SUBSIDIO!$AA$126))*(0.03)/(1-0.03)</f>
        <v>667.91916903414381</v>
      </c>
      <c r="AF126" s="3" t="s">
        <v>644</v>
      </c>
    </row>
    <row r="127" spans="1:32" ht="11.25" customHeight="1" x14ac:dyDescent="0.25">
      <c r="A127" s="3" t="s">
        <v>21</v>
      </c>
      <c r="B127" s="3" t="s">
        <v>39</v>
      </c>
      <c r="C127" s="3" t="s">
        <v>23</v>
      </c>
      <c r="D127" s="3" t="s">
        <v>49</v>
      </c>
      <c r="E127" s="3" t="s">
        <v>50</v>
      </c>
      <c r="F127" s="3" t="s">
        <v>25</v>
      </c>
      <c r="G127" s="3" t="s">
        <v>25</v>
      </c>
      <c r="H127" s="3" t="s">
        <v>25</v>
      </c>
      <c r="I127" s="6">
        <v>44317</v>
      </c>
      <c r="J127" s="4">
        <v>0</v>
      </c>
      <c r="K127" s="69">
        <v>0</v>
      </c>
      <c r="L127" s="4">
        <v>17.581</v>
      </c>
      <c r="M127" s="69">
        <v>17.581</v>
      </c>
      <c r="N127" s="4">
        <v>17.581</v>
      </c>
      <c r="O127" s="69">
        <v>17.581</v>
      </c>
      <c r="P127" s="4">
        <v>7</v>
      </c>
      <c r="Q127" s="3" t="s">
        <v>26</v>
      </c>
      <c r="R127" s="3">
        <v>0</v>
      </c>
      <c r="S127" s="3">
        <v>0</v>
      </c>
      <c r="T127" s="3">
        <v>39</v>
      </c>
      <c r="U127" s="3">
        <v>73</v>
      </c>
      <c r="V127" s="69">
        <f>IF(ISERROR(VLOOKUP($S$127,'TAR FIN'!$A$1:$O$85,15,0)),0,VLOOKUP($S$127,'TAR FIN'!$A$1:$O$85,15,0))</f>
        <v>0</v>
      </c>
      <c r="W127" s="69">
        <f>IF(ISERROR(VLOOKUP($T$127,'TAR FIN'!$A$1:$O$85,15,0)),0,VLOOKUP($T$127,'TAR FIN'!$A$1:$O$85,15,0))*(1-0.06)</f>
        <v>744.86539999999991</v>
      </c>
      <c r="X127" s="69">
        <f>IF(ISERROR(VLOOKUP($U$127,'TAR FIN'!$A$1:$O$85,15,0)),0,VLOOKUP($U$127,'TAR FIN'!$A$1:$O$85,15,0))*(1-0.06)</f>
        <v>217.4502</v>
      </c>
      <c r="Y127" s="69"/>
      <c r="Z127" s="69">
        <f ca="1">('TUSD BE'!$AM$48+'TUSD BF'!$AM$48+'TUSD CVA'!$AM$48)*1*(1-0.03)</f>
        <v>940.43679733840975</v>
      </c>
      <c r="AA127" s="69">
        <f>('TE BE'!$AA$39+'TE BF'!$AA$39+'TE CVA'!$AA$39)*1*(1-0.03)</f>
        <v>252.97904771596615</v>
      </c>
      <c r="AB127" s="69">
        <f>(SUBSIDIO!$J$127*SUBSIDIO!$V$127)*(0.06)/(1-0.06)</f>
        <v>0</v>
      </c>
      <c r="AC127" s="69">
        <f>((SUBSIDIO!$L$127*SUBSIDIO!$W$127)+(SUBSIDIO!$N$127*SUBSIDIO!$X$127))*(0.06)/(1-0.06)</f>
        <v>1079.9023764000001</v>
      </c>
      <c r="AD127" s="69">
        <f>(SUBSIDIO!$J$127*SUBSIDIO!$Y$127)*(0.03)/(1-0.03)</f>
        <v>0</v>
      </c>
      <c r="AE127" s="69">
        <f ca="1">((SUBSIDIO!$L$127*SUBSIDIO!$Z$127)+(SUBSIDIO!$N$127*SUBSIDIO!$AA$127))*(0.03)/(1-0.03)</f>
        <v>648.91063830621601</v>
      </c>
      <c r="AF127" s="3" t="s">
        <v>644</v>
      </c>
    </row>
    <row r="128" spans="1:32" ht="11.25" customHeight="1" x14ac:dyDescent="0.25">
      <c r="A128" s="3" t="s">
        <v>21</v>
      </c>
      <c r="B128" s="3" t="s">
        <v>39</v>
      </c>
      <c r="C128" s="3" t="s">
        <v>23</v>
      </c>
      <c r="D128" s="3" t="s">
        <v>49</v>
      </c>
      <c r="E128" s="3" t="s">
        <v>50</v>
      </c>
      <c r="F128" s="3" t="s">
        <v>25</v>
      </c>
      <c r="G128" s="3" t="s">
        <v>25</v>
      </c>
      <c r="H128" s="3" t="s">
        <v>25</v>
      </c>
      <c r="I128" s="6">
        <v>44348</v>
      </c>
      <c r="J128" s="4">
        <v>0</v>
      </c>
      <c r="K128" s="69">
        <v>0</v>
      </c>
      <c r="L128" s="4">
        <v>17.135999999999999</v>
      </c>
      <c r="M128" s="69">
        <v>17.135999999999999</v>
      </c>
      <c r="N128" s="4">
        <v>17.135999999999999</v>
      </c>
      <c r="O128" s="69">
        <v>17.135999999999999</v>
      </c>
      <c r="P128" s="4">
        <v>7</v>
      </c>
      <c r="Q128" s="3" t="s">
        <v>26</v>
      </c>
      <c r="R128" s="3">
        <v>0</v>
      </c>
      <c r="S128" s="3">
        <v>0</v>
      </c>
      <c r="T128" s="3">
        <v>39</v>
      </c>
      <c r="U128" s="3">
        <v>73</v>
      </c>
      <c r="V128" s="69">
        <f>IF(ISERROR(VLOOKUP($S$128,'TAR FIN'!$A$1:$O$85,15,0)),0,VLOOKUP($S$128,'TAR FIN'!$A$1:$O$85,15,0))</f>
        <v>0</v>
      </c>
      <c r="W128" s="69">
        <f>IF(ISERROR(VLOOKUP($T$128,'TAR FIN'!$A$1:$O$85,15,0)),0,VLOOKUP($T$128,'TAR FIN'!$A$1:$O$85,15,0))*(1-0.06)</f>
        <v>744.86539999999991</v>
      </c>
      <c r="X128" s="69">
        <f>IF(ISERROR(VLOOKUP($U$128,'TAR FIN'!$A$1:$O$85,15,0)),0,VLOOKUP($U$128,'TAR FIN'!$A$1:$O$85,15,0))*(1-0.06)</f>
        <v>217.4502</v>
      </c>
      <c r="Y128" s="69"/>
      <c r="Z128" s="69">
        <f ca="1">('TUSD BE'!$AM$48+'TUSD BF'!$AM$48+'TUSD CVA'!$AM$48)*1*(1-0.03)</f>
        <v>940.43679733840975</v>
      </c>
      <c r="AA128" s="69">
        <f>('TE BE'!$AA$39+'TE BF'!$AA$39+'TE CVA'!$AA$39)*1*(1-0.03)</f>
        <v>252.97904771596615</v>
      </c>
      <c r="AB128" s="69">
        <f>(SUBSIDIO!$J$128*SUBSIDIO!$V$128)*(0.06)/(1-0.06)</f>
        <v>0</v>
      </c>
      <c r="AC128" s="69">
        <f>((SUBSIDIO!$L$128*SUBSIDIO!$W$128)+(SUBSIDIO!$N$128*SUBSIDIO!$X$128))*(0.06)/(1-0.06)</f>
        <v>1052.5685183999999</v>
      </c>
      <c r="AD128" s="69">
        <f>(SUBSIDIO!$J$128*SUBSIDIO!$Y$128)*(0.03)/(1-0.03)</f>
        <v>0</v>
      </c>
      <c r="AE128" s="69">
        <f ca="1">((SUBSIDIO!$L$128*SUBSIDIO!$Z$128)+(SUBSIDIO!$N$128*SUBSIDIO!$AA$128))*(0.03)/(1-0.03)</f>
        <v>632.48579136655007</v>
      </c>
      <c r="AF128" s="3" t="s">
        <v>644</v>
      </c>
    </row>
    <row r="129" spans="1:32" ht="11.25" customHeight="1" x14ac:dyDescent="0.25">
      <c r="A129" s="3" t="s">
        <v>21</v>
      </c>
      <c r="B129" s="3" t="s">
        <v>39</v>
      </c>
      <c r="C129" s="3" t="s">
        <v>23</v>
      </c>
      <c r="D129" s="3" t="s">
        <v>49</v>
      </c>
      <c r="E129" s="3" t="s">
        <v>50</v>
      </c>
      <c r="F129" s="3" t="s">
        <v>25</v>
      </c>
      <c r="G129" s="3" t="s">
        <v>25</v>
      </c>
      <c r="H129" s="3" t="s">
        <v>25</v>
      </c>
      <c r="I129" s="6">
        <v>44378</v>
      </c>
      <c r="J129" s="4">
        <v>0</v>
      </c>
      <c r="K129" s="69">
        <v>0</v>
      </c>
      <c r="L129" s="4">
        <v>17.015999999999998</v>
      </c>
      <c r="M129" s="69">
        <v>17.015999999999998</v>
      </c>
      <c r="N129" s="4">
        <v>17.015999999999998</v>
      </c>
      <c r="O129" s="69">
        <v>17.015999999999998</v>
      </c>
      <c r="P129" s="4">
        <v>7</v>
      </c>
      <c r="Q129" s="3" t="s">
        <v>26</v>
      </c>
      <c r="R129" s="3">
        <v>0</v>
      </c>
      <c r="S129" s="3">
        <v>0</v>
      </c>
      <c r="T129" s="3">
        <v>39</v>
      </c>
      <c r="U129" s="3">
        <v>73</v>
      </c>
      <c r="V129" s="69">
        <f>IF(ISERROR(VLOOKUP($S$129,'TAR FIN'!$A$1:$O$85,15,0)),0,VLOOKUP($S$129,'TAR FIN'!$A$1:$O$85,15,0))</f>
        <v>0</v>
      </c>
      <c r="W129" s="69">
        <f>IF(ISERROR(VLOOKUP($T$129,'TAR FIN'!$A$1:$O$85,15,0)),0,VLOOKUP($T$129,'TAR FIN'!$A$1:$O$85,15,0))*(1-0.06)</f>
        <v>744.86539999999991</v>
      </c>
      <c r="X129" s="69">
        <f>IF(ISERROR(VLOOKUP($U$129,'TAR FIN'!$A$1:$O$85,15,0)),0,VLOOKUP($U$129,'TAR FIN'!$A$1:$O$85,15,0))*(1-0.06)</f>
        <v>217.4502</v>
      </c>
      <c r="Y129" s="69"/>
      <c r="Z129" s="69">
        <f ca="1">('TUSD BE'!$AM$48+'TUSD BF'!$AM$48+'TUSD CVA'!$AM$48)*1*(1-0.03)</f>
        <v>940.43679733840975</v>
      </c>
      <c r="AA129" s="69">
        <f>('TE BE'!$AA$39+'TE BF'!$AA$39+'TE CVA'!$AA$39)*1*(1-0.03)</f>
        <v>252.97904771596615</v>
      </c>
      <c r="AB129" s="69">
        <f>(SUBSIDIO!$J$129*SUBSIDIO!$V$129)*(0.06)/(1-0.06)</f>
        <v>0</v>
      </c>
      <c r="AC129" s="69">
        <f>((SUBSIDIO!$L$129*SUBSIDIO!$W$129)+(SUBSIDIO!$N$129*SUBSIDIO!$X$129))*(0.06)/(1-0.06)</f>
        <v>1045.1975903999999</v>
      </c>
      <c r="AD129" s="69">
        <f>(SUBSIDIO!$J$129*SUBSIDIO!$Y$129)*(0.03)/(1-0.03)</f>
        <v>0</v>
      </c>
      <c r="AE129" s="69">
        <f ca="1">((SUBSIDIO!$L$129*SUBSIDIO!$Z$129)+(SUBSIDIO!$N$129*SUBSIDIO!$AA$129))*(0.03)/(1-0.03)</f>
        <v>628.05661915810083</v>
      </c>
      <c r="AF129" s="3" t="s">
        <v>644</v>
      </c>
    </row>
    <row r="130" spans="1:32" ht="11.25" customHeight="1" x14ac:dyDescent="0.25">
      <c r="A130" s="3" t="s">
        <v>21</v>
      </c>
      <c r="B130" s="3" t="s">
        <v>39</v>
      </c>
      <c r="C130" s="3" t="s">
        <v>23</v>
      </c>
      <c r="D130" s="3" t="s">
        <v>49</v>
      </c>
      <c r="E130" s="3" t="s">
        <v>50</v>
      </c>
      <c r="F130" s="3" t="s">
        <v>25</v>
      </c>
      <c r="G130" s="3" t="s">
        <v>25</v>
      </c>
      <c r="H130" s="3" t="s">
        <v>25</v>
      </c>
      <c r="I130" s="6">
        <v>44409</v>
      </c>
      <c r="J130" s="4">
        <v>0</v>
      </c>
      <c r="K130" s="69">
        <v>0</v>
      </c>
      <c r="L130" s="4">
        <v>16.446999999999999</v>
      </c>
      <c r="M130" s="69">
        <v>16.446999999999999</v>
      </c>
      <c r="N130" s="4">
        <v>16.446999999999999</v>
      </c>
      <c r="O130" s="69">
        <v>16.446999999999999</v>
      </c>
      <c r="P130" s="4">
        <v>7</v>
      </c>
      <c r="Q130" s="3" t="s">
        <v>26</v>
      </c>
      <c r="R130" s="3">
        <v>0</v>
      </c>
      <c r="S130" s="3">
        <v>0</v>
      </c>
      <c r="T130" s="3">
        <v>39</v>
      </c>
      <c r="U130" s="3">
        <v>73</v>
      </c>
      <c r="V130" s="69">
        <f>IF(ISERROR(VLOOKUP($S$130,'TAR FIN'!$A$1:$O$85,15,0)),0,VLOOKUP($S$130,'TAR FIN'!$A$1:$O$85,15,0))</f>
        <v>0</v>
      </c>
      <c r="W130" s="69">
        <f>IF(ISERROR(VLOOKUP($T$130,'TAR FIN'!$A$1:$O$85,15,0)),0,VLOOKUP($T$130,'TAR FIN'!$A$1:$O$85,15,0))*(1-0.06)</f>
        <v>744.86539999999991</v>
      </c>
      <c r="X130" s="69">
        <f>IF(ISERROR(VLOOKUP($U$130,'TAR FIN'!$A$1:$O$85,15,0)),0,VLOOKUP($U$130,'TAR FIN'!$A$1:$O$85,15,0))*(1-0.06)</f>
        <v>217.4502</v>
      </c>
      <c r="Y130" s="69"/>
      <c r="Z130" s="69">
        <f ca="1">('TUSD BE'!$AM$48+'TUSD BF'!$AM$48+'TUSD CVA'!$AM$48)*1*(1-0.03)</f>
        <v>940.43679733840975</v>
      </c>
      <c r="AA130" s="69">
        <f>('TE BE'!$AA$39+'TE BF'!$AA$39+'TE CVA'!$AA$39)*1*(1-0.03)</f>
        <v>252.97904771596615</v>
      </c>
      <c r="AB130" s="69">
        <f>(SUBSIDIO!$J$130*SUBSIDIO!$V$130)*(0.06)/(1-0.06)</f>
        <v>0</v>
      </c>
      <c r="AC130" s="69">
        <f>((SUBSIDIO!$L$130*SUBSIDIO!$W$130)+(SUBSIDIO!$N$130*SUBSIDIO!$X$130))*(0.06)/(1-0.06)</f>
        <v>1010.2471067999998</v>
      </c>
      <c r="AD130" s="69">
        <f>(SUBSIDIO!$J$130*SUBSIDIO!$Y$130)*(0.03)/(1-0.03)</f>
        <v>0</v>
      </c>
      <c r="AE130" s="69">
        <f ca="1">((SUBSIDIO!$L$130*SUBSIDIO!$Z$130)+(SUBSIDIO!$N$130*SUBSIDIO!$AA$130))*(0.03)/(1-0.03)</f>
        <v>607.05496093637066</v>
      </c>
      <c r="AF130" s="3" t="s">
        <v>644</v>
      </c>
    </row>
    <row r="131" spans="1:32" ht="11.25" customHeight="1" x14ac:dyDescent="0.25">
      <c r="A131" s="3" t="s">
        <v>21</v>
      </c>
      <c r="B131" s="3" t="s">
        <v>39</v>
      </c>
      <c r="C131" s="3" t="s">
        <v>23</v>
      </c>
      <c r="D131" s="3" t="s">
        <v>49</v>
      </c>
      <c r="E131" s="3" t="s">
        <v>50</v>
      </c>
      <c r="F131" s="3" t="s">
        <v>25</v>
      </c>
      <c r="G131" s="3" t="s">
        <v>25</v>
      </c>
      <c r="H131" s="3" t="s">
        <v>25</v>
      </c>
      <c r="I131" s="6">
        <v>44440</v>
      </c>
      <c r="J131" s="4">
        <v>0</v>
      </c>
      <c r="K131" s="69">
        <v>0</v>
      </c>
      <c r="L131" s="4">
        <v>18.122</v>
      </c>
      <c r="M131" s="69">
        <v>18.122</v>
      </c>
      <c r="N131" s="4">
        <v>18.122</v>
      </c>
      <c r="O131" s="69">
        <v>18.122</v>
      </c>
      <c r="P131" s="4">
        <v>7</v>
      </c>
      <c r="Q131" s="3" t="s">
        <v>26</v>
      </c>
      <c r="R131" s="3">
        <v>0</v>
      </c>
      <c r="S131" s="3">
        <v>0</v>
      </c>
      <c r="T131" s="3">
        <v>39</v>
      </c>
      <c r="U131" s="3">
        <v>73</v>
      </c>
      <c r="V131" s="69">
        <f>IF(ISERROR(VLOOKUP($S$131,'TAR FIN'!$A$1:$O$85,15,0)),0,VLOOKUP($S$131,'TAR FIN'!$A$1:$O$85,15,0))</f>
        <v>0</v>
      </c>
      <c r="W131" s="69">
        <f>IF(ISERROR(VLOOKUP($T$131,'TAR FIN'!$A$1:$O$85,15,0)),0,VLOOKUP($T$131,'TAR FIN'!$A$1:$O$85,15,0))*(1-0.06)</f>
        <v>744.86539999999991</v>
      </c>
      <c r="X131" s="69">
        <f>IF(ISERROR(VLOOKUP($U$131,'TAR FIN'!$A$1:$O$85,15,0)),0,VLOOKUP($U$131,'TAR FIN'!$A$1:$O$85,15,0))*(1-0.06)</f>
        <v>217.4502</v>
      </c>
      <c r="Y131" s="69"/>
      <c r="Z131" s="69">
        <f ca="1">('TUSD BE'!$AM$48+'TUSD BF'!$AM$48+'TUSD CVA'!$AM$48)*1*(1-0.03)</f>
        <v>940.43679733840975</v>
      </c>
      <c r="AA131" s="69">
        <f>('TE BE'!$AA$39+'TE BF'!$AA$39+'TE CVA'!$AA$39)*1*(1-0.03)</f>
        <v>252.97904771596615</v>
      </c>
      <c r="AB131" s="69">
        <f>(SUBSIDIO!$J$131*SUBSIDIO!$V$131)*(0.06)/(1-0.06)</f>
        <v>0</v>
      </c>
      <c r="AC131" s="69">
        <f>((SUBSIDIO!$L$131*SUBSIDIO!$W$131)+(SUBSIDIO!$N$131*SUBSIDIO!$X$131))*(0.06)/(1-0.06)</f>
        <v>1113.1329767999998</v>
      </c>
      <c r="AD131" s="69">
        <f>(SUBSIDIO!$J$131*SUBSIDIO!$Y$131)*(0.03)/(1-0.03)</f>
        <v>0</v>
      </c>
      <c r="AE131" s="69">
        <f ca="1">((SUBSIDIO!$L$131*SUBSIDIO!$Z$131)+(SUBSIDIO!$N$131*SUBSIDIO!$AA$131))*(0.03)/(1-0.03)</f>
        <v>668.87882301264119</v>
      </c>
      <c r="AF131" s="3" t="s">
        <v>644</v>
      </c>
    </row>
    <row r="132" spans="1:32" ht="11.25" customHeight="1" x14ac:dyDescent="0.25">
      <c r="A132" s="3" t="s">
        <v>21</v>
      </c>
      <c r="B132" s="3" t="s">
        <v>39</v>
      </c>
      <c r="C132" s="3" t="s">
        <v>23</v>
      </c>
      <c r="D132" s="3" t="s">
        <v>49</v>
      </c>
      <c r="E132" s="3" t="s">
        <v>50</v>
      </c>
      <c r="F132" s="3" t="s">
        <v>25</v>
      </c>
      <c r="G132" s="3" t="s">
        <v>25</v>
      </c>
      <c r="H132" s="3" t="s">
        <v>25</v>
      </c>
      <c r="I132" s="6">
        <v>44470</v>
      </c>
      <c r="J132" s="4">
        <v>0</v>
      </c>
      <c r="K132" s="69">
        <v>0</v>
      </c>
      <c r="L132" s="4">
        <v>16.600000000000001</v>
      </c>
      <c r="M132" s="69">
        <v>16.600000000000001</v>
      </c>
      <c r="N132" s="4">
        <v>16.600000000000001</v>
      </c>
      <c r="O132" s="69">
        <v>16.600000000000001</v>
      </c>
      <c r="P132" s="4">
        <v>7</v>
      </c>
      <c r="Q132" s="3" t="s">
        <v>26</v>
      </c>
      <c r="R132" s="3">
        <v>0</v>
      </c>
      <c r="S132" s="3">
        <v>0</v>
      </c>
      <c r="T132" s="3">
        <v>39</v>
      </c>
      <c r="U132" s="3">
        <v>73</v>
      </c>
      <c r="V132" s="69">
        <f>IF(ISERROR(VLOOKUP($S$132,'TAR FIN'!$A$1:$O$85,15,0)),0,VLOOKUP($S$132,'TAR FIN'!$A$1:$O$85,15,0))</f>
        <v>0</v>
      </c>
      <c r="W132" s="69">
        <f>IF(ISERROR(VLOOKUP($T$132,'TAR FIN'!$A$1:$O$85,15,0)),0,VLOOKUP($T$132,'TAR FIN'!$A$1:$O$85,15,0))*(1-0.06)</f>
        <v>744.86539999999991</v>
      </c>
      <c r="X132" s="69">
        <f>IF(ISERROR(VLOOKUP($U$132,'TAR FIN'!$A$1:$O$85,15,0)),0,VLOOKUP($U$132,'TAR FIN'!$A$1:$O$85,15,0))*(1-0.06)</f>
        <v>217.4502</v>
      </c>
      <c r="Y132" s="69"/>
      <c r="Z132" s="69">
        <f ca="1">('TUSD BE'!$AM$48+'TUSD BF'!$AM$48+'TUSD CVA'!$AM$48)*1*(1-0.03)</f>
        <v>940.43679733840975</v>
      </c>
      <c r="AA132" s="69">
        <f>('TE BE'!$AA$39+'TE BF'!$AA$39+'TE CVA'!$AA$39)*1*(1-0.03)</f>
        <v>252.97904771596615</v>
      </c>
      <c r="AB132" s="69">
        <f>(SUBSIDIO!$J$132*SUBSIDIO!$V$132)*(0.06)/(1-0.06)</f>
        <v>0</v>
      </c>
      <c r="AC132" s="69">
        <f>((SUBSIDIO!$L$132*SUBSIDIO!$W$132)+(SUBSIDIO!$N$132*SUBSIDIO!$X$132))*(0.06)/(1-0.06)</f>
        <v>1019.64504</v>
      </c>
      <c r="AD132" s="69">
        <f>(SUBSIDIO!$J$132*SUBSIDIO!$Y$132)*(0.03)/(1-0.03)</f>
        <v>0</v>
      </c>
      <c r="AE132" s="69">
        <f ca="1">((SUBSIDIO!$L$132*SUBSIDIO!$Z$132)+(SUBSIDIO!$N$132*SUBSIDIO!$AA$132))*(0.03)/(1-0.03)</f>
        <v>612.70215550214357</v>
      </c>
      <c r="AF132" s="3" t="s">
        <v>644</v>
      </c>
    </row>
    <row r="133" spans="1:32" ht="11.25" customHeight="1" x14ac:dyDescent="0.25">
      <c r="A133" s="3" t="s">
        <v>21</v>
      </c>
      <c r="B133" s="3" t="s">
        <v>39</v>
      </c>
      <c r="C133" s="3" t="s">
        <v>23</v>
      </c>
      <c r="D133" s="3" t="s">
        <v>49</v>
      </c>
      <c r="E133" s="3" t="s">
        <v>50</v>
      </c>
      <c r="F133" s="3" t="s">
        <v>25</v>
      </c>
      <c r="G133" s="3" t="s">
        <v>25</v>
      </c>
      <c r="H133" s="3" t="s">
        <v>25</v>
      </c>
      <c r="I133" s="6">
        <v>44501</v>
      </c>
      <c r="J133" s="4">
        <v>0</v>
      </c>
      <c r="K133" s="69">
        <v>0</v>
      </c>
      <c r="L133" s="4">
        <v>16.931999999999999</v>
      </c>
      <c r="M133" s="69">
        <v>16.931999999999999</v>
      </c>
      <c r="N133" s="4">
        <v>16.931999999999999</v>
      </c>
      <c r="O133" s="69">
        <v>16.931999999999999</v>
      </c>
      <c r="P133" s="4">
        <v>7</v>
      </c>
      <c r="Q133" s="3" t="s">
        <v>26</v>
      </c>
      <c r="R133" s="3">
        <v>0</v>
      </c>
      <c r="S133" s="3">
        <v>0</v>
      </c>
      <c r="T133" s="3">
        <v>39</v>
      </c>
      <c r="U133" s="3">
        <v>73</v>
      </c>
      <c r="V133" s="69">
        <f>IF(ISERROR(VLOOKUP($S$133,'TAR FIN'!$A$1:$O$85,15,0)),0,VLOOKUP($S$133,'TAR FIN'!$A$1:$O$85,15,0))</f>
        <v>0</v>
      </c>
      <c r="W133" s="69">
        <f>IF(ISERROR(VLOOKUP($T$133,'TAR FIN'!$A$1:$O$85,15,0)),0,VLOOKUP($T$133,'TAR FIN'!$A$1:$O$85,15,0))*(1-0.06)</f>
        <v>744.86539999999991</v>
      </c>
      <c r="X133" s="69">
        <f>IF(ISERROR(VLOOKUP($U$133,'TAR FIN'!$A$1:$O$85,15,0)),0,VLOOKUP($U$133,'TAR FIN'!$A$1:$O$85,15,0))*(1-0.06)</f>
        <v>217.4502</v>
      </c>
      <c r="Y133" s="69"/>
      <c r="Z133" s="69">
        <f ca="1">('TUSD BE'!$AM$48+'TUSD BF'!$AM$48+'TUSD CVA'!$AM$48)*1*(1-0.03)</f>
        <v>940.43679733840975</v>
      </c>
      <c r="AA133" s="69">
        <f>('TE BE'!$AA$39+'TE BF'!$AA$39+'TE CVA'!$AA$39)*1*(1-0.03)</f>
        <v>252.97904771596615</v>
      </c>
      <c r="AB133" s="69">
        <f>(SUBSIDIO!$J$133*SUBSIDIO!$V$133)*(0.06)/(1-0.06)</f>
        <v>0</v>
      </c>
      <c r="AC133" s="69">
        <f>((SUBSIDIO!$L$133*SUBSIDIO!$W$133)+(SUBSIDIO!$N$133*SUBSIDIO!$X$133))*(0.06)/(1-0.06)</f>
        <v>1040.0379407999999</v>
      </c>
      <c r="AD133" s="69">
        <f>(SUBSIDIO!$J$133*SUBSIDIO!$Y$133)*(0.03)/(1-0.03)</f>
        <v>0</v>
      </c>
      <c r="AE133" s="69">
        <f ca="1">((SUBSIDIO!$L$133*SUBSIDIO!$Z$133)+(SUBSIDIO!$N$133*SUBSIDIO!$AA$133))*(0.03)/(1-0.03)</f>
        <v>624.95619861218631</v>
      </c>
      <c r="AF133" s="3" t="s">
        <v>644</v>
      </c>
    </row>
    <row r="134" spans="1:32" ht="11.25" customHeight="1" x14ac:dyDescent="0.25">
      <c r="A134" s="3" t="s">
        <v>21</v>
      </c>
      <c r="B134" s="3" t="s">
        <v>39</v>
      </c>
      <c r="C134" s="3" t="s">
        <v>23</v>
      </c>
      <c r="D134" s="3" t="s">
        <v>49</v>
      </c>
      <c r="E134" s="3" t="s">
        <v>50</v>
      </c>
      <c r="F134" s="3" t="s">
        <v>25</v>
      </c>
      <c r="G134" s="3" t="s">
        <v>25</v>
      </c>
      <c r="H134" s="3" t="s">
        <v>25</v>
      </c>
      <c r="I134" s="6">
        <v>44531</v>
      </c>
      <c r="J134" s="4">
        <v>0</v>
      </c>
      <c r="K134" s="69">
        <v>0</v>
      </c>
      <c r="L134" s="4">
        <v>16.931000000000001</v>
      </c>
      <c r="M134" s="69">
        <v>16.931000000000001</v>
      </c>
      <c r="N134" s="4">
        <v>16.931000000000001</v>
      </c>
      <c r="O134" s="69">
        <v>16.931000000000001</v>
      </c>
      <c r="P134" s="4">
        <v>7</v>
      </c>
      <c r="Q134" s="3" t="s">
        <v>26</v>
      </c>
      <c r="R134" s="3">
        <v>0</v>
      </c>
      <c r="S134" s="3">
        <v>0</v>
      </c>
      <c r="T134" s="3">
        <v>39</v>
      </c>
      <c r="U134" s="3">
        <v>73</v>
      </c>
      <c r="V134" s="69">
        <f>IF(ISERROR(VLOOKUP($S$134,'TAR FIN'!$A$1:$O$85,15,0)),0,VLOOKUP($S$134,'TAR FIN'!$A$1:$O$85,15,0))</f>
        <v>0</v>
      </c>
      <c r="W134" s="69">
        <f>IF(ISERROR(VLOOKUP($T$134,'TAR FIN'!$A$1:$O$85,15,0)),0,VLOOKUP($T$134,'TAR FIN'!$A$1:$O$85,15,0))*(1-0.06)</f>
        <v>744.86539999999991</v>
      </c>
      <c r="X134" s="69">
        <f>IF(ISERROR(VLOOKUP($U$134,'TAR FIN'!$A$1:$O$85,15,0)),0,VLOOKUP($U$134,'TAR FIN'!$A$1:$O$85,15,0))*(1-0.06)</f>
        <v>217.4502</v>
      </c>
      <c r="Y134" s="69"/>
      <c r="Z134" s="69">
        <f ca="1">('TUSD BE'!$AM$48+'TUSD BF'!$AM$48+'TUSD CVA'!$AM$48)*1*(1-0.03)</f>
        <v>940.43679733840975</v>
      </c>
      <c r="AA134" s="69">
        <f>('TE BE'!$AA$39+'TE BF'!$AA$39+'TE CVA'!$AA$39)*1*(1-0.03)</f>
        <v>252.97904771596615</v>
      </c>
      <c r="AB134" s="69">
        <f>(SUBSIDIO!$J$134*SUBSIDIO!$V$134)*(0.06)/(1-0.06)</f>
        <v>0</v>
      </c>
      <c r="AC134" s="69">
        <f>((SUBSIDIO!$L$134*SUBSIDIO!$W$134)+(SUBSIDIO!$N$134*SUBSIDIO!$X$134))*(0.06)/(1-0.06)</f>
        <v>1039.9765163999998</v>
      </c>
      <c r="AD134" s="69">
        <f>(SUBSIDIO!$J$134*SUBSIDIO!$Y$134)*(0.03)/(1-0.03)</f>
        <v>0</v>
      </c>
      <c r="AE134" s="69">
        <f ca="1">((SUBSIDIO!$L$134*SUBSIDIO!$Z$134)+(SUBSIDIO!$N$134*SUBSIDIO!$AA$134))*(0.03)/(1-0.03)</f>
        <v>624.91928884378274</v>
      </c>
      <c r="AF134" s="3" t="s">
        <v>644</v>
      </c>
    </row>
    <row r="135" spans="1:32" ht="11.25" customHeight="1" x14ac:dyDescent="0.25">
      <c r="A135" s="3" t="s">
        <v>21</v>
      </c>
      <c r="B135" s="3" t="s">
        <v>39</v>
      </c>
      <c r="C135" s="3" t="s">
        <v>23</v>
      </c>
      <c r="D135" s="3" t="s">
        <v>49</v>
      </c>
      <c r="E135" s="3" t="s">
        <v>50</v>
      </c>
      <c r="F135" s="3" t="s">
        <v>25</v>
      </c>
      <c r="G135" s="3" t="s">
        <v>25</v>
      </c>
      <c r="H135" s="3" t="s">
        <v>25</v>
      </c>
      <c r="I135" s="6">
        <v>44562</v>
      </c>
      <c r="J135" s="4">
        <v>0</v>
      </c>
      <c r="K135" s="69">
        <v>0</v>
      </c>
      <c r="L135" s="4">
        <v>17.318000000000001</v>
      </c>
      <c r="M135" s="69">
        <v>17.318000000000001</v>
      </c>
      <c r="N135" s="4">
        <v>17.318000000000001</v>
      </c>
      <c r="O135" s="69">
        <v>17.318000000000001</v>
      </c>
      <c r="P135" s="4">
        <v>7</v>
      </c>
      <c r="Q135" s="3" t="s">
        <v>26</v>
      </c>
      <c r="R135" s="3">
        <v>0</v>
      </c>
      <c r="S135" s="3">
        <v>0</v>
      </c>
      <c r="T135" s="3">
        <v>39</v>
      </c>
      <c r="U135" s="3">
        <v>73</v>
      </c>
      <c r="V135" s="69">
        <f>IF(ISERROR(VLOOKUP($S$135,'TAR FIN'!$A$1:$O$85,15,0)),0,VLOOKUP($S$135,'TAR FIN'!$A$1:$O$85,15,0))</f>
        <v>0</v>
      </c>
      <c r="W135" s="69">
        <f>IF(ISERROR(VLOOKUP($T$135,'TAR FIN'!$A$1:$O$85,15,0)),0,VLOOKUP($T$135,'TAR FIN'!$A$1:$O$85,15,0))*(1-0.06)</f>
        <v>744.86539999999991</v>
      </c>
      <c r="X135" s="69">
        <f>IF(ISERROR(VLOOKUP($U$135,'TAR FIN'!$A$1:$O$85,15,0)),0,VLOOKUP($U$135,'TAR FIN'!$A$1:$O$85,15,0))*(1-0.06)</f>
        <v>217.4502</v>
      </c>
      <c r="Y135" s="69"/>
      <c r="Z135" s="69">
        <f ca="1">('TUSD BE'!$AM$48+'TUSD BF'!$AM$48+'TUSD CVA'!$AM$48)*1*(1-0.03)</f>
        <v>940.43679733840975</v>
      </c>
      <c r="AA135" s="69">
        <f>('TE BE'!$AA$39+'TE BF'!$AA$39+'TE CVA'!$AA$39)*1*(1-0.03)</f>
        <v>252.97904771596615</v>
      </c>
      <c r="AB135" s="69">
        <f>(SUBSIDIO!$J$135*SUBSIDIO!$V$135)*(0.06)/(1-0.06)</f>
        <v>0</v>
      </c>
      <c r="AC135" s="69">
        <f>((SUBSIDIO!$L$135*SUBSIDIO!$W$135)+(SUBSIDIO!$N$135*SUBSIDIO!$X$135))*(0.06)/(1-0.06)</f>
        <v>1063.7477592</v>
      </c>
      <c r="AD135" s="69">
        <f>(SUBSIDIO!$J$135*SUBSIDIO!$Y$135)*(0.03)/(1-0.03)</f>
        <v>0</v>
      </c>
      <c r="AE135" s="69">
        <f ca="1">((SUBSIDIO!$L$135*SUBSIDIO!$Z$135)+(SUBSIDIO!$N$135*SUBSIDIO!$AA$135))*(0.03)/(1-0.03)</f>
        <v>639.20336921603155</v>
      </c>
      <c r="AF135" s="3" t="s">
        <v>644</v>
      </c>
    </row>
    <row r="136" spans="1:32" ht="11.25" customHeight="1" x14ac:dyDescent="0.25">
      <c r="A136" s="3" t="s">
        <v>21</v>
      </c>
      <c r="B136" s="3" t="s">
        <v>39</v>
      </c>
      <c r="C136" s="3" t="s">
        <v>23</v>
      </c>
      <c r="D136" s="3" t="s">
        <v>49</v>
      </c>
      <c r="E136" s="3" t="s">
        <v>50</v>
      </c>
      <c r="F136" s="3" t="s">
        <v>25</v>
      </c>
      <c r="G136" s="3" t="s">
        <v>25</v>
      </c>
      <c r="H136" s="3" t="s">
        <v>25</v>
      </c>
      <c r="I136" s="6">
        <v>44593</v>
      </c>
      <c r="J136" s="4">
        <v>0</v>
      </c>
      <c r="K136" s="69">
        <v>0</v>
      </c>
      <c r="L136" s="4">
        <v>18.584</v>
      </c>
      <c r="M136" s="69">
        <v>18.584</v>
      </c>
      <c r="N136" s="4">
        <v>18.584</v>
      </c>
      <c r="O136" s="69">
        <v>18.584</v>
      </c>
      <c r="P136" s="4">
        <v>7</v>
      </c>
      <c r="Q136" s="3" t="s">
        <v>26</v>
      </c>
      <c r="R136" s="3">
        <v>0</v>
      </c>
      <c r="S136" s="3">
        <v>0</v>
      </c>
      <c r="T136" s="3">
        <v>39</v>
      </c>
      <c r="U136" s="3">
        <v>73</v>
      </c>
      <c r="V136" s="69">
        <f>IF(ISERROR(VLOOKUP($S$136,'TAR FIN'!$A$1:$O$85,15,0)),0,VLOOKUP($S$136,'TAR FIN'!$A$1:$O$85,15,0))</f>
        <v>0</v>
      </c>
      <c r="W136" s="69">
        <f>IF(ISERROR(VLOOKUP($T$136,'TAR FIN'!$A$1:$O$85,15,0)),0,VLOOKUP($T$136,'TAR FIN'!$A$1:$O$85,15,0))*(1-0.06)</f>
        <v>744.86539999999991</v>
      </c>
      <c r="X136" s="69">
        <f>IF(ISERROR(VLOOKUP($U$136,'TAR FIN'!$A$1:$O$85,15,0)),0,VLOOKUP($U$136,'TAR FIN'!$A$1:$O$85,15,0))*(1-0.06)</f>
        <v>217.4502</v>
      </c>
      <c r="Y136" s="69"/>
      <c r="Z136" s="69">
        <f ca="1">('TUSD BE'!$AM$48+'TUSD BF'!$AM$48+'TUSD CVA'!$AM$48)*1*(1-0.03)</f>
        <v>940.43679733840975</v>
      </c>
      <c r="AA136" s="69">
        <f>('TE BE'!$AA$39+'TE BF'!$AA$39+'TE CVA'!$AA$39)*1*(1-0.03)</f>
        <v>252.97904771596615</v>
      </c>
      <c r="AB136" s="69">
        <f>(SUBSIDIO!$J$136*SUBSIDIO!$V$136)*(0.06)/(1-0.06)</f>
        <v>0</v>
      </c>
      <c r="AC136" s="69">
        <f>((SUBSIDIO!$L$136*SUBSIDIO!$W$136)+(SUBSIDIO!$N$136*SUBSIDIO!$X$136))*(0.06)/(1-0.06)</f>
        <v>1141.5110496</v>
      </c>
      <c r="AD136" s="69">
        <f>(SUBSIDIO!$J$136*SUBSIDIO!$Y$136)*(0.03)/(1-0.03)</f>
        <v>0</v>
      </c>
      <c r="AE136" s="69">
        <f ca="1">((SUBSIDIO!$L$136*SUBSIDIO!$Z$136)+(SUBSIDIO!$N$136*SUBSIDIO!$AA$136))*(0.03)/(1-0.03)</f>
        <v>685.93113601517075</v>
      </c>
      <c r="AF136" s="3" t="s">
        <v>644</v>
      </c>
    </row>
    <row r="137" spans="1:32" ht="11.25" customHeight="1" x14ac:dyDescent="0.25">
      <c r="A137" s="3" t="s">
        <v>21</v>
      </c>
      <c r="B137" s="3" t="s">
        <v>39</v>
      </c>
      <c r="C137" s="3" t="s">
        <v>23</v>
      </c>
      <c r="D137" s="3" t="s">
        <v>49</v>
      </c>
      <c r="E137" s="3" t="s">
        <v>50</v>
      </c>
      <c r="F137" s="3" t="s">
        <v>25</v>
      </c>
      <c r="G137" s="3" t="s">
        <v>25</v>
      </c>
      <c r="H137" s="3" t="s">
        <v>25</v>
      </c>
      <c r="I137" s="6">
        <v>44621</v>
      </c>
      <c r="J137" s="4">
        <v>0</v>
      </c>
      <c r="K137" s="69">
        <v>0</v>
      </c>
      <c r="L137" s="4">
        <v>17.818000000000001</v>
      </c>
      <c r="M137" s="69">
        <v>17.818000000000001</v>
      </c>
      <c r="N137" s="4">
        <v>17.818000000000001</v>
      </c>
      <c r="O137" s="69">
        <v>17.818000000000001</v>
      </c>
      <c r="P137" s="4">
        <v>8</v>
      </c>
      <c r="Q137" s="3" t="s">
        <v>26</v>
      </c>
      <c r="R137" s="3">
        <v>0</v>
      </c>
      <c r="S137" s="3">
        <v>0</v>
      </c>
      <c r="T137" s="3">
        <v>39</v>
      </c>
      <c r="U137" s="3">
        <v>73</v>
      </c>
      <c r="V137" s="69">
        <f>IF(ISERROR(VLOOKUP($S$137,'TAR FIN'!$A$1:$O$85,15,0)),0,VLOOKUP($S$137,'TAR FIN'!$A$1:$O$85,15,0))</f>
        <v>0</v>
      </c>
      <c r="W137" s="69">
        <f>IF(ISERROR(VLOOKUP($T$137,'TAR FIN'!$A$1:$O$85,15,0)),0,VLOOKUP($T$137,'TAR FIN'!$A$1:$O$85,15,0))*(1-0.06)</f>
        <v>744.86539999999991</v>
      </c>
      <c r="X137" s="69">
        <f>IF(ISERROR(VLOOKUP($U$137,'TAR FIN'!$A$1:$O$85,15,0)),0,VLOOKUP($U$137,'TAR FIN'!$A$1:$O$85,15,0))*(1-0.06)</f>
        <v>217.4502</v>
      </c>
      <c r="Y137" s="69"/>
      <c r="Z137" s="69">
        <f ca="1">('TUSD BE'!$AM$48+'TUSD BF'!$AM$48+'TUSD CVA'!$AM$48)*1*(1-0.03)</f>
        <v>940.43679733840975</v>
      </c>
      <c r="AA137" s="69">
        <f>('TE BE'!$AA$39+'TE BF'!$AA$39+'TE CVA'!$AA$39)*1*(1-0.03)</f>
        <v>252.97904771596615</v>
      </c>
      <c r="AB137" s="69">
        <f>(SUBSIDIO!$J$137*SUBSIDIO!$V$137)*(0.06)/(1-0.06)</f>
        <v>0</v>
      </c>
      <c r="AC137" s="69">
        <f>((SUBSIDIO!$L$137*SUBSIDIO!$W$137)+(SUBSIDIO!$N$137*SUBSIDIO!$X$137))*(0.06)/(1-0.06)</f>
        <v>1094.4599592</v>
      </c>
      <c r="AD137" s="69">
        <f>(SUBSIDIO!$J$137*SUBSIDIO!$Y$137)*(0.03)/(1-0.03)</f>
        <v>0</v>
      </c>
      <c r="AE137" s="69">
        <f ca="1">((SUBSIDIO!$L$137*SUBSIDIO!$Z$137)+(SUBSIDIO!$N$137*SUBSIDIO!$AA$137))*(0.03)/(1-0.03)</f>
        <v>657.65825341790332</v>
      </c>
      <c r="AF137" s="3" t="s">
        <v>644</v>
      </c>
    </row>
    <row r="138" spans="1:32" ht="11.25" customHeight="1" x14ac:dyDescent="0.25">
      <c r="V138" s="4"/>
      <c r="W138" s="4"/>
      <c r="X138" s="4"/>
      <c r="Y138" s="4"/>
      <c r="Z138" s="4"/>
      <c r="AA138" s="4"/>
      <c r="AB138" s="4"/>
      <c r="AC138" s="4"/>
      <c r="AD138" s="4"/>
      <c r="AE138" s="4"/>
    </row>
    <row r="139" spans="1:32" ht="11.25" customHeight="1" x14ac:dyDescent="0.25">
      <c r="V139" s="4"/>
      <c r="W139" s="4"/>
      <c r="X139" s="4"/>
      <c r="Y139" s="4"/>
      <c r="Z139" s="4"/>
      <c r="AA139" s="4"/>
      <c r="AB139" s="4"/>
      <c r="AC139" s="4"/>
      <c r="AD139" s="4"/>
      <c r="AE139" s="4"/>
    </row>
    <row r="140" spans="1:32" ht="11.25" customHeight="1" x14ac:dyDescent="0.25">
      <c r="V140" s="4"/>
      <c r="W140" s="4"/>
      <c r="X140" s="4"/>
      <c r="Y140" s="4"/>
      <c r="Z140" s="4"/>
      <c r="AA140" s="4"/>
      <c r="AB140" s="4"/>
      <c r="AC140" s="4"/>
      <c r="AD140" s="4"/>
      <c r="AE140" s="4"/>
    </row>
    <row r="141" spans="1:32" ht="11.25" customHeight="1" x14ac:dyDescent="0.25">
      <c r="V141" s="4"/>
      <c r="W141" s="4"/>
      <c r="X141" s="4"/>
      <c r="Y141" s="4"/>
      <c r="Z141" s="4"/>
      <c r="AA141" s="4"/>
      <c r="AB141" s="4"/>
      <c r="AC141" s="4"/>
      <c r="AD141" s="4"/>
      <c r="AE141" s="4"/>
    </row>
    <row r="142" spans="1:32" ht="11.25" customHeight="1" x14ac:dyDescent="0.25">
      <c r="V142" s="4"/>
      <c r="W142" s="4"/>
      <c r="X142" s="4"/>
      <c r="Y142" s="4"/>
      <c r="Z142" s="4"/>
      <c r="AA142" s="4"/>
      <c r="AB142" s="4"/>
      <c r="AC142" s="4"/>
      <c r="AD142" s="4"/>
      <c r="AE142" s="4"/>
    </row>
    <row r="143" spans="1:32" ht="11.25" customHeight="1" x14ac:dyDescent="0.25">
      <c r="V143" s="4"/>
      <c r="W143" s="4"/>
      <c r="X143" s="4"/>
      <c r="Y143" s="4"/>
      <c r="Z143" s="4"/>
      <c r="AA143" s="4"/>
      <c r="AB143" s="4"/>
      <c r="AC143" s="4"/>
      <c r="AD143" s="4"/>
      <c r="AE143" s="4"/>
    </row>
    <row r="144" spans="1:32" ht="11.25" customHeight="1" x14ac:dyDescent="0.25">
      <c r="V144" s="4"/>
      <c r="W144" s="4"/>
      <c r="X144" s="4"/>
      <c r="Y144" s="4"/>
      <c r="Z144" s="4"/>
      <c r="AA144" s="4"/>
      <c r="AB144" s="4"/>
      <c r="AC144" s="4"/>
      <c r="AD144" s="4"/>
      <c r="AE144" s="4"/>
    </row>
    <row r="145" spans="22:31" ht="11.25" customHeight="1" x14ac:dyDescent="0.25">
      <c r="V145" s="4"/>
      <c r="W145" s="4"/>
      <c r="X145" s="4"/>
      <c r="Y145" s="4"/>
      <c r="Z145" s="4"/>
      <c r="AA145" s="4"/>
      <c r="AB145" s="4"/>
      <c r="AC145" s="4"/>
      <c r="AD145" s="4"/>
      <c r="AE145" s="4"/>
    </row>
    <row r="146" spans="22:31" ht="11.25" customHeight="1" x14ac:dyDescent="0.25">
      <c r="V146" s="4"/>
      <c r="W146" s="4"/>
      <c r="X146" s="4"/>
      <c r="Y146" s="4"/>
      <c r="Z146" s="4"/>
      <c r="AA146" s="4"/>
      <c r="AB146" s="4"/>
      <c r="AC146" s="4"/>
      <c r="AD146" s="4"/>
      <c r="AE146" s="4"/>
    </row>
    <row r="147" spans="22:31" ht="11.25" customHeight="1" x14ac:dyDescent="0.25">
      <c r="V147" s="4"/>
      <c r="W147" s="4"/>
      <c r="X147" s="4"/>
      <c r="Y147" s="4"/>
      <c r="Z147" s="4"/>
      <c r="AA147" s="4"/>
      <c r="AB147" s="4"/>
      <c r="AC147" s="4"/>
      <c r="AD147" s="4"/>
      <c r="AE147" s="4"/>
    </row>
    <row r="148" spans="22:31" ht="11.25" customHeight="1" x14ac:dyDescent="0.25">
      <c r="V148" s="4"/>
      <c r="W148" s="4"/>
      <c r="X148" s="4"/>
      <c r="Y148" s="4"/>
      <c r="Z148" s="4"/>
      <c r="AA148" s="4"/>
      <c r="AB148" s="4"/>
      <c r="AC148" s="4"/>
      <c r="AD148" s="4"/>
      <c r="AE148" s="4"/>
    </row>
    <row r="149" spans="22:31" ht="11.25" customHeight="1" x14ac:dyDescent="0.25">
      <c r="V149" s="4"/>
      <c r="W149" s="4"/>
      <c r="X149" s="4"/>
      <c r="Y149" s="4"/>
      <c r="Z149" s="4"/>
      <c r="AA149" s="4"/>
      <c r="AB149" s="4"/>
      <c r="AC149" s="4"/>
      <c r="AD149" s="4"/>
      <c r="AE149" s="4"/>
    </row>
    <row r="150" spans="22:31" ht="11.25" customHeight="1" x14ac:dyDescent="0.25">
      <c r="V150" s="4"/>
      <c r="W150" s="4"/>
      <c r="X150" s="4"/>
      <c r="Y150" s="4"/>
      <c r="Z150" s="4"/>
      <c r="AA150" s="4"/>
      <c r="AB150" s="4"/>
      <c r="AC150" s="4"/>
      <c r="AD150" s="4"/>
      <c r="AE150" s="4"/>
    </row>
    <row r="151" spans="22:31" ht="11.25" customHeight="1" x14ac:dyDescent="0.25">
      <c r="V151" s="4"/>
      <c r="W151" s="4"/>
      <c r="X151" s="4"/>
      <c r="Y151" s="4"/>
      <c r="Z151" s="4"/>
      <c r="AA151" s="4"/>
      <c r="AB151" s="4"/>
      <c r="AC151" s="4"/>
      <c r="AD151" s="4"/>
      <c r="AE151" s="4"/>
    </row>
    <row r="152" spans="22:31" ht="11.25" customHeight="1" x14ac:dyDescent="0.25">
      <c r="V152" s="4"/>
      <c r="W152" s="4"/>
      <c r="X152" s="4"/>
      <c r="Y152" s="4"/>
      <c r="Z152" s="4"/>
      <c r="AA152" s="4"/>
      <c r="AB152" s="4"/>
      <c r="AC152" s="4"/>
      <c r="AD152" s="4"/>
      <c r="AE152" s="4"/>
    </row>
    <row r="153" spans="22:31" ht="11.25" customHeight="1" x14ac:dyDescent="0.25">
      <c r="V153" s="4"/>
      <c r="W153" s="4"/>
      <c r="X153" s="4"/>
      <c r="Y153" s="4"/>
      <c r="Z153" s="4"/>
      <c r="AA153" s="4"/>
      <c r="AB153" s="4"/>
      <c r="AC153" s="4"/>
      <c r="AD153" s="4"/>
      <c r="AE153" s="4"/>
    </row>
    <row r="154" spans="22:31" ht="11.25" customHeight="1" x14ac:dyDescent="0.25">
      <c r="V154" s="4"/>
      <c r="W154" s="4"/>
      <c r="X154" s="4"/>
      <c r="Y154" s="4"/>
      <c r="Z154" s="4"/>
      <c r="AA154" s="4"/>
      <c r="AB154" s="4"/>
      <c r="AC154" s="4"/>
      <c r="AD154" s="4"/>
      <c r="AE154" s="4"/>
    </row>
    <row r="155" spans="22:31" ht="11.25" customHeight="1" x14ac:dyDescent="0.25">
      <c r="V155" s="4"/>
      <c r="W155" s="4"/>
      <c r="X155" s="4"/>
      <c r="Y155" s="4"/>
      <c r="Z155" s="4"/>
      <c r="AA155" s="4"/>
      <c r="AB155" s="4"/>
      <c r="AC155" s="4"/>
      <c r="AD155" s="4"/>
      <c r="AE155" s="4"/>
    </row>
    <row r="156" spans="22:31" ht="11.25" customHeight="1" x14ac:dyDescent="0.25">
      <c r="V156" s="4"/>
      <c r="W156" s="4"/>
      <c r="X156" s="4"/>
      <c r="Y156" s="4"/>
      <c r="Z156" s="4"/>
      <c r="AA156" s="4"/>
      <c r="AB156" s="4"/>
      <c r="AC156" s="4"/>
      <c r="AD156" s="4"/>
      <c r="AE156" s="4"/>
    </row>
    <row r="157" spans="22:31" ht="11.25" customHeight="1" x14ac:dyDescent="0.25">
      <c r="V157" s="4"/>
      <c r="W157" s="4"/>
      <c r="X157" s="4"/>
      <c r="Y157" s="4"/>
      <c r="Z157" s="4"/>
      <c r="AA157" s="4"/>
      <c r="AB157" s="4"/>
      <c r="AC157" s="4"/>
      <c r="AD157" s="4"/>
      <c r="AE157" s="4"/>
    </row>
    <row r="158" spans="22:31" ht="11.25" customHeight="1" x14ac:dyDescent="0.25">
      <c r="V158" s="4"/>
      <c r="W158" s="4"/>
      <c r="X158" s="4"/>
      <c r="Y158" s="4"/>
      <c r="Z158" s="4"/>
      <c r="AA158" s="4"/>
      <c r="AB158" s="4"/>
      <c r="AC158" s="4"/>
      <c r="AD158" s="4"/>
      <c r="AE158" s="4"/>
    </row>
    <row r="159" spans="22:31" ht="11.25" customHeight="1" x14ac:dyDescent="0.25">
      <c r="V159" s="4"/>
      <c r="W159" s="4"/>
      <c r="X159" s="4"/>
      <c r="Y159" s="4"/>
      <c r="Z159" s="4"/>
      <c r="AA159" s="4"/>
      <c r="AB159" s="4"/>
      <c r="AC159" s="4"/>
      <c r="AD159" s="4"/>
      <c r="AE159" s="4"/>
    </row>
    <row r="160" spans="22:31" ht="11.25" customHeight="1" x14ac:dyDescent="0.25">
      <c r="V160" s="4"/>
      <c r="W160" s="4"/>
      <c r="X160" s="4"/>
      <c r="Y160" s="4"/>
      <c r="Z160" s="4"/>
      <c r="AA160" s="4"/>
      <c r="AB160" s="4"/>
      <c r="AC160" s="4"/>
      <c r="AD160" s="4"/>
      <c r="AE160" s="4"/>
    </row>
    <row r="161" spans="22:31" ht="11.25" customHeight="1" x14ac:dyDescent="0.25">
      <c r="V161" s="4"/>
      <c r="W161" s="4"/>
      <c r="X161" s="4"/>
      <c r="Y161" s="4"/>
      <c r="Z161" s="4"/>
      <c r="AA161" s="4"/>
      <c r="AB161" s="4"/>
      <c r="AC161" s="4"/>
      <c r="AD161" s="4"/>
      <c r="AE161" s="4"/>
    </row>
    <row r="162" spans="22:31" ht="11.25" customHeight="1" x14ac:dyDescent="0.25">
      <c r="V162" s="4"/>
      <c r="W162" s="4"/>
      <c r="X162" s="4"/>
      <c r="Y162" s="4"/>
      <c r="Z162" s="4"/>
      <c r="AA162" s="4"/>
      <c r="AB162" s="4"/>
      <c r="AC162" s="4"/>
      <c r="AD162" s="4"/>
      <c r="AE162" s="4"/>
    </row>
    <row r="163" spans="22:31" ht="11.25" customHeight="1" x14ac:dyDescent="0.25">
      <c r="V163" s="4"/>
      <c r="W163" s="4"/>
      <c r="X163" s="4"/>
      <c r="Y163" s="4"/>
      <c r="Z163" s="4"/>
      <c r="AA163" s="4"/>
      <c r="AB163" s="4"/>
      <c r="AC163" s="4"/>
      <c r="AD163" s="4"/>
      <c r="AE163" s="4"/>
    </row>
    <row r="164" spans="22:31" ht="11.25" customHeight="1" x14ac:dyDescent="0.25">
      <c r="V164" s="4"/>
      <c r="W164" s="4"/>
      <c r="X164" s="4"/>
      <c r="Y164" s="4"/>
      <c r="Z164" s="4"/>
      <c r="AA164" s="4"/>
      <c r="AB164" s="4"/>
      <c r="AC164" s="4"/>
      <c r="AD164" s="4"/>
      <c r="AE164" s="4"/>
    </row>
    <row r="165" spans="22:31" ht="11.25" customHeight="1" x14ac:dyDescent="0.25">
      <c r="V165" s="4"/>
      <c r="W165" s="4"/>
      <c r="X165" s="4"/>
      <c r="Y165" s="4"/>
      <c r="Z165" s="4"/>
      <c r="AA165" s="4"/>
      <c r="AB165" s="4"/>
      <c r="AC165" s="4"/>
      <c r="AD165" s="4"/>
      <c r="AE165" s="4"/>
    </row>
    <row r="166" spans="22:31" ht="11.25" customHeight="1" x14ac:dyDescent="0.25">
      <c r="V166" s="4"/>
      <c r="W166" s="4"/>
      <c r="X166" s="4"/>
      <c r="Y166" s="4"/>
      <c r="Z166" s="4"/>
      <c r="AA166" s="4"/>
      <c r="AB166" s="4"/>
      <c r="AC166" s="4"/>
      <c r="AD166" s="4"/>
      <c r="AE166" s="4"/>
    </row>
    <row r="167" spans="22:31" ht="11.25" customHeight="1" x14ac:dyDescent="0.25">
      <c r="V167" s="4"/>
      <c r="W167" s="4"/>
      <c r="X167" s="4"/>
      <c r="Y167" s="4"/>
      <c r="Z167" s="4"/>
      <c r="AA167" s="4"/>
      <c r="AB167" s="4"/>
      <c r="AC167" s="4"/>
      <c r="AD167" s="4"/>
      <c r="AE167" s="4"/>
    </row>
    <row r="168" spans="22:31" ht="11.25" customHeight="1" x14ac:dyDescent="0.25">
      <c r="V168" s="4"/>
      <c r="W168" s="4"/>
      <c r="X168" s="4"/>
      <c r="Y168" s="4"/>
      <c r="Z168" s="4"/>
      <c r="AA168" s="4"/>
      <c r="AB168" s="4"/>
      <c r="AC168" s="4"/>
      <c r="AD168" s="4"/>
      <c r="AE168" s="4"/>
    </row>
    <row r="169" spans="22:31" ht="11.25" customHeight="1" x14ac:dyDescent="0.25">
      <c r="V169" s="4"/>
      <c r="W169" s="4"/>
      <c r="X169" s="4"/>
      <c r="Y169" s="4"/>
      <c r="Z169" s="4"/>
      <c r="AA169" s="4"/>
      <c r="AB169" s="4"/>
      <c r="AC169" s="4"/>
      <c r="AD169" s="4"/>
      <c r="AE169" s="4"/>
    </row>
    <row r="170" spans="22:31" ht="11.25" customHeight="1" x14ac:dyDescent="0.25">
      <c r="V170" s="4"/>
      <c r="W170" s="4"/>
      <c r="X170" s="4"/>
      <c r="Y170" s="4"/>
      <c r="Z170" s="4"/>
      <c r="AA170" s="4"/>
      <c r="AB170" s="4"/>
      <c r="AC170" s="4"/>
      <c r="AD170" s="4"/>
      <c r="AE170" s="4"/>
    </row>
    <row r="171" spans="22:31" ht="11.25" customHeight="1" x14ac:dyDescent="0.25">
      <c r="V171" s="4"/>
      <c r="W171" s="4"/>
      <c r="X171" s="4"/>
      <c r="Y171" s="4"/>
      <c r="Z171" s="4"/>
      <c r="AA171" s="4"/>
      <c r="AB171" s="4"/>
      <c r="AC171" s="4"/>
      <c r="AD171" s="4"/>
      <c r="AE171" s="4"/>
    </row>
    <row r="172" spans="22:31" ht="11.25" customHeight="1" x14ac:dyDescent="0.25">
      <c r="V172" s="4"/>
      <c r="W172" s="4"/>
      <c r="X172" s="4"/>
      <c r="Y172" s="4"/>
      <c r="Z172" s="4"/>
      <c r="AA172" s="4"/>
      <c r="AB172" s="4"/>
      <c r="AC172" s="4"/>
      <c r="AD172" s="4"/>
      <c r="AE172" s="4"/>
    </row>
    <row r="173" spans="22:31" ht="11.25" customHeight="1" x14ac:dyDescent="0.25">
      <c r="V173" s="4"/>
      <c r="W173" s="4"/>
      <c r="X173" s="4"/>
      <c r="Y173" s="4"/>
      <c r="Z173" s="4"/>
      <c r="AA173" s="4"/>
      <c r="AB173" s="4"/>
      <c r="AC173" s="4"/>
      <c r="AD173" s="4"/>
      <c r="AE173" s="4"/>
    </row>
    <row r="174" spans="22:31" ht="11.25" customHeight="1" x14ac:dyDescent="0.25">
      <c r="V174" s="4"/>
      <c r="W174" s="4"/>
      <c r="X174" s="4"/>
      <c r="Y174" s="4"/>
      <c r="Z174" s="4"/>
      <c r="AA174" s="4"/>
      <c r="AB174" s="4"/>
      <c r="AC174" s="4"/>
      <c r="AD174" s="4"/>
      <c r="AE174" s="4"/>
    </row>
    <row r="175" spans="22:31" ht="11.25" customHeight="1" x14ac:dyDescent="0.25">
      <c r="V175" s="4"/>
      <c r="W175" s="4"/>
      <c r="X175" s="4"/>
      <c r="Y175" s="4"/>
      <c r="Z175" s="4"/>
      <c r="AA175" s="4"/>
      <c r="AB175" s="4"/>
      <c r="AC175" s="4"/>
      <c r="AD175" s="4"/>
      <c r="AE175" s="4"/>
    </row>
    <row r="176" spans="22:31" ht="11.25" customHeight="1" x14ac:dyDescent="0.25">
      <c r="V176" s="4"/>
      <c r="W176" s="4"/>
      <c r="X176" s="4"/>
      <c r="Y176" s="4"/>
      <c r="Z176" s="4"/>
      <c r="AA176" s="4"/>
      <c r="AB176" s="4"/>
      <c r="AC176" s="4"/>
      <c r="AD176" s="4"/>
      <c r="AE176" s="4"/>
    </row>
    <row r="177" spans="22:31" ht="11.25" customHeight="1" x14ac:dyDescent="0.25">
      <c r="V177" s="4"/>
      <c r="W177" s="4"/>
      <c r="X177" s="4"/>
      <c r="Y177" s="4"/>
      <c r="Z177" s="4"/>
      <c r="AA177" s="4"/>
      <c r="AB177" s="4"/>
      <c r="AC177" s="4"/>
      <c r="AD177" s="4"/>
      <c r="AE177" s="4"/>
    </row>
    <row r="178" spans="22:31" ht="11.25" customHeight="1" x14ac:dyDescent="0.25">
      <c r="V178" s="4"/>
      <c r="W178" s="4"/>
      <c r="X178" s="4"/>
      <c r="Y178" s="4"/>
      <c r="Z178" s="4"/>
      <c r="AA178" s="4"/>
      <c r="AB178" s="4"/>
      <c r="AC178" s="4"/>
      <c r="AD178" s="4"/>
      <c r="AE178" s="4"/>
    </row>
    <row r="179" spans="22:31" ht="11.25" customHeight="1" x14ac:dyDescent="0.25">
      <c r="V179" s="4"/>
      <c r="W179" s="4"/>
      <c r="X179" s="4"/>
      <c r="Y179" s="4"/>
      <c r="Z179" s="4"/>
      <c r="AA179" s="4"/>
      <c r="AB179" s="4"/>
      <c r="AC179" s="4"/>
      <c r="AD179" s="4"/>
      <c r="AE179" s="4"/>
    </row>
    <row r="180" spans="22:31" ht="11.25" customHeight="1" x14ac:dyDescent="0.25">
      <c r="V180" s="4"/>
      <c r="W180" s="4"/>
      <c r="X180" s="4"/>
      <c r="Y180" s="4"/>
      <c r="Z180" s="4"/>
      <c r="AA180" s="4"/>
      <c r="AB180" s="4"/>
      <c r="AC180" s="4"/>
      <c r="AD180" s="4"/>
      <c r="AE180" s="4"/>
    </row>
    <row r="181" spans="22:31" ht="11.25" customHeight="1" x14ac:dyDescent="0.25">
      <c r="V181" s="4"/>
      <c r="W181" s="4"/>
      <c r="X181" s="4"/>
      <c r="Y181" s="4"/>
      <c r="Z181" s="4"/>
      <c r="AA181" s="4"/>
      <c r="AB181" s="4"/>
      <c r="AC181" s="4"/>
      <c r="AD181" s="4"/>
      <c r="AE181" s="4"/>
    </row>
    <row r="182" spans="22:31" ht="11.25" customHeight="1" x14ac:dyDescent="0.25">
      <c r="V182" s="4"/>
      <c r="W182" s="4"/>
      <c r="X182" s="4"/>
      <c r="Y182" s="4"/>
      <c r="Z182" s="4"/>
      <c r="AA182" s="4"/>
      <c r="AB182" s="4"/>
      <c r="AC182" s="4"/>
      <c r="AD182" s="4"/>
      <c r="AE182" s="4"/>
    </row>
    <row r="183" spans="22:31" ht="11.25" customHeight="1" x14ac:dyDescent="0.25">
      <c r="V183" s="4"/>
      <c r="W183" s="4"/>
      <c r="X183" s="4"/>
      <c r="Y183" s="4"/>
      <c r="Z183" s="4"/>
      <c r="AA183" s="4"/>
      <c r="AB183" s="4"/>
      <c r="AC183" s="4"/>
      <c r="AD183" s="4"/>
      <c r="AE183" s="4"/>
    </row>
    <row r="184" spans="22:31" ht="11.25" customHeight="1" x14ac:dyDescent="0.25">
      <c r="V184" s="4"/>
      <c r="W184" s="4"/>
      <c r="X184" s="4"/>
      <c r="Y184" s="4"/>
      <c r="Z184" s="4"/>
      <c r="AA184" s="4"/>
      <c r="AB184" s="4"/>
      <c r="AC184" s="4"/>
      <c r="AD184" s="4"/>
      <c r="AE184" s="4"/>
    </row>
    <row r="185" spans="22:31" ht="11.25" customHeight="1" x14ac:dyDescent="0.25">
      <c r="V185" s="4"/>
      <c r="W185" s="4"/>
      <c r="X185" s="4"/>
      <c r="Y185" s="4"/>
      <c r="Z185" s="4"/>
      <c r="AA185" s="4"/>
      <c r="AB185" s="4"/>
      <c r="AC185" s="4"/>
      <c r="AD185" s="4"/>
      <c r="AE185" s="4"/>
    </row>
    <row r="186" spans="22:31" ht="11.25" customHeight="1" x14ac:dyDescent="0.25">
      <c r="V186" s="4"/>
      <c r="W186" s="4"/>
      <c r="X186" s="4"/>
      <c r="Y186" s="4"/>
      <c r="Z186" s="4"/>
      <c r="AA186" s="4"/>
      <c r="AB186" s="4"/>
      <c r="AC186" s="4"/>
      <c r="AD186" s="4"/>
      <c r="AE186" s="4"/>
    </row>
    <row r="187" spans="22:31" ht="11.25" customHeight="1" x14ac:dyDescent="0.25">
      <c r="V187" s="4"/>
      <c r="W187" s="4"/>
      <c r="X187" s="4"/>
      <c r="Y187" s="4"/>
      <c r="Z187" s="4"/>
      <c r="AA187" s="4"/>
      <c r="AB187" s="4"/>
      <c r="AC187" s="4"/>
      <c r="AD187" s="4"/>
      <c r="AE187" s="4"/>
    </row>
    <row r="188" spans="22:31" ht="11.25" customHeight="1" x14ac:dyDescent="0.25">
      <c r="V188" s="4"/>
      <c r="W188" s="4"/>
      <c r="X188" s="4"/>
      <c r="Y188" s="4"/>
      <c r="Z188" s="4"/>
      <c r="AA188" s="4"/>
      <c r="AB188" s="4"/>
      <c r="AC188" s="4"/>
      <c r="AD188" s="4"/>
      <c r="AE188" s="4"/>
    </row>
    <row r="189" spans="22:31" ht="11.25" customHeight="1" x14ac:dyDescent="0.25">
      <c r="V189" s="4"/>
      <c r="W189" s="4"/>
      <c r="X189" s="4"/>
      <c r="Y189" s="4"/>
      <c r="Z189" s="4"/>
      <c r="AA189" s="4"/>
      <c r="AB189" s="4"/>
      <c r="AC189" s="4"/>
      <c r="AD189" s="4"/>
      <c r="AE189" s="4"/>
    </row>
    <row r="190" spans="22:31" ht="11.25" customHeight="1" x14ac:dyDescent="0.25">
      <c r="V190" s="4"/>
      <c r="W190" s="4"/>
      <c r="X190" s="4"/>
      <c r="Y190" s="4"/>
      <c r="Z190" s="4"/>
      <c r="AA190" s="4"/>
      <c r="AB190" s="4"/>
      <c r="AC190" s="4"/>
      <c r="AD190" s="4"/>
      <c r="AE190" s="4"/>
    </row>
    <row r="191" spans="22:31" ht="11.25" customHeight="1" x14ac:dyDescent="0.25">
      <c r="V191" s="4"/>
      <c r="W191" s="4"/>
      <c r="X191" s="4"/>
      <c r="Y191" s="4"/>
      <c r="Z191" s="4"/>
      <c r="AA191" s="4"/>
      <c r="AB191" s="4"/>
      <c r="AC191" s="4"/>
      <c r="AD191" s="4"/>
      <c r="AE191" s="4"/>
    </row>
    <row r="192" spans="22:31" ht="11.25" customHeight="1" x14ac:dyDescent="0.25">
      <c r="V192" s="4"/>
      <c r="W192" s="4"/>
      <c r="X192" s="4"/>
      <c r="Y192" s="4"/>
      <c r="Z192" s="4"/>
      <c r="AA192" s="4"/>
      <c r="AB192" s="4"/>
      <c r="AC192" s="4"/>
      <c r="AD192" s="4"/>
      <c r="AE192" s="4"/>
    </row>
    <row r="193" spans="22:31" ht="11.25" customHeight="1" x14ac:dyDescent="0.25">
      <c r="V193" s="4"/>
      <c r="W193" s="4"/>
      <c r="X193" s="4"/>
      <c r="Y193" s="4"/>
      <c r="Z193" s="4"/>
      <c r="AA193" s="4"/>
      <c r="AB193" s="4"/>
      <c r="AC193" s="4"/>
      <c r="AD193" s="4"/>
      <c r="AE193" s="4"/>
    </row>
    <row r="194" spans="22:31" ht="11.25" customHeight="1" x14ac:dyDescent="0.25">
      <c r="V194" s="4"/>
      <c r="W194" s="4"/>
      <c r="X194" s="4"/>
      <c r="Y194" s="4"/>
      <c r="Z194" s="4"/>
      <c r="AA194" s="4"/>
      <c r="AB194" s="4"/>
      <c r="AC194" s="4"/>
      <c r="AD194" s="4"/>
      <c r="AE194" s="4"/>
    </row>
    <row r="195" spans="22:31" ht="11.25" customHeight="1" x14ac:dyDescent="0.25">
      <c r="V195" s="4"/>
      <c r="W195" s="4"/>
      <c r="X195" s="4"/>
      <c r="Y195" s="4"/>
      <c r="Z195" s="4"/>
      <c r="AA195" s="4"/>
      <c r="AB195" s="4"/>
      <c r="AC195" s="4"/>
      <c r="AD195" s="4"/>
      <c r="AE195" s="4"/>
    </row>
    <row r="196" spans="22:31" ht="11.25" customHeight="1" x14ac:dyDescent="0.25">
      <c r="V196" s="4"/>
      <c r="W196" s="4"/>
      <c r="X196" s="4"/>
      <c r="Y196" s="4"/>
      <c r="Z196" s="4"/>
      <c r="AA196" s="4"/>
      <c r="AB196" s="4"/>
      <c r="AC196" s="4"/>
      <c r="AD196" s="4"/>
      <c r="AE196" s="4"/>
    </row>
    <row r="197" spans="22:31" ht="11.25" customHeight="1" x14ac:dyDescent="0.25">
      <c r="V197" s="4"/>
      <c r="W197" s="4"/>
      <c r="X197" s="4"/>
      <c r="Y197" s="4"/>
      <c r="Z197" s="4"/>
      <c r="AA197" s="4"/>
      <c r="AB197" s="4"/>
      <c r="AC197" s="4"/>
      <c r="AD197" s="4"/>
      <c r="AE197" s="4"/>
    </row>
    <row r="198" spans="22:31" ht="11.25" customHeight="1" x14ac:dyDescent="0.25">
      <c r="V198" s="4"/>
      <c r="W198" s="4"/>
      <c r="X198" s="4"/>
      <c r="Y198" s="4"/>
      <c r="Z198" s="4"/>
      <c r="AA198" s="4"/>
      <c r="AB198" s="4"/>
      <c r="AC198" s="4"/>
      <c r="AD198" s="4"/>
      <c r="AE198" s="4"/>
    </row>
    <row r="199" spans="22:31" ht="11.25" customHeight="1" x14ac:dyDescent="0.25">
      <c r="V199" s="4"/>
      <c r="W199" s="4"/>
      <c r="X199" s="4"/>
      <c r="Y199" s="4"/>
      <c r="Z199" s="4"/>
      <c r="AA199" s="4"/>
      <c r="AB199" s="4"/>
      <c r="AC199" s="4"/>
      <c r="AD199" s="4"/>
      <c r="AE199" s="4"/>
    </row>
    <row r="200" spans="22:31" ht="11.25" customHeight="1" x14ac:dyDescent="0.25">
      <c r="V200" s="4"/>
      <c r="W200" s="4"/>
      <c r="X200" s="4"/>
      <c r="Y200" s="4"/>
      <c r="Z200" s="4"/>
      <c r="AA200" s="4"/>
      <c r="AB200" s="4"/>
      <c r="AC200" s="4"/>
      <c r="AD200" s="4"/>
      <c r="AE200" s="4"/>
    </row>
    <row r="201" spans="22:31" ht="11.25" customHeight="1" x14ac:dyDescent="0.25">
      <c r="V201" s="4"/>
      <c r="W201" s="4"/>
      <c r="X201" s="4"/>
      <c r="Y201" s="4"/>
      <c r="Z201" s="4"/>
      <c r="AA201" s="4"/>
      <c r="AB201" s="4"/>
      <c r="AC201" s="4"/>
      <c r="AD201" s="4"/>
      <c r="AE201" s="4"/>
    </row>
    <row r="202" spans="22:31" ht="11.25" customHeight="1" x14ac:dyDescent="0.25">
      <c r="V202" s="4"/>
      <c r="W202" s="4"/>
      <c r="X202" s="4"/>
      <c r="Y202" s="4"/>
      <c r="Z202" s="4"/>
      <c r="AA202" s="4"/>
      <c r="AB202" s="4"/>
      <c r="AC202" s="4"/>
      <c r="AD202" s="4"/>
      <c r="AE202" s="4"/>
    </row>
    <row r="203" spans="22:31" ht="11.25" customHeight="1" x14ac:dyDescent="0.25">
      <c r="V203" s="4"/>
      <c r="W203" s="4"/>
      <c r="X203" s="4"/>
      <c r="Y203" s="4"/>
      <c r="Z203" s="4"/>
      <c r="AA203" s="4"/>
      <c r="AB203" s="4"/>
      <c r="AC203" s="4"/>
      <c r="AD203" s="4"/>
      <c r="AE203" s="4"/>
    </row>
    <row r="204" spans="22:31" ht="11.25" customHeight="1" x14ac:dyDescent="0.25">
      <c r="V204" s="4"/>
      <c r="W204" s="4"/>
      <c r="X204" s="4"/>
      <c r="Y204" s="4"/>
      <c r="Z204" s="4"/>
      <c r="AA204" s="4"/>
      <c r="AB204" s="4"/>
      <c r="AC204" s="4"/>
      <c r="AD204" s="4"/>
      <c r="AE204" s="4"/>
    </row>
    <row r="205" spans="22:31" ht="11.25" customHeight="1" x14ac:dyDescent="0.25">
      <c r="V205" s="4"/>
      <c r="W205" s="4"/>
      <c r="X205" s="4"/>
      <c r="Y205" s="4"/>
      <c r="Z205" s="4"/>
      <c r="AA205" s="4"/>
      <c r="AB205" s="4"/>
      <c r="AC205" s="4"/>
      <c r="AD205" s="4"/>
      <c r="AE205" s="4"/>
    </row>
    <row r="206" spans="22:31" ht="11.25" customHeight="1" x14ac:dyDescent="0.25">
      <c r="V206" s="4"/>
      <c r="W206" s="4"/>
      <c r="X206" s="4"/>
      <c r="Y206" s="4"/>
      <c r="Z206" s="4"/>
      <c r="AA206" s="4"/>
      <c r="AB206" s="4"/>
      <c r="AC206" s="4"/>
      <c r="AD206" s="4"/>
      <c r="AE206" s="4"/>
    </row>
    <row r="207" spans="22:31" ht="11.25" customHeight="1" x14ac:dyDescent="0.25">
      <c r="V207" s="4"/>
      <c r="W207" s="4"/>
      <c r="X207" s="4"/>
      <c r="Y207" s="4"/>
      <c r="Z207" s="4"/>
      <c r="AA207" s="4"/>
      <c r="AB207" s="4"/>
      <c r="AC207" s="4"/>
      <c r="AD207" s="4"/>
      <c r="AE207" s="4"/>
    </row>
    <row r="208" spans="22:31" ht="11.25" customHeight="1" x14ac:dyDescent="0.25">
      <c r="V208" s="4"/>
      <c r="W208" s="4"/>
      <c r="X208" s="4"/>
      <c r="Y208" s="4"/>
      <c r="Z208" s="4"/>
      <c r="AA208" s="4"/>
      <c r="AB208" s="4"/>
      <c r="AC208" s="4"/>
      <c r="AD208" s="4"/>
      <c r="AE208" s="4"/>
    </row>
    <row r="209" spans="22:31" ht="11.25" customHeight="1" x14ac:dyDescent="0.25">
      <c r="V209" s="4"/>
      <c r="W209" s="4"/>
      <c r="X209" s="4"/>
      <c r="Y209" s="4"/>
      <c r="Z209" s="4"/>
      <c r="AA209" s="4"/>
      <c r="AB209" s="4"/>
      <c r="AC209" s="4"/>
      <c r="AD209" s="4"/>
      <c r="AE209" s="4"/>
    </row>
    <row r="210" spans="22:31" ht="11.25" customHeight="1" x14ac:dyDescent="0.25">
      <c r="V210" s="4"/>
      <c r="W210" s="4"/>
      <c r="X210" s="4"/>
      <c r="Y210" s="4"/>
      <c r="Z210" s="4"/>
      <c r="AA210" s="4"/>
      <c r="AB210" s="4"/>
      <c r="AC210" s="4"/>
      <c r="AD210" s="4"/>
      <c r="AE210" s="4"/>
    </row>
    <row r="211" spans="22:31" ht="11.25" customHeight="1" x14ac:dyDescent="0.25">
      <c r="V211" s="4"/>
      <c r="W211" s="4"/>
      <c r="X211" s="4"/>
      <c r="Y211" s="4"/>
      <c r="Z211" s="4"/>
      <c r="AA211" s="4"/>
      <c r="AB211" s="4"/>
      <c r="AC211" s="4"/>
      <c r="AD211" s="4"/>
      <c r="AE211" s="4"/>
    </row>
    <row r="212" spans="22:31" ht="11.25" customHeight="1" x14ac:dyDescent="0.25">
      <c r="V212" s="4"/>
      <c r="W212" s="4"/>
      <c r="X212" s="4"/>
      <c r="Y212" s="4"/>
      <c r="Z212" s="4"/>
      <c r="AA212" s="4"/>
      <c r="AB212" s="4"/>
      <c r="AC212" s="4"/>
      <c r="AD212" s="4"/>
      <c r="AE212" s="4"/>
    </row>
    <row r="213" spans="22:31" ht="11.25" customHeight="1" x14ac:dyDescent="0.25">
      <c r="V213" s="4"/>
      <c r="W213" s="4"/>
      <c r="X213" s="4"/>
      <c r="Y213" s="4"/>
      <c r="Z213" s="4"/>
      <c r="AA213" s="4"/>
      <c r="AB213" s="4"/>
      <c r="AC213" s="4"/>
      <c r="AD213" s="4"/>
      <c r="AE213" s="4"/>
    </row>
    <row r="214" spans="22:31" ht="11.25" customHeight="1" x14ac:dyDescent="0.25">
      <c r="V214" s="4"/>
      <c r="W214" s="4"/>
      <c r="X214" s="4"/>
      <c r="Y214" s="4"/>
      <c r="Z214" s="4"/>
      <c r="AA214" s="4"/>
      <c r="AB214" s="4"/>
      <c r="AC214" s="4"/>
      <c r="AD214" s="4"/>
      <c r="AE214" s="4"/>
    </row>
    <row r="215" spans="22:31" ht="11.25" customHeight="1" x14ac:dyDescent="0.25">
      <c r="V215" s="4"/>
      <c r="W215" s="4"/>
      <c r="X215" s="4"/>
      <c r="Y215" s="4"/>
      <c r="Z215" s="4"/>
      <c r="AA215" s="4"/>
      <c r="AB215" s="4"/>
      <c r="AC215" s="4"/>
      <c r="AD215" s="4"/>
      <c r="AE215" s="4"/>
    </row>
    <row r="216" spans="22:31" ht="11.25" customHeight="1" x14ac:dyDescent="0.25">
      <c r="V216" s="4"/>
      <c r="W216" s="4"/>
      <c r="X216" s="4"/>
      <c r="Y216" s="4"/>
      <c r="Z216" s="4"/>
      <c r="AA216" s="4"/>
      <c r="AB216" s="4"/>
      <c r="AC216" s="4"/>
      <c r="AD216" s="4"/>
      <c r="AE216" s="4"/>
    </row>
    <row r="217" spans="22:31" ht="11.25" customHeight="1" x14ac:dyDescent="0.25">
      <c r="V217" s="4"/>
      <c r="W217" s="4"/>
      <c r="X217" s="4"/>
      <c r="Y217" s="4"/>
      <c r="Z217" s="4"/>
      <c r="AA217" s="4"/>
      <c r="AB217" s="4"/>
      <c r="AC217" s="4"/>
      <c r="AD217" s="4"/>
      <c r="AE217" s="4"/>
    </row>
    <row r="218" spans="22:31" ht="11.25" customHeight="1" x14ac:dyDescent="0.25">
      <c r="V218" s="4"/>
      <c r="W218" s="4"/>
      <c r="X218" s="4"/>
      <c r="Y218" s="4"/>
      <c r="Z218" s="4"/>
      <c r="AA218" s="4"/>
      <c r="AB218" s="4"/>
      <c r="AC218" s="4"/>
      <c r="AD218" s="4"/>
      <c r="AE218" s="4"/>
    </row>
    <row r="219" spans="22:31" ht="11.25" customHeight="1" x14ac:dyDescent="0.25">
      <c r="V219" s="4"/>
      <c r="W219" s="4"/>
      <c r="X219" s="4"/>
      <c r="Y219" s="4"/>
      <c r="Z219" s="4"/>
      <c r="AA219" s="4"/>
      <c r="AB219" s="4"/>
      <c r="AC219" s="4"/>
      <c r="AD219" s="4"/>
      <c r="AE219" s="4"/>
    </row>
    <row r="220" spans="22:31" ht="11.25" customHeight="1" x14ac:dyDescent="0.25">
      <c r="V220" s="4"/>
      <c r="W220" s="4"/>
      <c r="X220" s="4"/>
      <c r="Y220" s="4"/>
      <c r="Z220" s="4"/>
      <c r="AA220" s="4"/>
      <c r="AB220" s="4"/>
      <c r="AC220" s="4"/>
      <c r="AD220" s="4"/>
      <c r="AE220" s="4"/>
    </row>
    <row r="221" spans="22:31" ht="11.25" customHeight="1" x14ac:dyDescent="0.25">
      <c r="V221" s="4"/>
      <c r="W221" s="4"/>
      <c r="X221" s="4"/>
      <c r="Y221" s="4"/>
      <c r="Z221" s="4"/>
      <c r="AA221" s="4"/>
      <c r="AB221" s="4"/>
      <c r="AC221" s="4"/>
      <c r="AD221" s="4"/>
      <c r="AE221" s="4"/>
    </row>
    <row r="222" spans="22:31" ht="11.25" customHeight="1" x14ac:dyDescent="0.25">
      <c r="V222" s="4"/>
      <c r="W222" s="4"/>
      <c r="X222" s="4"/>
      <c r="Y222" s="4"/>
      <c r="Z222" s="4"/>
      <c r="AA222" s="4"/>
      <c r="AB222" s="4"/>
      <c r="AC222" s="4"/>
      <c r="AD222" s="4"/>
      <c r="AE222" s="4"/>
    </row>
    <row r="223" spans="22:31" ht="11.25" customHeight="1" x14ac:dyDescent="0.25">
      <c r="V223" s="4"/>
      <c r="W223" s="4"/>
      <c r="X223" s="4"/>
      <c r="Y223" s="4"/>
      <c r="Z223" s="4"/>
      <c r="AA223" s="4"/>
      <c r="AB223" s="4"/>
      <c r="AC223" s="4"/>
      <c r="AD223" s="4"/>
      <c r="AE223" s="4"/>
    </row>
    <row r="224" spans="22:31" ht="11.25" customHeight="1" x14ac:dyDescent="0.25">
      <c r="V224" s="4"/>
      <c r="W224" s="4"/>
      <c r="X224" s="4"/>
      <c r="Y224" s="4"/>
      <c r="Z224" s="4"/>
      <c r="AA224" s="4"/>
      <c r="AB224" s="4"/>
      <c r="AC224" s="4"/>
      <c r="AD224" s="4"/>
      <c r="AE224" s="4"/>
    </row>
    <row r="225" spans="22:31" ht="11.25" customHeight="1" x14ac:dyDescent="0.25">
      <c r="V225" s="4"/>
      <c r="W225" s="4"/>
      <c r="X225" s="4"/>
      <c r="Y225" s="4"/>
      <c r="Z225" s="4"/>
      <c r="AA225" s="4"/>
      <c r="AB225" s="4"/>
      <c r="AC225" s="4"/>
      <c r="AD225" s="4"/>
      <c r="AE225" s="4"/>
    </row>
    <row r="226" spans="22:31" ht="11.25" customHeight="1" x14ac:dyDescent="0.25">
      <c r="V226" s="4"/>
      <c r="W226" s="4"/>
      <c r="X226" s="4"/>
      <c r="Y226" s="4"/>
      <c r="Z226" s="4"/>
      <c r="AA226" s="4"/>
      <c r="AB226" s="4"/>
      <c r="AC226" s="4"/>
      <c r="AD226" s="4"/>
      <c r="AE226" s="4"/>
    </row>
    <row r="227" spans="22:31" ht="11.25" customHeight="1" x14ac:dyDescent="0.25">
      <c r="V227" s="4"/>
      <c r="W227" s="4"/>
      <c r="X227" s="4"/>
      <c r="Y227" s="4"/>
      <c r="Z227" s="4"/>
      <c r="AA227" s="4"/>
      <c r="AB227" s="4"/>
      <c r="AC227" s="4"/>
      <c r="AD227" s="4"/>
      <c r="AE227" s="4"/>
    </row>
    <row r="228" spans="22:31" ht="11.25" customHeight="1" x14ac:dyDescent="0.25">
      <c r="V228" s="4"/>
      <c r="W228" s="4"/>
      <c r="X228" s="4"/>
      <c r="Y228" s="4"/>
      <c r="Z228" s="4"/>
      <c r="AA228" s="4"/>
      <c r="AB228" s="4"/>
      <c r="AC228" s="4"/>
      <c r="AD228" s="4"/>
      <c r="AE228" s="4"/>
    </row>
    <row r="229" spans="22:31" ht="11.25" customHeight="1" x14ac:dyDescent="0.25">
      <c r="V229" s="4"/>
      <c r="W229" s="4"/>
      <c r="X229" s="4"/>
      <c r="Y229" s="4"/>
      <c r="Z229" s="4"/>
      <c r="AA229" s="4"/>
      <c r="AB229" s="4"/>
      <c r="AC229" s="4"/>
      <c r="AD229" s="4"/>
      <c r="AE229" s="4"/>
    </row>
    <row r="230" spans="22:31" ht="11.25" customHeight="1" x14ac:dyDescent="0.25">
      <c r="V230" s="4"/>
      <c r="W230" s="4"/>
      <c r="X230" s="4"/>
      <c r="Y230" s="4"/>
      <c r="Z230" s="4"/>
      <c r="AA230" s="4"/>
      <c r="AB230" s="4"/>
      <c r="AC230" s="4"/>
      <c r="AD230" s="4"/>
      <c r="AE230" s="4"/>
    </row>
    <row r="231" spans="22:31" ht="11.25" customHeight="1" x14ac:dyDescent="0.25">
      <c r="V231" s="4"/>
      <c r="W231" s="4"/>
      <c r="X231" s="4"/>
      <c r="Y231" s="4"/>
      <c r="Z231" s="4"/>
      <c r="AA231" s="4"/>
      <c r="AB231" s="4"/>
      <c r="AC231" s="4"/>
      <c r="AD231" s="4"/>
      <c r="AE231" s="4"/>
    </row>
    <row r="232" spans="22:31" ht="11.25" customHeight="1" x14ac:dyDescent="0.25">
      <c r="V232" s="4"/>
      <c r="W232" s="4"/>
      <c r="X232" s="4"/>
      <c r="Y232" s="4"/>
      <c r="Z232" s="4"/>
      <c r="AA232" s="4"/>
      <c r="AB232" s="4"/>
      <c r="AC232" s="4"/>
      <c r="AD232" s="4"/>
      <c r="AE232" s="4"/>
    </row>
    <row r="233" spans="22:31" ht="11.25" customHeight="1" x14ac:dyDescent="0.25">
      <c r="V233" s="4"/>
      <c r="W233" s="4"/>
      <c r="X233" s="4"/>
      <c r="Y233" s="4"/>
      <c r="Z233" s="4"/>
      <c r="AA233" s="4"/>
      <c r="AB233" s="4"/>
      <c r="AC233" s="4"/>
      <c r="AD233" s="4"/>
      <c r="AE233" s="4"/>
    </row>
    <row r="234" spans="22:31" ht="11.25" customHeight="1" x14ac:dyDescent="0.25">
      <c r="V234" s="4"/>
      <c r="W234" s="4"/>
      <c r="X234" s="4"/>
      <c r="Y234" s="4"/>
      <c r="Z234" s="4"/>
      <c r="AA234" s="4"/>
      <c r="AB234" s="4"/>
      <c r="AC234" s="4"/>
      <c r="AD234" s="4"/>
      <c r="AE234" s="4"/>
    </row>
    <row r="235" spans="22:31" ht="11.25" customHeight="1" x14ac:dyDescent="0.25">
      <c r="V235" s="4"/>
      <c r="W235" s="4"/>
      <c r="X235" s="4"/>
      <c r="Y235" s="4"/>
      <c r="Z235" s="4"/>
      <c r="AA235" s="4"/>
      <c r="AB235" s="4"/>
      <c r="AC235" s="4"/>
      <c r="AD235" s="4"/>
      <c r="AE235" s="4"/>
    </row>
    <row r="236" spans="22:31" ht="11.25" customHeight="1" x14ac:dyDescent="0.25">
      <c r="V236" s="4"/>
      <c r="W236" s="4"/>
      <c r="X236" s="4"/>
      <c r="Y236" s="4"/>
      <c r="Z236" s="4"/>
      <c r="AA236" s="4"/>
      <c r="AB236" s="4"/>
      <c r="AC236" s="4"/>
      <c r="AD236" s="4"/>
      <c r="AE236" s="4"/>
    </row>
    <row r="237" spans="22:31" ht="11.25" customHeight="1" x14ac:dyDescent="0.25">
      <c r="V237" s="4"/>
      <c r="W237" s="4"/>
      <c r="X237" s="4"/>
      <c r="Y237" s="4"/>
      <c r="Z237" s="4"/>
      <c r="AA237" s="4"/>
      <c r="AB237" s="4"/>
      <c r="AC237" s="4"/>
      <c r="AD237" s="4"/>
      <c r="AE237" s="4"/>
    </row>
    <row r="238" spans="22:31" ht="11.25" customHeight="1" x14ac:dyDescent="0.25">
      <c r="V238" s="4"/>
      <c r="W238" s="4"/>
      <c r="X238" s="4"/>
      <c r="Y238" s="4"/>
      <c r="Z238" s="4"/>
      <c r="AA238" s="4"/>
      <c r="AB238" s="4"/>
      <c r="AC238" s="4"/>
      <c r="AD238" s="4"/>
      <c r="AE238" s="4"/>
    </row>
    <row r="239" spans="22:31" ht="11.25" customHeight="1" x14ac:dyDescent="0.25">
      <c r="V239" s="4"/>
      <c r="W239" s="4"/>
      <c r="X239" s="4"/>
      <c r="Y239" s="4"/>
      <c r="Z239" s="4"/>
      <c r="AA239" s="4"/>
      <c r="AB239" s="4"/>
      <c r="AC239" s="4"/>
      <c r="AD239" s="4"/>
      <c r="AE239" s="4"/>
    </row>
    <row r="240" spans="22:31" ht="11.25" customHeight="1" x14ac:dyDescent="0.25">
      <c r="V240" s="4"/>
      <c r="W240" s="4"/>
      <c r="X240" s="4"/>
      <c r="Y240" s="4"/>
      <c r="Z240" s="4"/>
      <c r="AA240" s="4"/>
      <c r="AB240" s="4"/>
      <c r="AC240" s="4"/>
      <c r="AD240" s="4"/>
      <c r="AE240" s="4"/>
    </row>
    <row r="241" spans="22:31" ht="11.25" customHeight="1" x14ac:dyDescent="0.25">
      <c r="V241" s="4"/>
      <c r="W241" s="4"/>
      <c r="X241" s="4"/>
      <c r="Y241" s="4"/>
      <c r="Z241" s="4"/>
      <c r="AA241" s="4"/>
      <c r="AB241" s="4"/>
      <c r="AC241" s="4"/>
      <c r="AD241" s="4"/>
      <c r="AE241" s="4"/>
    </row>
    <row r="242" spans="22:31" ht="11.25" customHeight="1" x14ac:dyDescent="0.25">
      <c r="V242" s="4"/>
      <c r="W242" s="4"/>
      <c r="X242" s="4"/>
      <c r="Y242" s="4"/>
      <c r="Z242" s="4"/>
      <c r="AA242" s="4"/>
      <c r="AB242" s="4"/>
      <c r="AC242" s="4"/>
      <c r="AD242" s="4"/>
      <c r="AE242" s="4"/>
    </row>
    <row r="243" spans="22:31" ht="11.25" customHeight="1" x14ac:dyDescent="0.25">
      <c r="V243" s="4"/>
      <c r="W243" s="4"/>
      <c r="X243" s="4"/>
      <c r="Y243" s="4"/>
      <c r="Z243" s="4"/>
      <c r="AA243" s="4"/>
      <c r="AB243" s="4"/>
      <c r="AC243" s="4"/>
      <c r="AD243" s="4"/>
      <c r="AE243" s="4"/>
    </row>
    <row r="244" spans="22:31" ht="11.25" customHeight="1" x14ac:dyDescent="0.25">
      <c r="V244" s="4"/>
      <c r="W244" s="4"/>
      <c r="X244" s="4"/>
      <c r="Y244" s="4"/>
      <c r="Z244" s="4"/>
      <c r="AA244" s="4"/>
      <c r="AB244" s="4"/>
      <c r="AC244" s="4"/>
      <c r="AD244" s="4"/>
      <c r="AE244" s="4"/>
    </row>
    <row r="245" spans="22:31" ht="11.25" customHeight="1" x14ac:dyDescent="0.25">
      <c r="V245" s="4"/>
      <c r="W245" s="4"/>
      <c r="X245" s="4"/>
      <c r="Y245" s="4"/>
      <c r="Z245" s="4"/>
      <c r="AA245" s="4"/>
      <c r="AB245" s="4"/>
      <c r="AC245" s="4"/>
      <c r="AD245" s="4"/>
      <c r="AE245" s="4"/>
    </row>
    <row r="246" spans="22:31" ht="11.25" customHeight="1" x14ac:dyDescent="0.25">
      <c r="V246" s="4"/>
      <c r="W246" s="4"/>
      <c r="X246" s="4"/>
      <c r="Y246" s="4"/>
      <c r="Z246" s="4"/>
      <c r="AA246" s="4"/>
      <c r="AB246" s="4"/>
      <c r="AC246" s="4"/>
      <c r="AD246" s="4"/>
      <c r="AE246" s="4"/>
    </row>
    <row r="247" spans="22:31" ht="11.25" customHeight="1" x14ac:dyDescent="0.25">
      <c r="V247" s="4"/>
      <c r="W247" s="4"/>
      <c r="X247" s="4"/>
      <c r="Y247" s="4"/>
      <c r="Z247" s="4"/>
      <c r="AA247" s="4"/>
      <c r="AB247" s="4"/>
      <c r="AC247" s="4"/>
      <c r="AD247" s="4"/>
      <c r="AE247" s="4"/>
    </row>
    <row r="248" spans="22:31" ht="11.25" customHeight="1" x14ac:dyDescent="0.25">
      <c r="V248" s="4"/>
      <c r="W248" s="4"/>
      <c r="X248" s="4"/>
      <c r="Y248" s="4"/>
      <c r="Z248" s="4"/>
      <c r="AA248" s="4"/>
      <c r="AB248" s="4"/>
      <c r="AC248" s="4"/>
      <c r="AD248" s="4"/>
      <c r="AE248" s="4"/>
    </row>
    <row r="249" spans="22:31" ht="11.25" customHeight="1" x14ac:dyDescent="0.25">
      <c r="V249" s="4"/>
      <c r="W249" s="4"/>
      <c r="X249" s="4"/>
      <c r="Y249" s="4"/>
      <c r="Z249" s="4"/>
      <c r="AA249" s="4"/>
      <c r="AB249" s="4"/>
      <c r="AC249" s="4"/>
      <c r="AD249" s="4"/>
      <c r="AE249" s="4"/>
    </row>
    <row r="250" spans="22:31" ht="11.25" customHeight="1" x14ac:dyDescent="0.25">
      <c r="V250" s="4"/>
      <c r="W250" s="4"/>
      <c r="X250" s="4"/>
      <c r="Y250" s="4"/>
      <c r="Z250" s="4"/>
      <c r="AA250" s="4"/>
      <c r="AB250" s="4"/>
      <c r="AC250" s="4"/>
      <c r="AD250" s="4"/>
      <c r="AE250" s="4"/>
    </row>
    <row r="251" spans="22:31" ht="11.25" customHeight="1" x14ac:dyDescent="0.25">
      <c r="V251" s="4"/>
      <c r="W251" s="4"/>
      <c r="X251" s="4"/>
      <c r="Y251" s="4"/>
      <c r="Z251" s="4"/>
      <c r="AA251" s="4"/>
      <c r="AB251" s="4"/>
      <c r="AC251" s="4"/>
      <c r="AD251" s="4"/>
      <c r="AE251" s="4"/>
    </row>
    <row r="252" spans="22:31" ht="11.25" customHeight="1" x14ac:dyDescent="0.25">
      <c r="V252" s="4"/>
      <c r="W252" s="4"/>
      <c r="X252" s="4"/>
      <c r="Y252" s="4"/>
      <c r="Z252" s="4"/>
      <c r="AA252" s="4"/>
      <c r="AB252" s="4"/>
      <c r="AC252" s="4"/>
      <c r="AD252" s="4"/>
      <c r="AE252" s="4"/>
    </row>
    <row r="253" spans="22:31" ht="11.25" customHeight="1" x14ac:dyDescent="0.25">
      <c r="V253" s="4"/>
      <c r="W253" s="4"/>
      <c r="X253" s="4"/>
      <c r="Y253" s="4"/>
      <c r="Z253" s="4"/>
      <c r="AA253" s="4"/>
      <c r="AB253" s="4"/>
      <c r="AC253" s="4"/>
      <c r="AD253" s="4"/>
      <c r="AE253" s="4"/>
    </row>
    <row r="254" spans="22:31" ht="11.25" customHeight="1" x14ac:dyDescent="0.25">
      <c r="V254" s="4"/>
      <c r="W254" s="4"/>
      <c r="X254" s="4"/>
      <c r="Y254" s="4"/>
      <c r="Z254" s="4"/>
      <c r="AA254" s="4"/>
      <c r="AB254" s="4"/>
      <c r="AC254" s="4"/>
      <c r="AD254" s="4"/>
      <c r="AE254" s="4"/>
    </row>
    <row r="255" spans="22:31" ht="11.25" customHeight="1" x14ac:dyDescent="0.25">
      <c r="V255" s="4"/>
      <c r="W255" s="4"/>
      <c r="X255" s="4"/>
      <c r="Y255" s="4"/>
      <c r="Z255" s="4"/>
      <c r="AA255" s="4"/>
      <c r="AB255" s="4"/>
      <c r="AC255" s="4"/>
      <c r="AD255" s="4"/>
      <c r="AE255" s="4"/>
    </row>
    <row r="256" spans="22:31" ht="11.25" customHeight="1" x14ac:dyDescent="0.25">
      <c r="V256" s="4"/>
      <c r="W256" s="4"/>
      <c r="X256" s="4"/>
      <c r="Y256" s="4"/>
      <c r="Z256" s="4"/>
      <c r="AA256" s="4"/>
      <c r="AB256" s="4"/>
      <c r="AC256" s="4"/>
      <c r="AD256" s="4"/>
      <c r="AE256" s="4"/>
    </row>
    <row r="257" spans="22:31" ht="11.25" customHeight="1" x14ac:dyDescent="0.25">
      <c r="V257" s="4"/>
      <c r="W257" s="4"/>
      <c r="X257" s="4"/>
      <c r="Y257" s="4"/>
      <c r="Z257" s="4"/>
      <c r="AA257" s="4"/>
      <c r="AB257" s="4"/>
      <c r="AC257" s="4"/>
      <c r="AD257" s="4"/>
      <c r="AE257" s="4"/>
    </row>
    <row r="258" spans="22:31" ht="11.25" customHeight="1" x14ac:dyDescent="0.25">
      <c r="V258" s="4"/>
      <c r="W258" s="4"/>
      <c r="X258" s="4"/>
      <c r="Y258" s="4"/>
      <c r="Z258" s="4"/>
      <c r="AA258" s="4"/>
      <c r="AB258" s="4"/>
      <c r="AC258" s="4"/>
      <c r="AD258" s="4"/>
      <c r="AE258" s="4"/>
    </row>
    <row r="259" spans="22:31" ht="11.25" customHeight="1" x14ac:dyDescent="0.25">
      <c r="V259" s="4"/>
      <c r="W259" s="4"/>
      <c r="X259" s="4"/>
      <c r="Y259" s="4"/>
      <c r="Z259" s="4"/>
      <c r="AA259" s="4"/>
      <c r="AB259" s="4"/>
      <c r="AC259" s="4"/>
      <c r="AD259" s="4"/>
      <c r="AE259" s="4"/>
    </row>
    <row r="260" spans="22:31" ht="11.25" customHeight="1" x14ac:dyDescent="0.25">
      <c r="V260" s="4"/>
      <c r="W260" s="4"/>
      <c r="X260" s="4"/>
      <c r="Y260" s="4"/>
      <c r="Z260" s="4"/>
      <c r="AA260" s="4"/>
      <c r="AB260" s="4"/>
      <c r="AC260" s="4"/>
      <c r="AD260" s="4"/>
      <c r="AE260" s="4"/>
    </row>
    <row r="261" spans="22:31" ht="11.25" customHeight="1" x14ac:dyDescent="0.25">
      <c r="V261" s="4"/>
      <c r="W261" s="4"/>
      <c r="X261" s="4"/>
      <c r="Y261" s="4"/>
      <c r="Z261" s="4"/>
      <c r="AA261" s="4"/>
      <c r="AB261" s="4"/>
      <c r="AC261" s="4"/>
      <c r="AD261" s="4"/>
      <c r="AE261" s="4"/>
    </row>
    <row r="262" spans="22:31" ht="11.25" customHeight="1" x14ac:dyDescent="0.25">
      <c r="V262" s="4"/>
      <c r="W262" s="4"/>
      <c r="X262" s="4"/>
      <c r="Y262" s="4"/>
      <c r="Z262" s="4"/>
      <c r="AA262" s="4"/>
      <c r="AB262" s="4"/>
      <c r="AC262" s="4"/>
      <c r="AD262" s="4"/>
      <c r="AE262" s="4"/>
    </row>
    <row r="263" spans="22:31" ht="11.25" customHeight="1" x14ac:dyDescent="0.25">
      <c r="V263" s="4"/>
      <c r="W263" s="4"/>
      <c r="X263" s="4"/>
      <c r="Y263" s="4"/>
      <c r="Z263" s="4"/>
      <c r="AA263" s="4"/>
      <c r="AB263" s="4"/>
      <c r="AC263" s="4"/>
      <c r="AD263" s="4"/>
      <c r="AE263" s="4"/>
    </row>
    <row r="264" spans="22:31" ht="11.25" customHeight="1" x14ac:dyDescent="0.25">
      <c r="V264" s="4"/>
      <c r="W264" s="4"/>
      <c r="X264" s="4"/>
      <c r="Y264" s="4"/>
      <c r="Z264" s="4"/>
      <c r="AA264" s="4"/>
      <c r="AB264" s="4"/>
      <c r="AC264" s="4"/>
      <c r="AD264" s="4"/>
      <c r="AE264" s="4"/>
    </row>
    <row r="265" spans="22:31" ht="11.25" customHeight="1" x14ac:dyDescent="0.25">
      <c r="V265" s="4"/>
      <c r="W265" s="4"/>
      <c r="X265" s="4"/>
      <c r="Y265" s="4"/>
      <c r="Z265" s="4"/>
      <c r="AA265" s="4"/>
      <c r="AB265" s="4"/>
      <c r="AC265" s="4"/>
      <c r="AD265" s="4"/>
      <c r="AE265" s="4"/>
    </row>
    <row r="266" spans="22:31" ht="11.25" customHeight="1" x14ac:dyDescent="0.25">
      <c r="V266" s="4"/>
      <c r="W266" s="4"/>
      <c r="X266" s="4"/>
      <c r="Y266" s="4"/>
      <c r="Z266" s="4"/>
      <c r="AA266" s="4"/>
      <c r="AB266" s="4"/>
      <c r="AC266" s="4"/>
      <c r="AD266" s="4"/>
      <c r="AE266" s="4"/>
    </row>
    <row r="267" spans="22:31" ht="11.25" customHeight="1" x14ac:dyDescent="0.25">
      <c r="V267" s="4"/>
      <c r="W267" s="4"/>
      <c r="X267" s="4"/>
      <c r="Y267" s="4"/>
      <c r="Z267" s="4"/>
      <c r="AA267" s="4"/>
      <c r="AB267" s="4"/>
      <c r="AC267" s="4"/>
      <c r="AD267" s="4"/>
      <c r="AE267" s="4"/>
    </row>
    <row r="268" spans="22:31" ht="11.25" customHeight="1" x14ac:dyDescent="0.25">
      <c r="V268" s="4"/>
      <c r="W268" s="4"/>
      <c r="X268" s="4"/>
      <c r="Y268" s="4"/>
      <c r="Z268" s="4"/>
      <c r="AA268" s="4"/>
      <c r="AB268" s="4"/>
      <c r="AC268" s="4"/>
      <c r="AD268" s="4"/>
      <c r="AE268" s="4"/>
    </row>
    <row r="269" spans="22:31" ht="11.25" customHeight="1" x14ac:dyDescent="0.25">
      <c r="V269" s="4"/>
      <c r="W269" s="4"/>
      <c r="X269" s="4"/>
      <c r="Y269" s="4"/>
      <c r="Z269" s="4"/>
      <c r="AA269" s="4"/>
      <c r="AB269" s="4"/>
      <c r="AC269" s="4"/>
      <c r="AD269" s="4"/>
      <c r="AE269" s="4"/>
    </row>
    <row r="270" spans="22:31" ht="11.25" customHeight="1" x14ac:dyDescent="0.25">
      <c r="V270" s="4"/>
      <c r="W270" s="4"/>
      <c r="X270" s="4"/>
      <c r="Y270" s="4"/>
      <c r="Z270" s="4"/>
      <c r="AA270" s="4"/>
      <c r="AB270" s="4"/>
      <c r="AC270" s="4"/>
      <c r="AD270" s="4"/>
      <c r="AE270" s="4"/>
    </row>
    <row r="271" spans="22:31" ht="11.25" customHeight="1" x14ac:dyDescent="0.25">
      <c r="V271" s="4"/>
      <c r="W271" s="4"/>
      <c r="X271" s="4"/>
      <c r="Y271" s="4"/>
      <c r="Z271" s="4"/>
      <c r="AA271" s="4"/>
      <c r="AB271" s="4"/>
      <c r="AC271" s="4"/>
      <c r="AD271" s="4"/>
      <c r="AE271" s="4"/>
    </row>
    <row r="272" spans="22:31" ht="11.25" customHeight="1" x14ac:dyDescent="0.25">
      <c r="V272" s="4"/>
      <c r="W272" s="4"/>
      <c r="X272" s="4"/>
      <c r="Y272" s="4"/>
      <c r="Z272" s="4"/>
      <c r="AA272" s="4"/>
      <c r="AB272" s="4"/>
      <c r="AC272" s="4"/>
      <c r="AD272" s="4"/>
      <c r="AE272" s="4"/>
    </row>
    <row r="273" spans="22:31" ht="11.25" customHeight="1" x14ac:dyDescent="0.25">
      <c r="V273" s="4"/>
      <c r="W273" s="4"/>
      <c r="X273" s="4"/>
      <c r="Y273" s="4"/>
      <c r="Z273" s="4"/>
      <c r="AA273" s="4"/>
      <c r="AB273" s="4"/>
      <c r="AC273" s="4"/>
      <c r="AD273" s="4"/>
      <c r="AE273" s="4"/>
    </row>
    <row r="274" spans="22:31" ht="11.25" customHeight="1" x14ac:dyDescent="0.25">
      <c r="V274" s="4"/>
      <c r="W274" s="4"/>
      <c r="X274" s="4"/>
      <c r="Y274" s="4"/>
      <c r="Z274" s="4"/>
      <c r="AA274" s="4"/>
      <c r="AB274" s="4"/>
      <c r="AC274" s="4"/>
      <c r="AD274" s="4"/>
      <c r="AE274" s="4"/>
    </row>
    <row r="275" spans="22:31" ht="11.25" customHeight="1" x14ac:dyDescent="0.25">
      <c r="V275" s="4"/>
      <c r="W275" s="4"/>
      <c r="X275" s="4"/>
      <c r="Y275" s="4"/>
      <c r="Z275" s="4"/>
      <c r="AA275" s="4"/>
      <c r="AB275" s="4"/>
      <c r="AC275" s="4"/>
      <c r="AD275" s="4"/>
      <c r="AE275" s="4"/>
    </row>
    <row r="276" spans="22:31" ht="11.25" customHeight="1" x14ac:dyDescent="0.25">
      <c r="V276" s="4"/>
      <c r="W276" s="4"/>
      <c r="X276" s="4"/>
      <c r="Y276" s="4"/>
      <c r="Z276" s="4"/>
      <c r="AA276" s="4"/>
      <c r="AB276" s="4"/>
      <c r="AC276" s="4"/>
      <c r="AD276" s="4"/>
      <c r="AE276" s="4"/>
    </row>
    <row r="277" spans="22:31" ht="11.25" customHeight="1" x14ac:dyDescent="0.25">
      <c r="V277" s="4"/>
      <c r="W277" s="4"/>
      <c r="X277" s="4"/>
      <c r="Y277" s="4"/>
      <c r="Z277" s="4"/>
      <c r="AA277" s="4"/>
      <c r="AB277" s="4"/>
      <c r="AC277" s="4"/>
      <c r="AD277" s="4"/>
      <c r="AE277" s="4"/>
    </row>
    <row r="278" spans="22:31" ht="11.25" customHeight="1" x14ac:dyDescent="0.25">
      <c r="V278" s="4"/>
      <c r="W278" s="4"/>
      <c r="X278" s="4"/>
      <c r="Y278" s="4"/>
      <c r="Z278" s="4"/>
      <c r="AA278" s="4"/>
      <c r="AB278" s="4"/>
      <c r="AC278" s="4"/>
      <c r="AD278" s="4"/>
      <c r="AE278" s="4"/>
    </row>
    <row r="279" spans="22:31" ht="11.25" customHeight="1" x14ac:dyDescent="0.25">
      <c r="V279" s="4"/>
      <c r="W279" s="4"/>
      <c r="X279" s="4"/>
      <c r="Y279" s="4"/>
      <c r="Z279" s="4"/>
      <c r="AA279" s="4"/>
      <c r="AB279" s="4"/>
      <c r="AC279" s="4"/>
      <c r="AD279" s="4"/>
      <c r="AE279" s="4"/>
    </row>
    <row r="280" spans="22:31" ht="11.25" customHeight="1" x14ac:dyDescent="0.25">
      <c r="V280" s="4"/>
      <c r="W280" s="4"/>
      <c r="X280" s="4"/>
      <c r="Y280" s="4"/>
      <c r="Z280" s="4"/>
      <c r="AA280" s="4"/>
      <c r="AB280" s="4"/>
      <c r="AC280" s="4"/>
      <c r="AD280" s="4"/>
      <c r="AE280" s="4"/>
    </row>
    <row r="281" spans="22:31" ht="11.25" customHeight="1" x14ac:dyDescent="0.25">
      <c r="V281" s="4"/>
      <c r="W281" s="4"/>
      <c r="X281" s="4"/>
      <c r="Y281" s="4"/>
      <c r="Z281" s="4"/>
      <c r="AA281" s="4"/>
      <c r="AB281" s="4"/>
      <c r="AC281" s="4"/>
      <c r="AD281" s="4"/>
      <c r="AE281" s="4"/>
    </row>
    <row r="282" spans="22:31" ht="11.25" customHeight="1" x14ac:dyDescent="0.25">
      <c r="V282" s="4"/>
      <c r="W282" s="4"/>
      <c r="X282" s="4"/>
      <c r="Y282" s="4"/>
      <c r="Z282" s="4"/>
      <c r="AA282" s="4"/>
      <c r="AB282" s="4"/>
      <c r="AC282" s="4"/>
      <c r="AD282" s="4"/>
      <c r="AE282" s="4"/>
    </row>
    <row r="283" spans="22:31" ht="11.25" customHeight="1" x14ac:dyDescent="0.25">
      <c r="V283" s="4"/>
      <c r="W283" s="4"/>
      <c r="X283" s="4"/>
      <c r="Y283" s="4"/>
      <c r="Z283" s="4"/>
      <c r="AA283" s="4"/>
      <c r="AB283" s="4"/>
      <c r="AC283" s="4"/>
      <c r="AD283" s="4"/>
      <c r="AE283" s="4"/>
    </row>
    <row r="284" spans="22:31" ht="11.25" customHeight="1" x14ac:dyDescent="0.25">
      <c r="V284" s="4"/>
      <c r="W284" s="4"/>
      <c r="X284" s="4"/>
      <c r="Y284" s="4"/>
      <c r="Z284" s="4"/>
      <c r="AA284" s="4"/>
      <c r="AB284" s="4"/>
      <c r="AC284" s="4"/>
      <c r="AD284" s="4"/>
      <c r="AE284" s="4"/>
    </row>
    <row r="285" spans="22:31" ht="11.25" customHeight="1" x14ac:dyDescent="0.25">
      <c r="V285" s="4"/>
      <c r="W285" s="4"/>
      <c r="X285" s="4"/>
      <c r="Y285" s="4"/>
      <c r="Z285" s="4"/>
      <c r="AA285" s="4"/>
      <c r="AB285" s="4"/>
      <c r="AC285" s="4"/>
      <c r="AD285" s="4"/>
      <c r="AE285" s="4"/>
    </row>
    <row r="286" spans="22:31" ht="11.25" customHeight="1" x14ac:dyDescent="0.25">
      <c r="V286" s="4"/>
      <c r="W286" s="4"/>
      <c r="X286" s="4"/>
      <c r="Y286" s="4"/>
      <c r="Z286" s="4"/>
      <c r="AA286" s="4"/>
      <c r="AB286" s="4"/>
      <c r="AC286" s="4"/>
      <c r="AD286" s="4"/>
      <c r="AE286" s="4"/>
    </row>
    <row r="287" spans="22:31" ht="11.25" customHeight="1" x14ac:dyDescent="0.25">
      <c r="V287" s="4"/>
      <c r="W287" s="4"/>
      <c r="X287" s="4"/>
      <c r="Y287" s="4"/>
      <c r="Z287" s="4"/>
      <c r="AA287" s="4"/>
      <c r="AB287" s="4"/>
      <c r="AC287" s="4"/>
      <c r="AD287" s="4"/>
      <c r="AE287" s="4"/>
    </row>
    <row r="288" spans="22:31" ht="11.25" customHeight="1" x14ac:dyDescent="0.25">
      <c r="V288" s="4"/>
      <c r="W288" s="4"/>
      <c r="X288" s="4"/>
      <c r="Y288" s="4"/>
      <c r="Z288" s="4"/>
      <c r="AA288" s="4"/>
      <c r="AB288" s="4"/>
      <c r="AC288" s="4"/>
      <c r="AD288" s="4"/>
      <c r="AE288" s="4"/>
    </row>
    <row r="289" spans="22:31" ht="11.25" customHeight="1" x14ac:dyDescent="0.25">
      <c r="V289" s="4"/>
      <c r="W289" s="4"/>
      <c r="X289" s="4"/>
      <c r="Y289" s="4"/>
      <c r="Z289" s="4"/>
      <c r="AA289" s="4"/>
      <c r="AB289" s="4"/>
      <c r="AC289" s="4"/>
      <c r="AD289" s="4"/>
      <c r="AE289" s="4"/>
    </row>
    <row r="290" spans="22:31" ht="11.25" customHeight="1" x14ac:dyDescent="0.25">
      <c r="V290" s="4"/>
      <c r="W290" s="4"/>
      <c r="X290" s="4"/>
      <c r="Y290" s="4"/>
      <c r="Z290" s="4"/>
      <c r="AA290" s="4"/>
      <c r="AB290" s="4"/>
      <c r="AC290" s="4"/>
      <c r="AD290" s="4"/>
      <c r="AE290" s="4"/>
    </row>
    <row r="291" spans="22:31" ht="11.25" customHeight="1" x14ac:dyDescent="0.25">
      <c r="V291" s="4"/>
      <c r="W291" s="4"/>
      <c r="X291" s="4"/>
      <c r="Y291" s="4"/>
      <c r="Z291" s="4"/>
      <c r="AA291" s="4"/>
      <c r="AB291" s="4"/>
      <c r="AC291" s="4"/>
      <c r="AD291" s="4"/>
      <c r="AE291" s="4"/>
    </row>
    <row r="292" spans="22:31" ht="11.25" customHeight="1" x14ac:dyDescent="0.25">
      <c r="V292" s="4"/>
      <c r="W292" s="4"/>
      <c r="X292" s="4"/>
      <c r="Y292" s="4"/>
      <c r="Z292" s="4"/>
      <c r="AA292" s="4"/>
      <c r="AB292" s="4"/>
      <c r="AC292" s="4"/>
      <c r="AD292" s="4"/>
      <c r="AE292" s="4"/>
    </row>
    <row r="293" spans="22:31" ht="11.25" customHeight="1" x14ac:dyDescent="0.25">
      <c r="V293" s="4"/>
      <c r="W293" s="4"/>
      <c r="X293" s="4"/>
      <c r="Y293" s="4"/>
      <c r="Z293" s="4"/>
      <c r="AA293" s="4"/>
      <c r="AB293" s="4"/>
      <c r="AC293" s="4"/>
      <c r="AD293" s="4"/>
      <c r="AE293" s="4"/>
    </row>
    <row r="294" spans="22:31" ht="11.25" customHeight="1" x14ac:dyDescent="0.25">
      <c r="V294" s="4"/>
      <c r="W294" s="4"/>
      <c r="X294" s="4"/>
      <c r="Y294" s="4"/>
      <c r="Z294" s="4"/>
      <c r="AA294" s="4"/>
      <c r="AB294" s="4"/>
      <c r="AC294" s="4"/>
      <c r="AD294" s="4"/>
      <c r="AE294" s="4"/>
    </row>
    <row r="295" spans="22:31" ht="11.25" customHeight="1" x14ac:dyDescent="0.25">
      <c r="V295" s="4"/>
      <c r="W295" s="4"/>
      <c r="X295" s="4"/>
      <c r="Y295" s="4"/>
      <c r="Z295" s="4"/>
      <c r="AA295" s="4"/>
      <c r="AB295" s="4"/>
      <c r="AC295" s="4"/>
      <c r="AD295" s="4"/>
      <c r="AE295" s="4"/>
    </row>
    <row r="296" spans="22:31" ht="11.25" customHeight="1" x14ac:dyDescent="0.25">
      <c r="V296" s="4"/>
      <c r="W296" s="4"/>
      <c r="X296" s="4"/>
      <c r="Y296" s="4"/>
      <c r="Z296" s="4"/>
      <c r="AA296" s="4"/>
      <c r="AB296" s="4"/>
      <c r="AC296" s="4"/>
      <c r="AD296" s="4"/>
      <c r="AE296" s="4"/>
    </row>
    <row r="297" spans="22:31" ht="11.25" customHeight="1" x14ac:dyDescent="0.25">
      <c r="V297" s="4"/>
      <c r="W297" s="4"/>
      <c r="X297" s="4"/>
      <c r="Y297" s="4"/>
      <c r="Z297" s="4"/>
      <c r="AA297" s="4"/>
      <c r="AB297" s="4"/>
      <c r="AC297" s="4"/>
      <c r="AD297" s="4"/>
      <c r="AE297" s="4"/>
    </row>
    <row r="298" spans="22:31" ht="11.25" customHeight="1" x14ac:dyDescent="0.25">
      <c r="V298" s="4"/>
      <c r="W298" s="4"/>
      <c r="X298" s="4"/>
      <c r="Y298" s="4"/>
      <c r="Z298" s="4"/>
      <c r="AA298" s="4"/>
      <c r="AB298" s="4"/>
      <c r="AC298" s="4"/>
      <c r="AD298" s="4"/>
      <c r="AE298" s="4"/>
    </row>
    <row r="299" spans="22:31" ht="11.25" customHeight="1" x14ac:dyDescent="0.25">
      <c r="V299" s="4"/>
      <c r="W299" s="4"/>
      <c r="X299" s="4"/>
      <c r="Y299" s="4"/>
      <c r="Z299" s="4"/>
      <c r="AA299" s="4"/>
      <c r="AB299" s="4"/>
      <c r="AC299" s="4"/>
      <c r="AD299" s="4"/>
      <c r="AE299" s="4"/>
    </row>
    <row r="300" spans="22:31" ht="11.25" customHeight="1" x14ac:dyDescent="0.25">
      <c r="V300" s="4"/>
      <c r="W300" s="4"/>
      <c r="X300" s="4"/>
      <c r="Y300" s="4"/>
      <c r="Z300" s="4"/>
      <c r="AA300" s="4"/>
      <c r="AB300" s="4"/>
      <c r="AC300" s="4"/>
      <c r="AD300" s="4"/>
      <c r="AE300" s="4"/>
    </row>
    <row r="301" spans="22:31" ht="11.25" customHeight="1" x14ac:dyDescent="0.25">
      <c r="V301" s="4"/>
      <c r="W301" s="4"/>
      <c r="X301" s="4"/>
      <c r="Y301" s="4"/>
      <c r="Z301" s="4"/>
      <c r="AA301" s="4"/>
      <c r="AB301" s="4"/>
      <c r="AC301" s="4"/>
      <c r="AD301" s="4"/>
      <c r="AE301" s="4"/>
    </row>
    <row r="302" spans="22:31" ht="11.25" customHeight="1" x14ac:dyDescent="0.25">
      <c r="V302" s="4"/>
      <c r="W302" s="4"/>
      <c r="X302" s="4"/>
      <c r="Y302" s="4"/>
      <c r="Z302" s="4"/>
      <c r="AA302" s="4"/>
      <c r="AB302" s="4"/>
      <c r="AC302" s="4"/>
      <c r="AD302" s="4"/>
      <c r="AE302" s="4"/>
    </row>
    <row r="303" spans="22:31" ht="11.25" customHeight="1" x14ac:dyDescent="0.25">
      <c r="V303" s="4"/>
      <c r="W303" s="4"/>
      <c r="X303" s="4"/>
      <c r="Y303" s="4"/>
      <c r="Z303" s="4"/>
      <c r="AA303" s="4"/>
      <c r="AB303" s="4"/>
      <c r="AC303" s="4"/>
      <c r="AD303" s="4"/>
      <c r="AE303" s="4"/>
    </row>
    <row r="304" spans="22:31" ht="11.25" customHeight="1" x14ac:dyDescent="0.25">
      <c r="V304" s="4"/>
      <c r="W304" s="4"/>
      <c r="X304" s="4"/>
      <c r="Y304" s="4"/>
      <c r="Z304" s="4"/>
      <c r="AA304" s="4"/>
      <c r="AB304" s="4"/>
      <c r="AC304" s="4"/>
      <c r="AD304" s="4"/>
      <c r="AE304" s="4"/>
    </row>
    <row r="305" spans="22:31" ht="11.25" customHeight="1" x14ac:dyDescent="0.25">
      <c r="V305" s="4"/>
      <c r="W305" s="4"/>
      <c r="X305" s="4"/>
      <c r="Y305" s="4"/>
      <c r="Z305" s="4"/>
      <c r="AA305" s="4"/>
      <c r="AB305" s="4"/>
      <c r="AC305" s="4"/>
      <c r="AD305" s="4"/>
      <c r="AE305" s="4"/>
    </row>
    <row r="306" spans="22:31" ht="11.25" customHeight="1" x14ac:dyDescent="0.25">
      <c r="V306" s="4"/>
      <c r="W306" s="4"/>
      <c r="X306" s="4"/>
      <c r="Y306" s="4"/>
      <c r="Z306" s="4"/>
      <c r="AA306" s="4"/>
      <c r="AB306" s="4"/>
      <c r="AC306" s="4"/>
      <c r="AD306" s="4"/>
      <c r="AE306" s="4"/>
    </row>
    <row r="307" spans="22:31" ht="11.25" customHeight="1" x14ac:dyDescent="0.25">
      <c r="V307" s="4"/>
      <c r="W307" s="4"/>
      <c r="X307" s="4"/>
      <c r="Y307" s="4"/>
      <c r="Z307" s="4"/>
      <c r="AA307" s="4"/>
      <c r="AB307" s="4"/>
      <c r="AC307" s="4"/>
      <c r="AD307" s="4"/>
      <c r="AE307" s="4"/>
    </row>
    <row r="308" spans="22:31" ht="11.25" customHeight="1" x14ac:dyDescent="0.25">
      <c r="V308" s="4"/>
      <c r="W308" s="4"/>
      <c r="X308" s="4"/>
      <c r="Y308" s="4"/>
      <c r="Z308" s="4"/>
      <c r="AA308" s="4"/>
      <c r="AB308" s="4"/>
      <c r="AC308" s="4"/>
      <c r="AD308" s="4"/>
      <c r="AE308" s="4"/>
    </row>
    <row r="309" spans="22:31" ht="11.25" customHeight="1" x14ac:dyDescent="0.25">
      <c r="V309" s="4"/>
      <c r="W309" s="4"/>
      <c r="X309" s="4"/>
      <c r="Y309" s="4"/>
      <c r="Z309" s="4"/>
      <c r="AA309" s="4"/>
      <c r="AB309" s="4"/>
      <c r="AC309" s="4"/>
      <c r="AD309" s="4"/>
      <c r="AE309" s="4"/>
    </row>
    <row r="310" spans="22:31" ht="11.25" customHeight="1" x14ac:dyDescent="0.25">
      <c r="V310" s="4"/>
      <c r="W310" s="4"/>
      <c r="X310" s="4"/>
      <c r="Y310" s="4"/>
      <c r="Z310" s="4"/>
      <c r="AA310" s="4"/>
      <c r="AB310" s="4"/>
      <c r="AC310" s="4"/>
      <c r="AD310" s="4"/>
      <c r="AE310" s="4"/>
    </row>
    <row r="311" spans="22:31" ht="11.25" customHeight="1" x14ac:dyDescent="0.25">
      <c r="V311" s="4"/>
      <c r="W311" s="4"/>
      <c r="X311" s="4"/>
      <c r="Y311" s="4"/>
      <c r="Z311" s="4"/>
      <c r="AA311" s="4"/>
      <c r="AB311" s="4"/>
      <c r="AC311" s="4"/>
      <c r="AD311" s="4"/>
      <c r="AE311" s="4"/>
    </row>
    <row r="312" spans="22:31" ht="11.25" customHeight="1" x14ac:dyDescent="0.25">
      <c r="V312" s="4"/>
      <c r="W312" s="4"/>
      <c r="X312" s="4"/>
      <c r="Y312" s="4"/>
      <c r="Z312" s="4"/>
      <c r="AA312" s="4"/>
      <c r="AB312" s="4"/>
      <c r="AC312" s="4"/>
      <c r="AD312" s="4"/>
      <c r="AE312" s="4"/>
    </row>
    <row r="313" spans="22:31" ht="11.25" customHeight="1" x14ac:dyDescent="0.25">
      <c r="V313" s="4"/>
      <c r="W313" s="4"/>
      <c r="X313" s="4"/>
      <c r="Y313" s="4"/>
      <c r="Z313" s="4"/>
      <c r="AA313" s="4"/>
      <c r="AB313" s="4"/>
      <c r="AC313" s="4"/>
      <c r="AD313" s="4"/>
      <c r="AE313" s="4"/>
    </row>
    <row r="314" spans="22:31" ht="11.25" customHeight="1" x14ac:dyDescent="0.25">
      <c r="V314" s="4"/>
      <c r="W314" s="4"/>
      <c r="X314" s="4"/>
      <c r="Y314" s="4"/>
      <c r="Z314" s="4"/>
      <c r="AA314" s="4"/>
      <c r="AB314" s="4"/>
      <c r="AC314" s="4"/>
      <c r="AD314" s="4"/>
      <c r="AE314" s="4"/>
    </row>
    <row r="315" spans="22:31" ht="11.25" customHeight="1" x14ac:dyDescent="0.25">
      <c r="V315" s="4"/>
      <c r="W315" s="4"/>
      <c r="X315" s="4"/>
      <c r="Y315" s="4"/>
      <c r="Z315" s="4"/>
      <c r="AA315" s="4"/>
      <c r="AB315" s="4"/>
      <c r="AC315" s="4"/>
      <c r="AD315" s="4"/>
      <c r="AE315" s="4"/>
    </row>
    <row r="316" spans="22:31" ht="11.25" customHeight="1" x14ac:dyDescent="0.25">
      <c r="V316" s="4"/>
      <c r="W316" s="4"/>
      <c r="X316" s="4"/>
      <c r="Y316" s="4"/>
      <c r="Z316" s="4"/>
      <c r="AA316" s="4"/>
      <c r="AB316" s="4"/>
      <c r="AC316" s="4"/>
      <c r="AD316" s="4"/>
      <c r="AE316" s="4"/>
    </row>
    <row r="317" spans="22:31" ht="11.25" customHeight="1" x14ac:dyDescent="0.25">
      <c r="V317" s="4"/>
      <c r="W317" s="4"/>
      <c r="X317" s="4"/>
      <c r="Y317" s="4"/>
      <c r="Z317" s="4"/>
      <c r="AA317" s="4"/>
      <c r="AB317" s="4"/>
      <c r="AC317" s="4"/>
      <c r="AD317" s="4"/>
      <c r="AE317" s="4"/>
    </row>
    <row r="318" spans="22:31" ht="11.25" customHeight="1" x14ac:dyDescent="0.25">
      <c r="V318" s="4"/>
      <c r="W318" s="4"/>
      <c r="X318" s="4"/>
      <c r="Y318" s="4"/>
      <c r="Z318" s="4"/>
      <c r="AA318" s="4"/>
      <c r="AB318" s="4"/>
      <c r="AC318" s="4"/>
      <c r="AD318" s="4"/>
      <c r="AE318" s="4"/>
    </row>
    <row r="319" spans="22:31" ht="11.25" customHeight="1" x14ac:dyDescent="0.25">
      <c r="V319" s="4"/>
      <c r="W319" s="4"/>
      <c r="X319" s="4"/>
      <c r="Y319" s="4"/>
      <c r="Z319" s="4"/>
      <c r="AA319" s="4"/>
      <c r="AB319" s="4"/>
      <c r="AC319" s="4"/>
      <c r="AD319" s="4"/>
      <c r="AE319" s="4"/>
    </row>
    <row r="320" spans="22:31" ht="11.25" customHeight="1" x14ac:dyDescent="0.25">
      <c r="V320" s="4"/>
      <c r="W320" s="4"/>
      <c r="X320" s="4"/>
      <c r="Y320" s="4"/>
      <c r="Z320" s="4"/>
      <c r="AA320" s="4"/>
      <c r="AB320" s="4"/>
      <c r="AC320" s="4"/>
      <c r="AD320" s="4"/>
      <c r="AE320" s="4"/>
    </row>
    <row r="321" spans="22:31" ht="11.25" customHeight="1" x14ac:dyDescent="0.25">
      <c r="V321" s="4"/>
      <c r="W321" s="4"/>
      <c r="X321" s="4"/>
      <c r="Y321" s="4"/>
      <c r="Z321" s="4"/>
      <c r="AA321" s="4"/>
      <c r="AB321" s="4"/>
      <c r="AC321" s="4"/>
      <c r="AD321" s="4"/>
      <c r="AE321" s="4"/>
    </row>
    <row r="322" spans="22:31" ht="11.25" customHeight="1" x14ac:dyDescent="0.25">
      <c r="V322" s="4"/>
      <c r="W322" s="4"/>
      <c r="X322" s="4"/>
      <c r="Y322" s="4"/>
      <c r="Z322" s="4"/>
      <c r="AA322" s="4"/>
      <c r="AB322" s="4"/>
      <c r="AC322" s="4"/>
      <c r="AD322" s="4"/>
      <c r="AE322" s="4"/>
    </row>
    <row r="323" spans="22:31" ht="11.25" customHeight="1" x14ac:dyDescent="0.25">
      <c r="V323" s="4"/>
      <c r="W323" s="4"/>
      <c r="X323" s="4"/>
      <c r="Y323" s="4"/>
      <c r="Z323" s="4"/>
      <c r="AA323" s="4"/>
      <c r="AB323" s="4"/>
      <c r="AC323" s="4"/>
      <c r="AD323" s="4"/>
      <c r="AE323" s="4"/>
    </row>
    <row r="324" spans="22:31" ht="11.25" customHeight="1" x14ac:dyDescent="0.25">
      <c r="V324" s="4"/>
      <c r="W324" s="4"/>
      <c r="X324" s="4"/>
      <c r="Y324" s="4"/>
      <c r="Z324" s="4"/>
      <c r="AA324" s="4"/>
      <c r="AB324" s="4"/>
      <c r="AC324" s="4"/>
      <c r="AD324" s="4"/>
      <c r="AE324" s="4"/>
    </row>
    <row r="325" spans="22:31" ht="11.25" customHeight="1" x14ac:dyDescent="0.25">
      <c r="V325" s="4"/>
      <c r="W325" s="4"/>
      <c r="X325" s="4"/>
      <c r="Y325" s="4"/>
      <c r="Z325" s="4"/>
      <c r="AA325" s="4"/>
      <c r="AB325" s="4"/>
      <c r="AC325" s="4"/>
      <c r="AD325" s="4"/>
      <c r="AE325" s="4"/>
    </row>
    <row r="326" spans="22:31" ht="11.25" customHeight="1" x14ac:dyDescent="0.25">
      <c r="V326" s="4"/>
      <c r="W326" s="4"/>
      <c r="X326" s="4"/>
      <c r="Y326" s="4"/>
      <c r="Z326" s="4"/>
      <c r="AA326" s="4"/>
      <c r="AB326" s="4"/>
      <c r="AC326" s="4"/>
      <c r="AD326" s="4"/>
      <c r="AE326" s="4"/>
    </row>
    <row r="327" spans="22:31" ht="11.25" customHeight="1" x14ac:dyDescent="0.25">
      <c r="V327" s="4"/>
      <c r="W327" s="4"/>
      <c r="X327" s="4"/>
      <c r="Y327" s="4"/>
      <c r="Z327" s="4"/>
      <c r="AA327" s="4"/>
      <c r="AB327" s="4"/>
      <c r="AC327" s="4"/>
      <c r="AD327" s="4"/>
      <c r="AE327" s="4"/>
    </row>
    <row r="328" spans="22:31" ht="11.25" customHeight="1" x14ac:dyDescent="0.25">
      <c r="V328" s="4"/>
      <c r="W328" s="4"/>
      <c r="X328" s="4"/>
      <c r="Y328" s="4"/>
      <c r="Z328" s="4"/>
      <c r="AA328" s="4"/>
      <c r="AB328" s="4"/>
      <c r="AC328" s="4"/>
      <c r="AD328" s="4"/>
      <c r="AE328" s="4"/>
    </row>
    <row r="329" spans="22:31" ht="11.25" customHeight="1" x14ac:dyDescent="0.25">
      <c r="V329" s="4"/>
      <c r="W329" s="4"/>
      <c r="X329" s="4"/>
      <c r="Y329" s="4"/>
      <c r="Z329" s="4"/>
      <c r="AA329" s="4"/>
      <c r="AB329" s="4"/>
      <c r="AC329" s="4"/>
      <c r="AD329" s="4"/>
      <c r="AE329" s="4"/>
    </row>
    <row r="330" spans="22:31" ht="11.25" customHeight="1" x14ac:dyDescent="0.25">
      <c r="V330" s="4"/>
      <c r="W330" s="4"/>
      <c r="X330" s="4"/>
      <c r="Y330" s="4"/>
      <c r="Z330" s="4"/>
      <c r="AA330" s="4"/>
      <c r="AB330" s="4"/>
      <c r="AC330" s="4"/>
      <c r="AD330" s="4"/>
      <c r="AE330" s="4"/>
    </row>
    <row r="331" spans="22:31" ht="11.25" customHeight="1" x14ac:dyDescent="0.25">
      <c r="V331" s="4"/>
      <c r="W331" s="4"/>
      <c r="X331" s="4"/>
      <c r="Y331" s="4"/>
      <c r="Z331" s="4"/>
      <c r="AA331" s="4"/>
      <c r="AB331" s="4"/>
      <c r="AC331" s="4"/>
      <c r="AD331" s="4"/>
      <c r="AE331" s="4"/>
    </row>
    <row r="332" spans="22:31" ht="11.25" customHeight="1" x14ac:dyDescent="0.25">
      <c r="V332" s="4"/>
      <c r="W332" s="4"/>
      <c r="X332" s="4"/>
      <c r="Y332" s="4"/>
      <c r="Z332" s="4"/>
      <c r="AA332" s="4"/>
      <c r="AB332" s="4"/>
      <c r="AC332" s="4"/>
      <c r="AD332" s="4"/>
      <c r="AE332" s="4"/>
    </row>
    <row r="333" spans="22:31" ht="11.25" customHeight="1" x14ac:dyDescent="0.25">
      <c r="V333" s="4"/>
      <c r="W333" s="4"/>
      <c r="X333" s="4"/>
      <c r="Y333" s="4"/>
      <c r="Z333" s="4"/>
      <c r="AA333" s="4"/>
      <c r="AB333" s="4"/>
      <c r="AC333" s="4"/>
      <c r="AD333" s="4"/>
      <c r="AE333" s="4"/>
    </row>
    <row r="334" spans="22:31" ht="11.25" customHeight="1" x14ac:dyDescent="0.25">
      <c r="V334" s="4"/>
      <c r="W334" s="4"/>
      <c r="X334" s="4"/>
      <c r="Y334" s="4"/>
      <c r="Z334" s="4"/>
      <c r="AA334" s="4"/>
      <c r="AB334" s="4"/>
      <c r="AC334" s="4"/>
      <c r="AD334" s="4"/>
      <c r="AE334" s="4"/>
    </row>
    <row r="335" spans="22:31" ht="11.25" customHeight="1" x14ac:dyDescent="0.25">
      <c r="V335" s="4"/>
      <c r="W335" s="4"/>
      <c r="X335" s="4"/>
      <c r="Y335" s="4"/>
      <c r="Z335" s="4"/>
      <c r="AA335" s="4"/>
      <c r="AB335" s="4"/>
      <c r="AC335" s="4"/>
      <c r="AD335" s="4"/>
      <c r="AE335" s="4"/>
    </row>
    <row r="336" spans="22:31" ht="11.25" customHeight="1" x14ac:dyDescent="0.25">
      <c r="V336" s="4"/>
      <c r="W336" s="4"/>
      <c r="X336" s="4"/>
      <c r="Y336" s="4"/>
      <c r="Z336" s="4"/>
      <c r="AA336" s="4"/>
      <c r="AB336" s="4"/>
      <c r="AC336" s="4"/>
      <c r="AD336" s="4"/>
      <c r="AE336" s="4"/>
    </row>
    <row r="337" spans="22:31" ht="11.25" customHeight="1" x14ac:dyDescent="0.25">
      <c r="V337" s="4"/>
      <c r="W337" s="4"/>
      <c r="X337" s="4"/>
      <c r="Y337" s="4"/>
      <c r="Z337" s="4"/>
      <c r="AA337" s="4"/>
      <c r="AB337" s="4"/>
      <c r="AC337" s="4"/>
      <c r="AD337" s="4"/>
      <c r="AE337" s="4"/>
    </row>
    <row r="338" spans="22:31" ht="11.25" customHeight="1" x14ac:dyDescent="0.25">
      <c r="V338" s="4"/>
      <c r="W338" s="4"/>
      <c r="X338" s="4"/>
      <c r="Y338" s="4"/>
      <c r="Z338" s="4"/>
      <c r="AA338" s="4"/>
      <c r="AB338" s="4"/>
      <c r="AC338" s="4"/>
      <c r="AD338" s="4"/>
      <c r="AE338" s="4"/>
    </row>
    <row r="339" spans="22:31" ht="11.25" customHeight="1" x14ac:dyDescent="0.25">
      <c r="V339" s="4"/>
      <c r="W339" s="4"/>
      <c r="X339" s="4"/>
      <c r="Y339" s="4"/>
      <c r="Z339" s="4"/>
      <c r="AA339" s="4"/>
      <c r="AB339" s="4"/>
      <c r="AC339" s="4"/>
      <c r="AD339" s="4"/>
      <c r="AE339" s="4"/>
    </row>
    <row r="340" spans="22:31" ht="11.25" customHeight="1" x14ac:dyDescent="0.25">
      <c r="V340" s="4"/>
      <c r="W340" s="4"/>
      <c r="X340" s="4"/>
      <c r="Y340" s="4"/>
      <c r="Z340" s="4"/>
      <c r="AA340" s="4"/>
      <c r="AB340" s="4"/>
      <c r="AC340" s="4"/>
      <c r="AD340" s="4"/>
      <c r="AE340" s="4"/>
    </row>
    <row r="341" spans="22:31" ht="11.25" customHeight="1" x14ac:dyDescent="0.25">
      <c r="V341" s="4"/>
      <c r="W341" s="4"/>
      <c r="X341" s="4"/>
      <c r="Y341" s="4"/>
      <c r="Z341" s="4"/>
      <c r="AA341" s="4"/>
      <c r="AB341" s="4"/>
      <c r="AC341" s="4"/>
      <c r="AD341" s="4"/>
      <c r="AE341" s="4"/>
    </row>
    <row r="342" spans="22:31" ht="11.25" customHeight="1" x14ac:dyDescent="0.25">
      <c r="V342" s="4"/>
      <c r="W342" s="4"/>
      <c r="X342" s="4"/>
      <c r="Y342" s="4"/>
      <c r="Z342" s="4"/>
      <c r="AA342" s="4"/>
      <c r="AB342" s="4"/>
      <c r="AC342" s="4"/>
      <c r="AD342" s="4"/>
      <c r="AE342" s="4"/>
    </row>
    <row r="343" spans="22:31" ht="11.25" customHeight="1" x14ac:dyDescent="0.25">
      <c r="V343" s="4"/>
      <c r="W343" s="4"/>
      <c r="X343" s="4"/>
      <c r="Y343" s="4"/>
      <c r="Z343" s="4"/>
      <c r="AA343" s="4"/>
      <c r="AB343" s="4"/>
      <c r="AC343" s="4"/>
      <c r="AD343" s="4"/>
      <c r="AE343" s="4"/>
    </row>
    <row r="344" spans="22:31" ht="11.25" customHeight="1" x14ac:dyDescent="0.25">
      <c r="V344" s="4"/>
      <c r="W344" s="4"/>
      <c r="X344" s="4"/>
      <c r="Y344" s="4"/>
      <c r="Z344" s="4"/>
      <c r="AA344" s="4"/>
      <c r="AB344" s="4"/>
      <c r="AC344" s="4"/>
      <c r="AD344" s="4"/>
      <c r="AE344" s="4"/>
    </row>
    <row r="345" spans="22:31" ht="11.25" customHeight="1" x14ac:dyDescent="0.25">
      <c r="V345" s="4"/>
      <c r="W345" s="4"/>
      <c r="X345" s="4"/>
      <c r="Y345" s="4"/>
      <c r="Z345" s="4"/>
      <c r="AA345" s="4"/>
      <c r="AB345" s="4"/>
      <c r="AC345" s="4"/>
      <c r="AD345" s="4"/>
      <c r="AE345" s="4"/>
    </row>
    <row r="346" spans="22:31" ht="11.25" customHeight="1" x14ac:dyDescent="0.25">
      <c r="V346" s="4"/>
      <c r="W346" s="4"/>
      <c r="X346" s="4"/>
      <c r="Y346" s="4"/>
      <c r="Z346" s="4"/>
      <c r="AA346" s="4"/>
      <c r="AB346" s="4"/>
      <c r="AC346" s="4"/>
      <c r="AD346" s="4"/>
      <c r="AE346" s="4"/>
    </row>
    <row r="347" spans="22:31" ht="11.25" customHeight="1" x14ac:dyDescent="0.25">
      <c r="V347" s="4"/>
      <c r="W347" s="4"/>
      <c r="X347" s="4"/>
      <c r="Y347" s="4"/>
      <c r="Z347" s="4"/>
      <c r="AA347" s="4"/>
      <c r="AB347" s="4"/>
      <c r="AC347" s="4"/>
      <c r="AD347" s="4"/>
      <c r="AE347" s="4"/>
    </row>
    <row r="348" spans="22:31" ht="11.25" customHeight="1" x14ac:dyDescent="0.25">
      <c r="V348" s="4"/>
      <c r="W348" s="4"/>
      <c r="X348" s="4"/>
      <c r="Y348" s="4"/>
      <c r="Z348" s="4"/>
      <c r="AA348" s="4"/>
      <c r="AB348" s="4"/>
      <c r="AC348" s="4"/>
      <c r="AD348" s="4"/>
      <c r="AE348" s="4"/>
    </row>
    <row r="349" spans="22:31" ht="11.25" customHeight="1" x14ac:dyDescent="0.25">
      <c r="V349" s="4"/>
      <c r="W349" s="4"/>
      <c r="X349" s="4"/>
      <c r="Y349" s="4"/>
      <c r="Z349" s="4"/>
      <c r="AA349" s="4"/>
      <c r="AB349" s="4"/>
      <c r="AC349" s="4"/>
      <c r="AD349" s="4"/>
      <c r="AE349" s="4"/>
    </row>
    <row r="350" spans="22:31" ht="11.25" customHeight="1" x14ac:dyDescent="0.25">
      <c r="V350" s="4"/>
      <c r="W350" s="4"/>
      <c r="X350" s="4"/>
      <c r="Y350" s="4"/>
      <c r="Z350" s="4"/>
      <c r="AA350" s="4"/>
      <c r="AB350" s="4"/>
      <c r="AC350" s="4"/>
      <c r="AD350" s="4"/>
      <c r="AE350" s="4"/>
    </row>
    <row r="351" spans="22:31" ht="11.25" customHeight="1" x14ac:dyDescent="0.25">
      <c r="V351" s="4"/>
      <c r="W351" s="4"/>
      <c r="X351" s="4"/>
      <c r="Y351" s="4"/>
      <c r="Z351" s="4"/>
      <c r="AA351" s="4"/>
      <c r="AB351" s="4"/>
      <c r="AC351" s="4"/>
      <c r="AD351" s="4"/>
      <c r="AE351" s="4"/>
    </row>
    <row r="352" spans="22:31" ht="11.25" customHeight="1" x14ac:dyDescent="0.25">
      <c r="V352" s="4"/>
      <c r="W352" s="4"/>
      <c r="X352" s="4"/>
      <c r="Y352" s="4"/>
      <c r="Z352" s="4"/>
      <c r="AA352" s="4"/>
      <c r="AB352" s="4"/>
      <c r="AC352" s="4"/>
      <c r="AD352" s="4"/>
      <c r="AE352" s="4"/>
    </row>
    <row r="353" spans="22:31" ht="11.25" customHeight="1" x14ac:dyDescent="0.25">
      <c r="V353" s="4"/>
      <c r="W353" s="4"/>
      <c r="X353" s="4"/>
      <c r="Y353" s="4"/>
      <c r="Z353" s="4"/>
      <c r="AA353" s="4"/>
      <c r="AB353" s="4"/>
      <c r="AC353" s="4"/>
      <c r="AD353" s="4"/>
      <c r="AE353" s="4"/>
    </row>
    <row r="354" spans="22:31" ht="11.25" customHeight="1" x14ac:dyDescent="0.25">
      <c r="V354" s="4"/>
      <c r="W354" s="4"/>
      <c r="X354" s="4"/>
      <c r="Y354" s="4"/>
      <c r="Z354" s="4"/>
      <c r="AA354" s="4"/>
      <c r="AB354" s="4"/>
      <c r="AC354" s="4"/>
      <c r="AD354" s="4"/>
      <c r="AE354" s="4"/>
    </row>
    <row r="355" spans="22:31" ht="11.25" customHeight="1" x14ac:dyDescent="0.25">
      <c r="V355" s="4"/>
      <c r="W355" s="4"/>
      <c r="X355" s="4"/>
      <c r="Y355" s="4"/>
      <c r="Z355" s="4"/>
      <c r="AA355" s="4"/>
      <c r="AB355" s="4"/>
      <c r="AC355" s="4"/>
      <c r="AD355" s="4"/>
      <c r="AE355" s="4"/>
    </row>
    <row r="356" spans="22:31" ht="11.25" customHeight="1" x14ac:dyDescent="0.25">
      <c r="V356" s="4"/>
      <c r="W356" s="4"/>
      <c r="X356" s="4"/>
      <c r="Y356" s="4"/>
      <c r="Z356" s="4"/>
      <c r="AA356" s="4"/>
      <c r="AB356" s="4"/>
      <c r="AC356" s="4"/>
      <c r="AD356" s="4"/>
      <c r="AE356" s="4"/>
    </row>
    <row r="357" spans="22:31" ht="11.25" customHeight="1" x14ac:dyDescent="0.25">
      <c r="V357" s="4"/>
      <c r="W357" s="4"/>
      <c r="X357" s="4"/>
      <c r="Y357" s="4"/>
      <c r="Z357" s="4"/>
      <c r="AA357" s="4"/>
      <c r="AB357" s="4"/>
      <c r="AC357" s="4"/>
      <c r="AD357" s="4"/>
      <c r="AE357" s="4"/>
    </row>
    <row r="358" spans="22:31" ht="11.25" customHeight="1" x14ac:dyDescent="0.25">
      <c r="V358" s="4"/>
      <c r="W358" s="4"/>
      <c r="X358" s="4"/>
      <c r="Y358" s="4"/>
      <c r="Z358" s="4"/>
      <c r="AA358" s="4"/>
      <c r="AB358" s="4"/>
      <c r="AC358" s="4"/>
      <c r="AD358" s="4"/>
      <c r="AE358" s="4"/>
    </row>
    <row r="359" spans="22:31" ht="11.25" customHeight="1" x14ac:dyDescent="0.25">
      <c r="V359" s="4"/>
      <c r="W359" s="4"/>
      <c r="X359" s="4"/>
      <c r="Y359" s="4"/>
      <c r="Z359" s="4"/>
      <c r="AA359" s="4"/>
      <c r="AB359" s="4"/>
      <c r="AC359" s="4"/>
      <c r="AD359" s="4"/>
      <c r="AE359" s="4"/>
    </row>
    <row r="360" spans="22:31" ht="11.25" customHeight="1" x14ac:dyDescent="0.25">
      <c r="V360" s="4"/>
      <c r="W360" s="4"/>
      <c r="X360" s="4"/>
      <c r="Y360" s="4"/>
      <c r="Z360" s="4"/>
      <c r="AA360" s="4"/>
      <c r="AB360" s="4"/>
      <c r="AC360" s="4"/>
      <c r="AD360" s="4"/>
      <c r="AE360" s="4"/>
    </row>
    <row r="361" spans="22:31" ht="11.25" customHeight="1" x14ac:dyDescent="0.25">
      <c r="V361" s="4"/>
      <c r="W361" s="4"/>
      <c r="X361" s="4"/>
      <c r="Y361" s="4"/>
      <c r="Z361" s="4"/>
      <c r="AA361" s="4"/>
      <c r="AB361" s="4"/>
      <c r="AC361" s="4"/>
      <c r="AD361" s="4"/>
      <c r="AE361" s="4"/>
    </row>
    <row r="362" spans="22:31" ht="11.25" customHeight="1" x14ac:dyDescent="0.25">
      <c r="V362" s="4"/>
      <c r="W362" s="4"/>
      <c r="X362" s="4"/>
      <c r="Y362" s="4"/>
      <c r="Z362" s="4"/>
      <c r="AA362" s="4"/>
      <c r="AB362" s="4"/>
      <c r="AC362" s="4"/>
      <c r="AD362" s="4"/>
      <c r="AE362" s="4"/>
    </row>
    <row r="363" spans="22:31" ht="11.25" customHeight="1" x14ac:dyDescent="0.25">
      <c r="V363" s="4"/>
      <c r="W363" s="4"/>
      <c r="X363" s="4"/>
      <c r="Y363" s="4"/>
      <c r="Z363" s="4"/>
      <c r="AA363" s="4"/>
      <c r="AB363" s="4"/>
      <c r="AC363" s="4"/>
      <c r="AD363" s="4"/>
      <c r="AE363" s="4"/>
    </row>
    <row r="364" spans="22:31" ht="11.25" customHeight="1" x14ac:dyDescent="0.25">
      <c r="V364" s="4"/>
      <c r="W364" s="4"/>
      <c r="X364" s="4"/>
      <c r="Y364" s="4"/>
      <c r="Z364" s="4"/>
      <c r="AA364" s="4"/>
      <c r="AB364" s="4"/>
      <c r="AC364" s="4"/>
      <c r="AD364" s="4"/>
      <c r="AE364" s="4"/>
    </row>
    <row r="365" spans="22:31" ht="11.25" customHeight="1" x14ac:dyDescent="0.25">
      <c r="V365" s="4"/>
      <c r="W365" s="4"/>
      <c r="X365" s="4"/>
      <c r="Y365" s="4"/>
      <c r="Z365" s="4"/>
      <c r="AA365" s="4"/>
      <c r="AB365" s="4"/>
      <c r="AC365" s="4"/>
      <c r="AD365" s="4"/>
      <c r="AE365" s="4"/>
    </row>
    <row r="366" spans="22:31" ht="11.25" customHeight="1" x14ac:dyDescent="0.25">
      <c r="V366" s="4"/>
      <c r="W366" s="4"/>
      <c r="X366" s="4"/>
      <c r="Y366" s="4"/>
      <c r="Z366" s="4"/>
      <c r="AA366" s="4"/>
      <c r="AB366" s="4"/>
      <c r="AC366" s="4"/>
      <c r="AD366" s="4"/>
      <c r="AE366" s="4"/>
    </row>
    <row r="367" spans="22:31" ht="11.25" customHeight="1" x14ac:dyDescent="0.25">
      <c r="V367" s="4"/>
      <c r="W367" s="4"/>
      <c r="X367" s="4"/>
      <c r="Y367" s="4"/>
      <c r="Z367" s="4"/>
      <c r="AA367" s="4"/>
      <c r="AB367" s="4"/>
      <c r="AC367" s="4"/>
      <c r="AD367" s="4"/>
      <c r="AE367" s="4"/>
    </row>
    <row r="368" spans="22:31" ht="11.25" customHeight="1" x14ac:dyDescent="0.25">
      <c r="V368" s="4"/>
      <c r="W368" s="4"/>
      <c r="X368" s="4"/>
      <c r="Y368" s="4"/>
      <c r="Z368" s="4"/>
      <c r="AA368" s="4"/>
      <c r="AB368" s="4"/>
      <c r="AC368" s="4"/>
      <c r="AD368" s="4"/>
      <c r="AE368" s="4"/>
    </row>
    <row r="369" spans="22:31" ht="11.25" customHeight="1" x14ac:dyDescent="0.25">
      <c r="V369" s="4"/>
      <c r="W369" s="4"/>
      <c r="X369" s="4"/>
      <c r="Y369" s="4"/>
      <c r="Z369" s="4"/>
      <c r="AA369" s="4"/>
      <c r="AB369" s="4"/>
      <c r="AC369" s="4"/>
      <c r="AD369" s="4"/>
      <c r="AE369" s="4"/>
    </row>
    <row r="370" spans="22:31" ht="11.25" customHeight="1" x14ac:dyDescent="0.25">
      <c r="V370" s="4"/>
      <c r="W370" s="4"/>
      <c r="X370" s="4"/>
      <c r="Y370" s="4"/>
      <c r="Z370" s="4"/>
      <c r="AA370" s="4"/>
      <c r="AB370" s="4"/>
      <c r="AC370" s="4"/>
      <c r="AD370" s="4"/>
      <c r="AE370" s="4"/>
    </row>
    <row r="371" spans="22:31" ht="11.25" customHeight="1" x14ac:dyDescent="0.25">
      <c r="V371" s="4"/>
      <c r="W371" s="4"/>
      <c r="X371" s="4"/>
      <c r="Y371" s="4"/>
      <c r="Z371" s="4"/>
      <c r="AA371" s="4"/>
      <c r="AB371" s="4"/>
      <c r="AC371" s="4"/>
      <c r="AD371" s="4"/>
      <c r="AE371" s="4"/>
    </row>
    <row r="372" spans="22:31" ht="11.25" customHeight="1" x14ac:dyDescent="0.25">
      <c r="V372" s="4"/>
      <c r="W372" s="4"/>
      <c r="X372" s="4"/>
      <c r="Y372" s="4"/>
      <c r="Z372" s="4"/>
      <c r="AA372" s="4"/>
      <c r="AB372" s="4"/>
      <c r="AC372" s="4"/>
      <c r="AD372" s="4"/>
      <c r="AE372" s="4"/>
    </row>
    <row r="373" spans="22:31" ht="11.25" customHeight="1" x14ac:dyDescent="0.25">
      <c r="V373" s="4"/>
      <c r="W373" s="4"/>
      <c r="X373" s="4"/>
      <c r="Y373" s="4"/>
      <c r="Z373" s="4"/>
      <c r="AA373" s="4"/>
      <c r="AB373" s="4"/>
      <c r="AC373" s="4"/>
      <c r="AD373" s="4"/>
      <c r="AE373" s="4"/>
    </row>
    <row r="374" spans="22:31" ht="11.25" customHeight="1" x14ac:dyDescent="0.25">
      <c r="V374" s="4"/>
      <c r="W374" s="4"/>
      <c r="X374" s="4"/>
      <c r="Y374" s="4"/>
      <c r="Z374" s="4"/>
      <c r="AA374" s="4"/>
      <c r="AB374" s="4"/>
      <c r="AC374" s="4"/>
      <c r="AD374" s="4"/>
      <c r="AE374" s="4"/>
    </row>
    <row r="375" spans="22:31" ht="11.25" customHeight="1" x14ac:dyDescent="0.25">
      <c r="V375" s="4"/>
      <c r="W375" s="4"/>
      <c r="X375" s="4"/>
      <c r="Y375" s="4"/>
      <c r="Z375" s="4"/>
      <c r="AA375" s="4"/>
      <c r="AB375" s="4"/>
      <c r="AC375" s="4"/>
      <c r="AD375" s="4"/>
      <c r="AE375" s="4"/>
    </row>
    <row r="376" spans="22:31" ht="11.25" customHeight="1" x14ac:dyDescent="0.25">
      <c r="V376" s="4"/>
      <c r="W376" s="4"/>
      <c r="X376" s="4"/>
      <c r="Y376" s="4"/>
      <c r="Z376" s="4"/>
      <c r="AA376" s="4"/>
      <c r="AB376" s="4"/>
      <c r="AC376" s="4"/>
      <c r="AD376" s="4"/>
      <c r="AE376" s="4"/>
    </row>
    <row r="377" spans="22:31" ht="11.25" customHeight="1" x14ac:dyDescent="0.25">
      <c r="V377" s="4"/>
      <c r="W377" s="4"/>
      <c r="X377" s="4"/>
      <c r="Y377" s="4"/>
      <c r="Z377" s="4"/>
      <c r="AA377" s="4"/>
      <c r="AB377" s="4"/>
      <c r="AC377" s="4"/>
      <c r="AD377" s="4"/>
      <c r="AE377" s="4"/>
    </row>
    <row r="378" spans="22:31" ht="11.25" customHeight="1" x14ac:dyDescent="0.25">
      <c r="V378" s="4"/>
      <c r="W378" s="4"/>
      <c r="X378" s="4"/>
      <c r="Y378" s="4"/>
      <c r="Z378" s="4"/>
      <c r="AA378" s="4"/>
      <c r="AB378" s="4"/>
      <c r="AC378" s="4"/>
      <c r="AD378" s="4"/>
      <c r="AE378" s="4"/>
    </row>
    <row r="379" spans="22:31" ht="11.25" customHeight="1" x14ac:dyDescent="0.25">
      <c r="V379" s="4"/>
      <c r="W379" s="4"/>
      <c r="X379" s="4"/>
      <c r="Y379" s="4"/>
      <c r="Z379" s="4"/>
      <c r="AA379" s="4"/>
      <c r="AB379" s="4"/>
      <c r="AC379" s="4"/>
      <c r="AD379" s="4"/>
      <c r="AE379" s="4"/>
    </row>
    <row r="380" spans="22:31" ht="11.25" customHeight="1" x14ac:dyDescent="0.25">
      <c r="V380" s="4"/>
      <c r="W380" s="4"/>
      <c r="X380" s="4"/>
      <c r="Y380" s="4"/>
      <c r="Z380" s="4"/>
      <c r="AA380" s="4"/>
      <c r="AB380" s="4"/>
      <c r="AC380" s="4"/>
      <c r="AD380" s="4"/>
      <c r="AE380" s="4"/>
    </row>
    <row r="381" spans="22:31" ht="11.25" customHeight="1" x14ac:dyDescent="0.25">
      <c r="V381" s="4"/>
      <c r="W381" s="4"/>
      <c r="X381" s="4"/>
      <c r="Y381" s="4"/>
      <c r="Z381" s="4"/>
      <c r="AA381" s="4"/>
      <c r="AB381" s="4"/>
      <c r="AC381" s="4"/>
      <c r="AD381" s="4"/>
      <c r="AE381" s="4"/>
    </row>
    <row r="382" spans="22:31" ht="11.25" customHeight="1" x14ac:dyDescent="0.25">
      <c r="V382" s="4"/>
      <c r="W382" s="4"/>
      <c r="X382" s="4"/>
      <c r="Y382" s="4"/>
      <c r="Z382" s="4"/>
      <c r="AA382" s="4"/>
      <c r="AB382" s="4"/>
      <c r="AC382" s="4"/>
      <c r="AD382" s="4"/>
      <c r="AE382" s="4"/>
    </row>
    <row r="383" spans="22:31" ht="11.25" customHeight="1" x14ac:dyDescent="0.25">
      <c r="V383" s="4"/>
      <c r="W383" s="4"/>
      <c r="X383" s="4"/>
      <c r="Y383" s="4"/>
      <c r="Z383" s="4"/>
      <c r="AA383" s="4"/>
      <c r="AB383" s="4"/>
      <c r="AC383" s="4"/>
      <c r="AD383" s="4"/>
      <c r="AE383" s="4"/>
    </row>
    <row r="384" spans="22:31" ht="11.25" customHeight="1" x14ac:dyDescent="0.25">
      <c r="V384" s="4"/>
      <c r="W384" s="4"/>
      <c r="X384" s="4"/>
      <c r="Y384" s="4"/>
      <c r="Z384" s="4"/>
      <c r="AA384" s="4"/>
      <c r="AB384" s="4"/>
      <c r="AC384" s="4"/>
      <c r="AD384" s="4"/>
      <c r="AE384" s="4"/>
    </row>
    <row r="385" spans="22:31" ht="11.25" customHeight="1" x14ac:dyDescent="0.25">
      <c r="V385" s="4"/>
      <c r="W385" s="4"/>
      <c r="X385" s="4"/>
      <c r="Y385" s="4"/>
      <c r="Z385" s="4"/>
      <c r="AA385" s="4"/>
      <c r="AB385" s="4"/>
      <c r="AC385" s="4"/>
      <c r="AD385" s="4"/>
      <c r="AE385" s="4"/>
    </row>
    <row r="386" spans="22:31" ht="11.25" customHeight="1" x14ac:dyDescent="0.25">
      <c r="V386" s="4"/>
      <c r="W386" s="4"/>
      <c r="X386" s="4"/>
      <c r="Y386" s="4"/>
      <c r="Z386" s="4"/>
      <c r="AA386" s="4"/>
      <c r="AB386" s="4"/>
      <c r="AC386" s="4"/>
      <c r="AD386" s="4"/>
      <c r="AE386" s="4"/>
    </row>
    <row r="387" spans="22:31" ht="11.25" customHeight="1" x14ac:dyDescent="0.25">
      <c r="V387" s="4"/>
      <c r="W387" s="4"/>
      <c r="X387" s="4"/>
      <c r="Y387" s="4"/>
      <c r="Z387" s="4"/>
      <c r="AA387" s="4"/>
      <c r="AB387" s="4"/>
      <c r="AC387" s="4"/>
      <c r="AD387" s="4"/>
      <c r="AE387" s="4"/>
    </row>
    <row r="388" spans="22:31" ht="11.25" customHeight="1" x14ac:dyDescent="0.25">
      <c r="V388" s="4"/>
      <c r="W388" s="4"/>
      <c r="X388" s="4"/>
      <c r="Y388" s="4"/>
      <c r="Z388" s="4"/>
      <c r="AA388" s="4"/>
      <c r="AB388" s="4"/>
      <c r="AC388" s="4"/>
      <c r="AD388" s="4"/>
      <c r="AE388" s="4"/>
    </row>
    <row r="389" spans="22:31" ht="11.25" customHeight="1" x14ac:dyDescent="0.25">
      <c r="V389" s="4"/>
      <c r="W389" s="4"/>
      <c r="X389" s="4"/>
      <c r="Y389" s="4"/>
      <c r="Z389" s="4"/>
      <c r="AA389" s="4"/>
      <c r="AB389" s="4"/>
      <c r="AC389" s="4"/>
      <c r="AD389" s="4"/>
      <c r="AE389" s="4"/>
    </row>
    <row r="390" spans="22:31" ht="11.25" customHeight="1" x14ac:dyDescent="0.25">
      <c r="V390" s="4"/>
      <c r="W390" s="4"/>
      <c r="X390" s="4"/>
      <c r="Y390" s="4"/>
      <c r="Z390" s="4"/>
      <c r="AA390" s="4"/>
      <c r="AB390" s="4"/>
      <c r="AC390" s="4"/>
      <c r="AD390" s="4"/>
      <c r="AE390" s="4"/>
    </row>
    <row r="391" spans="22:31" ht="11.25" customHeight="1" x14ac:dyDescent="0.25">
      <c r="V391" s="4"/>
      <c r="W391" s="4"/>
      <c r="X391" s="4"/>
      <c r="Y391" s="4"/>
      <c r="Z391" s="4"/>
      <c r="AA391" s="4"/>
      <c r="AB391" s="4"/>
      <c r="AC391" s="4"/>
      <c r="AD391" s="4"/>
      <c r="AE391" s="4"/>
    </row>
    <row r="392" spans="22:31" ht="11.25" customHeight="1" x14ac:dyDescent="0.25">
      <c r="V392" s="4"/>
      <c r="W392" s="4"/>
      <c r="X392" s="4"/>
      <c r="Y392" s="4"/>
      <c r="Z392" s="4"/>
      <c r="AA392" s="4"/>
      <c r="AB392" s="4"/>
      <c r="AC392" s="4"/>
      <c r="AD392" s="4"/>
      <c r="AE392" s="4"/>
    </row>
    <row r="393" spans="22:31" ht="11.25" customHeight="1" x14ac:dyDescent="0.25">
      <c r="V393" s="4"/>
      <c r="W393" s="4"/>
      <c r="X393" s="4"/>
      <c r="Y393" s="4"/>
      <c r="Z393" s="4"/>
      <c r="AA393" s="4"/>
      <c r="AB393" s="4"/>
      <c r="AC393" s="4"/>
      <c r="AD393" s="4"/>
      <c r="AE393" s="4"/>
    </row>
    <row r="394" spans="22:31" ht="11.25" customHeight="1" x14ac:dyDescent="0.25">
      <c r="V394" s="4"/>
      <c r="W394" s="4"/>
      <c r="X394" s="4"/>
      <c r="Y394" s="4"/>
      <c r="Z394" s="4"/>
      <c r="AA394" s="4"/>
      <c r="AB394" s="4"/>
      <c r="AC394" s="4"/>
      <c r="AD394" s="4"/>
      <c r="AE394" s="4"/>
    </row>
    <row r="395" spans="22:31" ht="11.25" customHeight="1" x14ac:dyDescent="0.25">
      <c r="V395" s="4"/>
      <c r="W395" s="4"/>
      <c r="X395" s="4"/>
      <c r="Y395" s="4"/>
      <c r="Z395" s="4"/>
      <c r="AA395" s="4"/>
      <c r="AB395" s="4"/>
      <c r="AC395" s="4"/>
      <c r="AD395" s="4"/>
      <c r="AE395" s="4"/>
    </row>
    <row r="396" spans="22:31" ht="11.25" customHeight="1" x14ac:dyDescent="0.25">
      <c r="V396" s="4"/>
      <c r="W396" s="4"/>
      <c r="X396" s="4"/>
      <c r="Y396" s="4"/>
      <c r="Z396" s="4"/>
      <c r="AA396" s="4"/>
      <c r="AB396" s="4"/>
      <c r="AC396" s="4"/>
      <c r="AD396" s="4"/>
      <c r="AE396" s="4"/>
    </row>
    <row r="397" spans="22:31" ht="11.25" customHeight="1" x14ac:dyDescent="0.25">
      <c r="V397" s="4"/>
      <c r="W397" s="4"/>
      <c r="X397" s="4"/>
      <c r="Y397" s="4"/>
      <c r="Z397" s="4"/>
      <c r="AA397" s="4"/>
      <c r="AB397" s="4"/>
      <c r="AC397" s="4"/>
      <c r="AD397" s="4"/>
      <c r="AE397" s="4"/>
    </row>
    <row r="398" spans="22:31" ht="11.25" customHeight="1" x14ac:dyDescent="0.25">
      <c r="V398" s="4"/>
      <c r="W398" s="4"/>
      <c r="X398" s="4"/>
      <c r="Y398" s="4"/>
      <c r="Z398" s="4"/>
      <c r="AA398" s="4"/>
      <c r="AB398" s="4"/>
      <c r="AC398" s="4"/>
      <c r="AD398" s="4"/>
      <c r="AE398" s="4"/>
    </row>
    <row r="399" spans="22:31" ht="11.25" customHeight="1" x14ac:dyDescent="0.25">
      <c r="V399" s="4"/>
      <c r="W399" s="4"/>
      <c r="X399" s="4"/>
      <c r="Y399" s="4"/>
      <c r="Z399" s="4"/>
      <c r="AA399" s="4"/>
      <c r="AB399" s="4"/>
      <c r="AC399" s="4"/>
      <c r="AD399" s="4"/>
      <c r="AE399" s="4"/>
    </row>
    <row r="400" spans="22:31" ht="11.25" customHeight="1" x14ac:dyDescent="0.25">
      <c r="V400" s="4"/>
      <c r="W400" s="4"/>
      <c r="X400" s="4"/>
      <c r="Y400" s="4"/>
      <c r="Z400" s="4"/>
      <c r="AA400" s="4"/>
      <c r="AB400" s="4"/>
      <c r="AC400" s="4"/>
      <c r="AD400" s="4"/>
      <c r="AE400" s="4"/>
    </row>
    <row r="401" spans="22:31" ht="11.25" customHeight="1" x14ac:dyDescent="0.25">
      <c r="V401" s="4"/>
      <c r="W401" s="4"/>
      <c r="X401" s="4"/>
      <c r="Y401" s="4"/>
      <c r="Z401" s="4"/>
      <c r="AA401" s="4"/>
      <c r="AB401" s="4"/>
      <c r="AC401" s="4"/>
      <c r="AD401" s="4"/>
      <c r="AE401" s="4"/>
    </row>
    <row r="402" spans="22:31" ht="11.25" customHeight="1" x14ac:dyDescent="0.25">
      <c r="V402" s="4"/>
      <c r="W402" s="4"/>
      <c r="X402" s="4"/>
      <c r="Y402" s="4"/>
      <c r="Z402" s="4"/>
      <c r="AA402" s="4"/>
      <c r="AB402" s="4"/>
      <c r="AC402" s="4"/>
      <c r="AD402" s="4"/>
      <c r="AE402" s="4"/>
    </row>
    <row r="403" spans="22:31" ht="11.25" customHeight="1" x14ac:dyDescent="0.25">
      <c r="V403" s="4"/>
      <c r="W403" s="4"/>
      <c r="X403" s="4"/>
      <c r="Y403" s="4"/>
      <c r="Z403" s="4"/>
      <c r="AA403" s="4"/>
      <c r="AB403" s="4"/>
      <c r="AC403" s="4"/>
      <c r="AD403" s="4"/>
      <c r="AE403" s="4"/>
    </row>
    <row r="404" spans="22:31" ht="11.25" customHeight="1" x14ac:dyDescent="0.25">
      <c r="V404" s="4"/>
      <c r="W404" s="4"/>
      <c r="X404" s="4"/>
      <c r="Y404" s="4"/>
      <c r="Z404" s="4"/>
      <c r="AA404" s="4"/>
      <c r="AB404" s="4"/>
      <c r="AC404" s="4"/>
      <c r="AD404" s="4"/>
      <c r="AE404" s="4"/>
    </row>
    <row r="405" spans="22:31" ht="11.25" customHeight="1" x14ac:dyDescent="0.25">
      <c r="V405" s="4"/>
      <c r="W405" s="4"/>
      <c r="X405" s="4"/>
      <c r="Y405" s="4"/>
      <c r="Z405" s="4"/>
      <c r="AA405" s="4"/>
      <c r="AB405" s="4"/>
      <c r="AC405" s="4"/>
      <c r="AD405" s="4"/>
      <c r="AE405" s="4"/>
    </row>
    <row r="406" spans="22:31" ht="11.25" customHeight="1" x14ac:dyDescent="0.25">
      <c r="V406" s="4"/>
      <c r="W406" s="4"/>
      <c r="X406" s="4"/>
      <c r="Y406" s="4"/>
      <c r="Z406" s="4"/>
      <c r="AA406" s="4"/>
      <c r="AB406" s="4"/>
      <c r="AC406" s="4"/>
      <c r="AD406" s="4"/>
      <c r="AE406" s="4"/>
    </row>
    <row r="407" spans="22:31" ht="11.25" customHeight="1" x14ac:dyDescent="0.25">
      <c r="V407" s="4"/>
      <c r="W407" s="4"/>
      <c r="X407" s="4"/>
      <c r="Y407" s="4"/>
      <c r="Z407" s="4"/>
      <c r="AA407" s="4"/>
      <c r="AB407" s="4"/>
      <c r="AC407" s="4"/>
      <c r="AD407" s="4"/>
      <c r="AE407" s="4"/>
    </row>
    <row r="408" spans="22:31" ht="11.25" customHeight="1" x14ac:dyDescent="0.25">
      <c r="V408" s="4"/>
      <c r="W408" s="4"/>
      <c r="X408" s="4"/>
      <c r="Y408" s="4"/>
      <c r="Z408" s="4"/>
      <c r="AA408" s="4"/>
      <c r="AB408" s="4"/>
      <c r="AC408" s="4"/>
      <c r="AD408" s="4"/>
      <c r="AE408" s="4"/>
    </row>
    <row r="409" spans="22:31" ht="11.25" customHeight="1" x14ac:dyDescent="0.25">
      <c r="V409" s="4"/>
      <c r="W409" s="4"/>
      <c r="X409" s="4"/>
      <c r="Y409" s="4"/>
      <c r="Z409" s="4"/>
      <c r="AA409" s="4"/>
      <c r="AB409" s="4"/>
      <c r="AC409" s="4"/>
      <c r="AD409" s="4"/>
      <c r="AE409" s="4"/>
    </row>
    <row r="410" spans="22:31" ht="11.25" customHeight="1" x14ac:dyDescent="0.25">
      <c r="V410" s="4"/>
      <c r="W410" s="4"/>
      <c r="X410" s="4"/>
      <c r="Y410" s="4"/>
      <c r="Z410" s="4"/>
      <c r="AA410" s="4"/>
      <c r="AB410" s="4"/>
      <c r="AC410" s="4"/>
      <c r="AD410" s="4"/>
      <c r="AE410" s="4"/>
    </row>
    <row r="411" spans="22:31" ht="11.25" customHeight="1" x14ac:dyDescent="0.25">
      <c r="V411" s="4"/>
      <c r="W411" s="4"/>
      <c r="X411" s="4"/>
      <c r="Y411" s="4"/>
      <c r="Z411" s="4"/>
      <c r="AA411" s="4"/>
      <c r="AB411" s="4"/>
      <c r="AC411" s="4"/>
      <c r="AD411" s="4"/>
      <c r="AE411" s="4"/>
    </row>
    <row r="412" spans="22:31" ht="11.25" customHeight="1" x14ac:dyDescent="0.25">
      <c r="V412" s="4"/>
      <c r="W412" s="4"/>
      <c r="X412" s="4"/>
      <c r="Y412" s="4"/>
      <c r="Z412" s="4"/>
      <c r="AA412" s="4"/>
      <c r="AB412" s="4"/>
      <c r="AC412" s="4"/>
      <c r="AD412" s="4"/>
      <c r="AE412" s="4"/>
    </row>
    <row r="413" spans="22:31" ht="11.25" customHeight="1" x14ac:dyDescent="0.25">
      <c r="V413" s="4"/>
      <c r="W413" s="4"/>
      <c r="X413" s="4"/>
      <c r="Y413" s="4"/>
      <c r="Z413" s="4"/>
      <c r="AA413" s="4"/>
      <c r="AB413" s="4"/>
      <c r="AC413" s="4"/>
      <c r="AD413" s="4"/>
      <c r="AE413" s="4"/>
    </row>
    <row r="414" spans="22:31" ht="11.25" customHeight="1" x14ac:dyDescent="0.25">
      <c r="V414" s="4"/>
      <c r="W414" s="4"/>
      <c r="X414" s="4"/>
      <c r="Y414" s="4"/>
      <c r="Z414" s="4"/>
      <c r="AA414" s="4"/>
      <c r="AB414" s="4"/>
      <c r="AC414" s="4"/>
      <c r="AD414" s="4"/>
      <c r="AE414" s="4"/>
    </row>
    <row r="415" spans="22:31" ht="11.25" customHeight="1" x14ac:dyDescent="0.25">
      <c r="V415" s="4"/>
      <c r="W415" s="4"/>
      <c r="X415" s="4"/>
      <c r="Y415" s="4"/>
      <c r="Z415" s="4"/>
      <c r="AA415" s="4"/>
      <c r="AB415" s="4"/>
      <c r="AC415" s="4"/>
      <c r="AD415" s="4"/>
      <c r="AE415" s="4"/>
    </row>
    <row r="416" spans="22:31" ht="11.25" customHeight="1" x14ac:dyDescent="0.25">
      <c r="V416" s="4"/>
      <c r="W416" s="4"/>
      <c r="X416" s="4"/>
      <c r="Y416" s="4"/>
      <c r="Z416" s="4"/>
      <c r="AA416" s="4"/>
      <c r="AB416" s="4"/>
      <c r="AC416" s="4"/>
      <c r="AD416" s="4"/>
      <c r="AE416" s="4"/>
    </row>
    <row r="417" spans="22:31" ht="11.25" customHeight="1" x14ac:dyDescent="0.25">
      <c r="V417" s="4"/>
      <c r="W417" s="4"/>
      <c r="X417" s="4"/>
      <c r="Y417" s="4"/>
      <c r="Z417" s="4"/>
      <c r="AA417" s="4"/>
      <c r="AB417" s="4"/>
      <c r="AC417" s="4"/>
      <c r="AD417" s="4"/>
      <c r="AE417" s="4"/>
    </row>
    <row r="418" spans="22:31" ht="11.25" customHeight="1" x14ac:dyDescent="0.25">
      <c r="V418" s="4"/>
      <c r="W418" s="4"/>
      <c r="X418" s="4"/>
      <c r="Y418" s="4"/>
      <c r="Z418" s="4"/>
      <c r="AA418" s="4"/>
      <c r="AB418" s="4"/>
      <c r="AC418" s="4"/>
      <c r="AD418" s="4"/>
      <c r="AE418" s="4"/>
    </row>
    <row r="419" spans="22:31" ht="11.25" customHeight="1" x14ac:dyDescent="0.25">
      <c r="V419" s="4"/>
      <c r="W419" s="4"/>
      <c r="X419" s="4"/>
      <c r="Y419" s="4"/>
      <c r="Z419" s="4"/>
      <c r="AA419" s="4"/>
      <c r="AB419" s="4"/>
      <c r="AC419" s="4"/>
      <c r="AD419" s="4"/>
      <c r="AE419" s="4"/>
    </row>
    <row r="420" spans="22:31" ht="11.25" customHeight="1" x14ac:dyDescent="0.25">
      <c r="V420" s="4"/>
      <c r="W420" s="4"/>
      <c r="X420" s="4"/>
      <c r="Y420" s="4"/>
      <c r="Z420" s="4"/>
      <c r="AA420" s="4"/>
      <c r="AB420" s="4"/>
      <c r="AC420" s="4"/>
      <c r="AD420" s="4"/>
      <c r="AE420" s="4"/>
    </row>
    <row r="421" spans="22:31" ht="11.25" customHeight="1" x14ac:dyDescent="0.25">
      <c r="V421" s="4"/>
      <c r="W421" s="4"/>
      <c r="X421" s="4"/>
      <c r="Y421" s="4"/>
      <c r="Z421" s="4"/>
      <c r="AA421" s="4"/>
      <c r="AB421" s="4"/>
      <c r="AC421" s="4"/>
      <c r="AD421" s="4"/>
      <c r="AE421" s="4"/>
    </row>
    <row r="422" spans="22:31" ht="11.25" customHeight="1" x14ac:dyDescent="0.25">
      <c r="V422" s="4"/>
      <c r="W422" s="4"/>
      <c r="X422" s="4"/>
      <c r="Y422" s="4"/>
      <c r="Z422" s="4"/>
      <c r="AA422" s="4"/>
      <c r="AB422" s="4"/>
      <c r="AC422" s="4"/>
      <c r="AD422" s="4"/>
      <c r="AE422" s="4"/>
    </row>
    <row r="423" spans="22:31" ht="11.25" customHeight="1" x14ac:dyDescent="0.25">
      <c r="V423" s="4"/>
      <c r="W423" s="4"/>
      <c r="X423" s="4"/>
      <c r="Y423" s="4"/>
      <c r="Z423" s="4"/>
      <c r="AA423" s="4"/>
      <c r="AB423" s="4"/>
      <c r="AC423" s="4"/>
      <c r="AD423" s="4"/>
      <c r="AE423" s="4"/>
    </row>
    <row r="424" spans="22:31" ht="11.25" customHeight="1" x14ac:dyDescent="0.25">
      <c r="V424" s="4"/>
      <c r="W424" s="4"/>
      <c r="X424" s="4"/>
      <c r="Y424" s="4"/>
      <c r="Z424" s="4"/>
      <c r="AA424" s="4"/>
      <c r="AB424" s="4"/>
      <c r="AC424" s="4"/>
      <c r="AD424" s="4"/>
      <c r="AE424" s="4"/>
    </row>
    <row r="425" spans="22:31" ht="11.25" customHeight="1" x14ac:dyDescent="0.25">
      <c r="V425" s="4"/>
      <c r="W425" s="4"/>
      <c r="X425" s="4"/>
      <c r="Y425" s="4"/>
      <c r="Z425" s="4"/>
      <c r="AA425" s="4"/>
      <c r="AB425" s="4"/>
      <c r="AC425" s="4"/>
      <c r="AD425" s="4"/>
      <c r="AE425" s="4"/>
    </row>
    <row r="426" spans="22:31" ht="11.25" customHeight="1" x14ac:dyDescent="0.25">
      <c r="V426" s="4"/>
      <c r="W426" s="4"/>
      <c r="X426" s="4"/>
      <c r="Y426" s="4"/>
      <c r="Z426" s="4"/>
      <c r="AA426" s="4"/>
      <c r="AB426" s="4"/>
      <c r="AC426" s="4"/>
      <c r="AD426" s="4"/>
      <c r="AE426" s="4"/>
    </row>
    <row r="427" spans="22:31" ht="11.25" customHeight="1" x14ac:dyDescent="0.25">
      <c r="V427" s="4"/>
      <c r="W427" s="4"/>
      <c r="X427" s="4"/>
      <c r="Y427" s="4"/>
      <c r="Z427" s="4"/>
      <c r="AA427" s="4"/>
      <c r="AB427" s="4"/>
      <c r="AC427" s="4"/>
      <c r="AD427" s="4"/>
      <c r="AE427" s="4"/>
    </row>
    <row r="428" spans="22:31" ht="11.25" customHeight="1" x14ac:dyDescent="0.25">
      <c r="V428" s="4"/>
      <c r="W428" s="4"/>
      <c r="X428" s="4"/>
      <c r="Y428" s="4"/>
      <c r="Z428" s="4"/>
      <c r="AA428" s="4"/>
      <c r="AB428" s="4"/>
      <c r="AC428" s="4"/>
      <c r="AD428" s="4"/>
      <c r="AE428" s="4"/>
    </row>
    <row r="429" spans="22:31" ht="11.25" customHeight="1" x14ac:dyDescent="0.25">
      <c r="V429" s="4"/>
      <c r="W429" s="4"/>
      <c r="X429" s="4"/>
      <c r="Y429" s="4"/>
      <c r="Z429" s="4"/>
      <c r="AA429" s="4"/>
      <c r="AB429" s="4"/>
      <c r="AC429" s="4"/>
      <c r="AD429" s="4"/>
      <c r="AE429" s="4"/>
    </row>
    <row r="430" spans="22:31" ht="11.25" customHeight="1" x14ac:dyDescent="0.25">
      <c r="V430" s="4"/>
      <c r="W430" s="4"/>
      <c r="X430" s="4"/>
      <c r="Y430" s="4"/>
      <c r="Z430" s="4"/>
      <c r="AA430" s="4"/>
      <c r="AB430" s="4"/>
      <c r="AC430" s="4"/>
      <c r="AD430" s="4"/>
      <c r="AE430" s="4"/>
    </row>
    <row r="431" spans="22:31" ht="11.25" customHeight="1" x14ac:dyDescent="0.25">
      <c r="V431" s="4"/>
      <c r="W431" s="4"/>
      <c r="X431" s="4"/>
      <c r="Y431" s="4"/>
      <c r="Z431" s="4"/>
      <c r="AA431" s="4"/>
      <c r="AB431" s="4"/>
      <c r="AC431" s="4"/>
      <c r="AD431" s="4"/>
      <c r="AE431" s="4"/>
    </row>
    <row r="432" spans="22:31" ht="11.25" customHeight="1" x14ac:dyDescent="0.25">
      <c r="V432" s="4"/>
      <c r="W432" s="4"/>
      <c r="X432" s="4"/>
      <c r="Y432" s="4"/>
      <c r="Z432" s="4"/>
      <c r="AA432" s="4"/>
      <c r="AB432" s="4"/>
      <c r="AC432" s="4"/>
      <c r="AD432" s="4"/>
      <c r="AE432" s="4"/>
    </row>
    <row r="433" spans="22:31" ht="11.25" customHeight="1" x14ac:dyDescent="0.25">
      <c r="V433" s="4"/>
      <c r="W433" s="4"/>
      <c r="X433" s="4"/>
      <c r="Y433" s="4"/>
      <c r="Z433" s="4"/>
      <c r="AA433" s="4"/>
      <c r="AB433" s="4"/>
      <c r="AC433" s="4"/>
      <c r="AD433" s="4"/>
      <c r="AE433" s="4"/>
    </row>
    <row r="434" spans="22:31" ht="11.25" customHeight="1" x14ac:dyDescent="0.25">
      <c r="V434" s="4"/>
      <c r="W434" s="4"/>
      <c r="X434" s="4"/>
      <c r="Y434" s="4"/>
      <c r="Z434" s="4"/>
      <c r="AA434" s="4"/>
      <c r="AB434" s="4"/>
      <c r="AC434" s="4"/>
      <c r="AD434" s="4"/>
      <c r="AE434" s="4"/>
    </row>
    <row r="435" spans="22:31" ht="11.25" customHeight="1" x14ac:dyDescent="0.25">
      <c r="V435" s="4"/>
      <c r="W435" s="4"/>
      <c r="X435" s="4"/>
      <c r="Y435" s="4"/>
      <c r="Z435" s="4"/>
      <c r="AA435" s="4"/>
      <c r="AB435" s="4"/>
      <c r="AC435" s="4"/>
      <c r="AD435" s="4"/>
      <c r="AE435" s="4"/>
    </row>
    <row r="436" spans="22:31" ht="11.25" customHeight="1" x14ac:dyDescent="0.25">
      <c r="V436" s="4"/>
      <c r="W436" s="4"/>
      <c r="X436" s="4"/>
      <c r="Y436" s="4"/>
      <c r="Z436" s="4"/>
      <c r="AA436" s="4"/>
      <c r="AB436" s="4"/>
      <c r="AC436" s="4"/>
      <c r="AD436" s="4"/>
      <c r="AE436" s="4"/>
    </row>
    <row r="437" spans="22:31" ht="11.25" customHeight="1" x14ac:dyDescent="0.25">
      <c r="V437" s="4"/>
      <c r="W437" s="4"/>
      <c r="X437" s="4"/>
      <c r="Y437" s="4"/>
      <c r="Z437" s="4"/>
      <c r="AA437" s="4"/>
      <c r="AB437" s="4"/>
      <c r="AC437" s="4"/>
      <c r="AD437" s="4"/>
      <c r="AE437" s="4"/>
    </row>
    <row r="438" spans="22:31" ht="11.25" customHeight="1" x14ac:dyDescent="0.25">
      <c r="V438" s="4"/>
      <c r="W438" s="4"/>
      <c r="X438" s="4"/>
      <c r="Y438" s="4"/>
      <c r="Z438" s="4"/>
      <c r="AA438" s="4"/>
      <c r="AB438" s="4"/>
      <c r="AC438" s="4"/>
      <c r="AD438" s="4"/>
      <c r="AE438" s="4"/>
    </row>
    <row r="439" spans="22:31" ht="11.25" customHeight="1" x14ac:dyDescent="0.25">
      <c r="V439" s="4"/>
      <c r="W439" s="4"/>
      <c r="X439" s="4"/>
      <c r="Y439" s="4"/>
      <c r="Z439" s="4"/>
      <c r="AA439" s="4"/>
      <c r="AB439" s="4"/>
      <c r="AC439" s="4"/>
      <c r="AD439" s="4"/>
      <c r="AE439" s="4"/>
    </row>
    <row r="440" spans="22:31" ht="11.25" customHeight="1" x14ac:dyDescent="0.25">
      <c r="V440" s="4"/>
      <c r="W440" s="4"/>
      <c r="X440" s="4"/>
      <c r="Y440" s="4"/>
      <c r="Z440" s="4"/>
      <c r="AA440" s="4"/>
      <c r="AB440" s="4"/>
      <c r="AC440" s="4"/>
      <c r="AD440" s="4"/>
      <c r="AE440" s="4"/>
    </row>
    <row r="441" spans="22:31" ht="11.25" customHeight="1" x14ac:dyDescent="0.25">
      <c r="V441" s="4"/>
      <c r="W441" s="4"/>
      <c r="X441" s="4"/>
      <c r="Y441" s="4"/>
      <c r="Z441" s="4"/>
      <c r="AA441" s="4"/>
      <c r="AB441" s="4"/>
      <c r="AC441" s="4"/>
      <c r="AD441" s="4"/>
      <c r="AE441" s="4"/>
    </row>
    <row r="442" spans="22:31" ht="11.25" customHeight="1" x14ac:dyDescent="0.25">
      <c r="V442" s="4"/>
      <c r="W442" s="4"/>
      <c r="X442" s="4"/>
      <c r="Y442" s="4"/>
      <c r="Z442" s="4"/>
      <c r="AA442" s="4"/>
      <c r="AB442" s="4"/>
      <c r="AC442" s="4"/>
      <c r="AD442" s="4"/>
      <c r="AE442" s="4"/>
    </row>
    <row r="443" spans="22:31" ht="11.25" customHeight="1" x14ac:dyDescent="0.25">
      <c r="V443" s="4"/>
      <c r="W443" s="4"/>
      <c r="X443" s="4"/>
      <c r="Y443" s="4"/>
      <c r="Z443" s="4"/>
      <c r="AA443" s="4"/>
      <c r="AB443" s="4"/>
      <c r="AC443" s="4"/>
      <c r="AD443" s="4"/>
      <c r="AE443" s="4"/>
    </row>
    <row r="444" spans="22:31" ht="11.25" customHeight="1" x14ac:dyDescent="0.25">
      <c r="V444" s="4"/>
      <c r="W444" s="4"/>
      <c r="X444" s="4"/>
      <c r="Y444" s="4"/>
      <c r="Z444" s="4"/>
      <c r="AA444" s="4"/>
      <c r="AB444" s="4"/>
      <c r="AC444" s="4"/>
      <c r="AD444" s="4"/>
      <c r="AE444" s="4"/>
    </row>
    <row r="445" spans="22:31" ht="11.25" customHeight="1" x14ac:dyDescent="0.25">
      <c r="V445" s="4"/>
      <c r="W445" s="4"/>
      <c r="X445" s="4"/>
      <c r="Y445" s="4"/>
      <c r="Z445" s="4"/>
      <c r="AA445" s="4"/>
      <c r="AB445" s="4"/>
      <c r="AC445" s="4"/>
      <c r="AD445" s="4"/>
      <c r="AE445" s="4"/>
    </row>
    <row r="446" spans="22:31" ht="11.25" customHeight="1" x14ac:dyDescent="0.25">
      <c r="V446" s="4"/>
      <c r="W446" s="4"/>
      <c r="X446" s="4"/>
      <c r="Y446" s="4"/>
      <c r="Z446" s="4"/>
      <c r="AA446" s="4"/>
      <c r="AB446" s="4"/>
      <c r="AC446" s="4"/>
      <c r="AD446" s="4"/>
      <c r="AE446" s="4"/>
    </row>
    <row r="447" spans="22:31" ht="11.25" customHeight="1" x14ac:dyDescent="0.25">
      <c r="V447" s="4"/>
      <c r="W447" s="4"/>
      <c r="X447" s="4"/>
      <c r="Y447" s="4"/>
      <c r="Z447" s="4"/>
      <c r="AA447" s="4"/>
      <c r="AB447" s="4"/>
      <c r="AC447" s="4"/>
      <c r="AD447" s="4"/>
      <c r="AE447" s="4"/>
    </row>
    <row r="448" spans="22:31" ht="11.25" customHeight="1" x14ac:dyDescent="0.25">
      <c r="V448" s="4"/>
      <c r="W448" s="4"/>
      <c r="X448" s="4"/>
      <c r="Y448" s="4"/>
      <c r="Z448" s="4"/>
      <c r="AA448" s="4"/>
      <c r="AB448" s="4"/>
      <c r="AC448" s="4"/>
      <c r="AD448" s="4"/>
      <c r="AE448" s="4"/>
    </row>
    <row r="449" spans="22:31" ht="11.25" customHeight="1" x14ac:dyDescent="0.25">
      <c r="V449" s="4"/>
      <c r="W449" s="4"/>
      <c r="X449" s="4"/>
      <c r="Y449" s="4"/>
      <c r="Z449" s="4"/>
      <c r="AA449" s="4"/>
      <c r="AB449" s="4"/>
      <c r="AC449" s="4"/>
      <c r="AD449" s="4"/>
      <c r="AE449" s="4"/>
    </row>
    <row r="450" spans="22:31" ht="11.25" customHeight="1" x14ac:dyDescent="0.25">
      <c r="V450" s="4"/>
      <c r="W450" s="4"/>
      <c r="X450" s="4"/>
      <c r="Y450" s="4"/>
      <c r="Z450" s="4"/>
      <c r="AA450" s="4"/>
      <c r="AB450" s="4"/>
      <c r="AC450" s="4"/>
      <c r="AD450" s="4"/>
      <c r="AE450" s="4"/>
    </row>
    <row r="451" spans="22:31" ht="11.25" customHeight="1" x14ac:dyDescent="0.25">
      <c r="V451" s="4"/>
      <c r="W451" s="4"/>
      <c r="X451" s="4"/>
      <c r="Y451" s="4"/>
      <c r="Z451" s="4"/>
      <c r="AA451" s="4"/>
      <c r="AB451" s="4"/>
      <c r="AC451" s="4"/>
      <c r="AD451" s="4"/>
      <c r="AE451" s="4"/>
    </row>
    <row r="452" spans="22:31" ht="11.25" customHeight="1" x14ac:dyDescent="0.25">
      <c r="V452" s="4"/>
      <c r="W452" s="4"/>
      <c r="X452" s="4"/>
      <c r="Y452" s="4"/>
      <c r="Z452" s="4"/>
      <c r="AA452" s="4"/>
      <c r="AB452" s="4"/>
      <c r="AC452" s="4"/>
      <c r="AD452" s="4"/>
      <c r="AE452" s="4"/>
    </row>
    <row r="453" spans="22:31" ht="11.25" customHeight="1" x14ac:dyDescent="0.25">
      <c r="V453" s="4"/>
      <c r="W453" s="4"/>
      <c r="X453" s="4"/>
      <c r="Y453" s="4"/>
      <c r="Z453" s="4"/>
      <c r="AA453" s="4"/>
      <c r="AB453" s="4"/>
      <c r="AC453" s="4"/>
      <c r="AD453" s="4"/>
      <c r="AE453" s="4"/>
    </row>
    <row r="454" spans="22:31" ht="11.25" customHeight="1" x14ac:dyDescent="0.25">
      <c r="V454" s="4"/>
      <c r="W454" s="4"/>
      <c r="X454" s="4"/>
      <c r="Y454" s="4"/>
      <c r="Z454" s="4"/>
      <c r="AA454" s="4"/>
      <c r="AB454" s="4"/>
      <c r="AC454" s="4"/>
      <c r="AD454" s="4"/>
      <c r="AE454" s="4"/>
    </row>
    <row r="455" spans="22:31" ht="11.25" customHeight="1" x14ac:dyDescent="0.25">
      <c r="V455" s="4"/>
      <c r="W455" s="4"/>
      <c r="X455" s="4"/>
      <c r="Y455" s="4"/>
      <c r="Z455" s="4"/>
      <c r="AA455" s="4"/>
      <c r="AB455" s="4"/>
      <c r="AC455" s="4"/>
      <c r="AD455" s="4"/>
      <c r="AE455" s="4"/>
    </row>
    <row r="456" spans="22:31" ht="11.25" customHeight="1" x14ac:dyDescent="0.25">
      <c r="V456" s="4"/>
      <c r="W456" s="4"/>
      <c r="X456" s="4"/>
      <c r="Y456" s="4"/>
      <c r="Z456" s="4"/>
      <c r="AA456" s="4"/>
      <c r="AB456" s="4"/>
      <c r="AC456" s="4"/>
      <c r="AD456" s="4"/>
      <c r="AE456" s="4"/>
    </row>
    <row r="457" spans="22:31" ht="11.25" customHeight="1" x14ac:dyDescent="0.25">
      <c r="V457" s="4"/>
      <c r="W457" s="4"/>
      <c r="X457" s="4"/>
      <c r="Y457" s="4"/>
      <c r="Z457" s="4"/>
      <c r="AA457" s="4"/>
      <c r="AB457" s="4"/>
      <c r="AC457" s="4"/>
      <c r="AD457" s="4"/>
      <c r="AE457" s="4"/>
    </row>
    <row r="458" spans="22:31" ht="11.25" customHeight="1" x14ac:dyDescent="0.25">
      <c r="V458" s="4"/>
      <c r="W458" s="4"/>
      <c r="X458" s="4"/>
      <c r="Y458" s="4"/>
      <c r="Z458" s="4"/>
      <c r="AA458" s="4"/>
      <c r="AB458" s="4"/>
      <c r="AC458" s="4"/>
      <c r="AD458" s="4"/>
      <c r="AE458" s="4"/>
    </row>
    <row r="459" spans="22:31" ht="11.25" customHeight="1" x14ac:dyDescent="0.25">
      <c r="V459" s="4"/>
      <c r="W459" s="4"/>
      <c r="X459" s="4"/>
      <c r="Y459" s="4"/>
      <c r="Z459" s="4"/>
      <c r="AA459" s="4"/>
      <c r="AB459" s="4"/>
      <c r="AC459" s="4"/>
      <c r="AD459" s="4"/>
      <c r="AE459" s="4"/>
    </row>
    <row r="460" spans="22:31" ht="11.25" customHeight="1" x14ac:dyDescent="0.25">
      <c r="V460" s="4"/>
      <c r="W460" s="4"/>
      <c r="X460" s="4"/>
      <c r="Y460" s="4"/>
      <c r="Z460" s="4"/>
      <c r="AA460" s="4"/>
      <c r="AB460" s="4"/>
      <c r="AC460" s="4"/>
      <c r="AD460" s="4"/>
      <c r="AE460" s="4"/>
    </row>
    <row r="461" spans="22:31" ht="11.25" customHeight="1" x14ac:dyDescent="0.25">
      <c r="V461" s="4"/>
      <c r="W461" s="4"/>
      <c r="X461" s="4"/>
      <c r="Y461" s="4"/>
      <c r="Z461" s="4"/>
      <c r="AA461" s="4"/>
      <c r="AB461" s="4"/>
      <c r="AC461" s="4"/>
      <c r="AD461" s="4"/>
      <c r="AE461" s="4"/>
    </row>
    <row r="462" spans="22:31" ht="11.25" customHeight="1" x14ac:dyDescent="0.25">
      <c r="V462" s="4"/>
      <c r="W462" s="4"/>
      <c r="X462" s="4"/>
      <c r="Y462" s="4"/>
      <c r="Z462" s="4"/>
      <c r="AA462" s="4"/>
      <c r="AB462" s="4"/>
      <c r="AC462" s="4"/>
      <c r="AD462" s="4"/>
      <c r="AE462" s="4"/>
    </row>
    <row r="463" spans="22:31" ht="11.25" customHeight="1" x14ac:dyDescent="0.25">
      <c r="V463" s="4"/>
      <c r="W463" s="4"/>
      <c r="X463" s="4"/>
      <c r="Y463" s="4"/>
      <c r="Z463" s="4"/>
      <c r="AA463" s="4"/>
      <c r="AB463" s="4"/>
      <c r="AC463" s="4"/>
      <c r="AD463" s="4"/>
      <c r="AE463" s="4"/>
    </row>
    <row r="464" spans="22:31" ht="11.25" customHeight="1" x14ac:dyDescent="0.25">
      <c r="V464" s="4"/>
      <c r="W464" s="4"/>
      <c r="X464" s="4"/>
      <c r="Y464" s="4"/>
      <c r="Z464" s="4"/>
      <c r="AA464" s="4"/>
      <c r="AB464" s="4"/>
      <c r="AC464" s="4"/>
      <c r="AD464" s="4"/>
      <c r="AE464" s="4"/>
    </row>
    <row r="465" spans="22:31" ht="11.25" customHeight="1" x14ac:dyDescent="0.25">
      <c r="V465" s="4"/>
      <c r="W465" s="4"/>
      <c r="X465" s="4"/>
      <c r="Y465" s="4"/>
      <c r="Z465" s="4"/>
      <c r="AA465" s="4"/>
      <c r="AB465" s="4"/>
      <c r="AC465" s="4"/>
      <c r="AD465" s="4"/>
      <c r="AE465" s="4"/>
    </row>
    <row r="466" spans="22:31" ht="11.25" customHeight="1" x14ac:dyDescent="0.25">
      <c r="V466" s="4"/>
      <c r="W466" s="4"/>
      <c r="X466" s="4"/>
      <c r="Y466" s="4"/>
      <c r="Z466" s="4"/>
      <c r="AA466" s="4"/>
      <c r="AB466" s="4"/>
      <c r="AC466" s="4"/>
      <c r="AD466" s="4"/>
      <c r="AE466" s="4"/>
    </row>
    <row r="467" spans="22:31" ht="11.25" customHeight="1" x14ac:dyDescent="0.25">
      <c r="V467" s="4"/>
      <c r="W467" s="4"/>
      <c r="X467" s="4"/>
      <c r="Y467" s="4"/>
      <c r="Z467" s="4"/>
      <c r="AA467" s="4"/>
      <c r="AB467" s="4"/>
      <c r="AC467" s="4"/>
      <c r="AD467" s="4"/>
      <c r="AE467" s="4"/>
    </row>
    <row r="468" spans="22:31" ht="11.25" customHeight="1" x14ac:dyDescent="0.25">
      <c r="V468" s="4"/>
      <c r="W468" s="4"/>
      <c r="X468" s="4"/>
      <c r="Y468" s="4"/>
      <c r="Z468" s="4"/>
      <c r="AA468" s="4"/>
      <c r="AB468" s="4"/>
      <c r="AC468" s="4"/>
      <c r="AD468" s="4"/>
      <c r="AE468" s="4"/>
    </row>
    <row r="469" spans="22:31" ht="11.25" customHeight="1" x14ac:dyDescent="0.25">
      <c r="V469" s="4"/>
      <c r="W469" s="4"/>
      <c r="X469" s="4"/>
      <c r="Y469" s="4"/>
      <c r="Z469" s="4"/>
      <c r="AA469" s="4"/>
      <c r="AB469" s="4"/>
      <c r="AC469" s="4"/>
      <c r="AD469" s="4"/>
      <c r="AE469" s="4"/>
    </row>
    <row r="470" spans="22:31" ht="11.25" customHeight="1" x14ac:dyDescent="0.25">
      <c r="V470" s="4"/>
      <c r="W470" s="4"/>
      <c r="X470" s="4"/>
      <c r="Y470" s="4"/>
      <c r="Z470" s="4"/>
      <c r="AA470" s="4"/>
      <c r="AB470" s="4"/>
      <c r="AC470" s="4"/>
      <c r="AD470" s="4"/>
      <c r="AE470" s="4"/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0" r:id="rId1"/>
  <tableParts count="1">
    <tablePart r:id="rId2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CD4F3-9A64-4310-AE1A-73C97D98E593}">
  <dimension ref="A1:J484"/>
  <sheetViews>
    <sheetView showGridLines="0" workbookViewId="0"/>
  </sheetViews>
  <sheetFormatPr defaultRowHeight="11.25" customHeight="1" x14ac:dyDescent="0.2"/>
  <cols>
    <col min="1" max="1" width="34.7109375" style="16" bestFit="1" customWidth="1"/>
    <col min="2" max="2" width="24.5703125" style="56" bestFit="1" customWidth="1"/>
    <col min="3" max="3" width="25.5703125" style="56" bestFit="1" customWidth="1"/>
    <col min="4" max="4" width="26" style="56" bestFit="1" customWidth="1"/>
    <col min="5" max="5" width="26.85546875" style="56" bestFit="1" customWidth="1"/>
    <col min="6" max="6" width="23.7109375" style="56" bestFit="1" customWidth="1"/>
    <col min="7" max="7" width="24.5703125" style="56" bestFit="1" customWidth="1"/>
    <col min="8" max="8" width="18.28515625" style="57" bestFit="1" customWidth="1"/>
    <col min="9" max="9" width="16" style="57" bestFit="1" customWidth="1"/>
    <col min="10" max="10" width="13.85546875" style="57" bestFit="1" customWidth="1"/>
    <col min="11" max="16384" width="9.140625" style="16"/>
  </cols>
  <sheetData>
    <row r="1" spans="1:10" ht="11.25" customHeight="1" x14ac:dyDescent="0.2">
      <c r="A1" s="55" t="s">
        <v>626</v>
      </c>
      <c r="B1" s="56" t="s">
        <v>627</v>
      </c>
      <c r="C1" s="56" t="s">
        <v>628</v>
      </c>
      <c r="D1" s="56" t="s">
        <v>629</v>
      </c>
      <c r="E1" s="56" t="s">
        <v>630</v>
      </c>
      <c r="F1" s="56" t="s">
        <v>631</v>
      </c>
      <c r="G1" s="56" t="s">
        <v>632</v>
      </c>
      <c r="H1" s="57" t="s">
        <v>633</v>
      </c>
      <c r="I1" s="57" t="s">
        <v>634</v>
      </c>
      <c r="J1" s="57" t="s">
        <v>635</v>
      </c>
    </row>
    <row r="2" spans="1:10" ht="11.25" customHeight="1" x14ac:dyDescent="0.2">
      <c r="A2" s="58" t="s">
        <v>26</v>
      </c>
      <c r="B2" s="56">
        <v>1232492.2999999996</v>
      </c>
      <c r="C2" s="56">
        <v>1504463.3794359167</v>
      </c>
      <c r="D2" s="56">
        <v>29758199.69718441</v>
      </c>
      <c r="E2" s="56">
        <v>36455103.360285863</v>
      </c>
      <c r="F2" s="56">
        <v>9406187.0052831993</v>
      </c>
      <c r="G2" s="56">
        <v>10656099.139383301</v>
      </c>
      <c r="H2" s="57">
        <v>0.22486993007999123</v>
      </c>
      <c r="I2" s="57">
        <v>0.13288191414842765</v>
      </c>
      <c r="J2" s="57">
        <v>0.20345103581233248</v>
      </c>
    </row>
    <row r="3" spans="1:10" ht="11.25" customHeight="1" x14ac:dyDescent="0.2">
      <c r="A3" s="59" t="s">
        <v>33</v>
      </c>
      <c r="B3" s="56">
        <v>1232492.2999999996</v>
      </c>
      <c r="C3" s="56">
        <v>1504463.3794359167</v>
      </c>
      <c r="D3" s="56">
        <v>796743.78955999983</v>
      </c>
      <c r="E3" s="56">
        <v>998937.67428387259</v>
      </c>
      <c r="F3" s="56">
        <v>930290.12505000015</v>
      </c>
      <c r="G3" s="56">
        <v>1048815.9234062291</v>
      </c>
      <c r="H3" s="57">
        <v>0.23366673133760574</v>
      </c>
      <c r="I3" s="57">
        <v>0.12740734870195314</v>
      </c>
      <c r="J3" s="57">
        <v>0.2002654207251624</v>
      </c>
    </row>
    <row r="4" spans="1:10" ht="11.25" customHeight="1" x14ac:dyDescent="0.2">
      <c r="A4" s="60" t="s">
        <v>41</v>
      </c>
      <c r="B4" s="56">
        <v>132892.88999999998</v>
      </c>
      <c r="C4" s="56">
        <v>161273.21185774685</v>
      </c>
      <c r="D4" s="56">
        <v>70219.691279999999</v>
      </c>
      <c r="E4" s="56">
        <v>91203.409756197158</v>
      </c>
      <c r="F4" s="56">
        <v>157310.87724</v>
      </c>
      <c r="G4" s="56">
        <v>177353.43903112682</v>
      </c>
      <c r="H4" s="57">
        <v>0.24303782672080487</v>
      </c>
      <c r="I4" s="57">
        <v>0.12740734870195314</v>
      </c>
      <c r="J4" s="57">
        <v>0.19256960246170962</v>
      </c>
    </row>
    <row r="5" spans="1:10" ht="11.25" customHeight="1" x14ac:dyDescent="0.2">
      <c r="A5" s="61" t="s">
        <v>40</v>
      </c>
      <c r="B5" s="56">
        <v>132892.88999999998</v>
      </c>
      <c r="C5" s="56">
        <v>161273.21185774685</v>
      </c>
      <c r="D5" s="56">
        <v>70219.691279999999</v>
      </c>
      <c r="E5" s="56">
        <v>91203.409756197158</v>
      </c>
      <c r="F5" s="56">
        <v>157310.87724</v>
      </c>
      <c r="G5" s="56">
        <v>177353.43903112682</v>
      </c>
      <c r="H5" s="57">
        <v>0.24303782672080487</v>
      </c>
      <c r="I5" s="57">
        <v>0.12740734870195314</v>
      </c>
      <c r="J5" s="57">
        <v>0.19256960246170962</v>
      </c>
    </row>
    <row r="6" spans="1:10" ht="11.25" customHeight="1" x14ac:dyDescent="0.2">
      <c r="A6" s="62" t="s">
        <v>25</v>
      </c>
      <c r="B6" s="56">
        <v>132892.88999999998</v>
      </c>
      <c r="C6" s="56">
        <v>161273.21185774685</v>
      </c>
      <c r="D6" s="56">
        <v>70219.691279999999</v>
      </c>
      <c r="E6" s="56">
        <v>91203.409756197158</v>
      </c>
      <c r="F6" s="56">
        <v>157310.87724</v>
      </c>
      <c r="G6" s="56">
        <v>177353.43903112682</v>
      </c>
      <c r="H6" s="57">
        <v>0.24303782672080487</v>
      </c>
      <c r="I6" s="57">
        <v>0.12740734870195314</v>
      </c>
      <c r="J6" s="57">
        <v>0.19256960246170962</v>
      </c>
    </row>
    <row r="7" spans="1:10" ht="11.25" customHeight="1" x14ac:dyDescent="0.2">
      <c r="A7" s="63" t="s">
        <v>25</v>
      </c>
      <c r="B7" s="56">
        <v>132892.88999999998</v>
      </c>
      <c r="C7" s="56">
        <v>161273.21185774685</v>
      </c>
      <c r="D7" s="56">
        <v>70219.691279999999</v>
      </c>
      <c r="E7" s="56">
        <v>91203.409756197158</v>
      </c>
      <c r="F7" s="56">
        <v>157310.87724</v>
      </c>
      <c r="G7" s="56">
        <v>177353.43903112682</v>
      </c>
      <c r="H7" s="57">
        <v>0.24303782672080487</v>
      </c>
      <c r="I7" s="57">
        <v>0.12740734870195314</v>
      </c>
      <c r="J7" s="57">
        <v>0.19256960246170962</v>
      </c>
    </row>
    <row r="8" spans="1:10" ht="11.25" customHeight="1" x14ac:dyDescent="0.2">
      <c r="A8" s="64" t="s">
        <v>25</v>
      </c>
      <c r="B8" s="56">
        <v>132892.88999999998</v>
      </c>
      <c r="C8" s="56">
        <v>161273.21185774685</v>
      </c>
      <c r="D8" s="56">
        <v>70219.691279999999</v>
      </c>
      <c r="E8" s="56">
        <v>91203.409756197158</v>
      </c>
      <c r="F8" s="56">
        <v>157310.87724</v>
      </c>
      <c r="G8" s="56">
        <v>177353.43903112682</v>
      </c>
      <c r="H8" s="57">
        <v>0.24303782672080487</v>
      </c>
      <c r="I8" s="57">
        <v>0.12740734870195314</v>
      </c>
      <c r="J8" s="57">
        <v>0.19256960246170962</v>
      </c>
    </row>
    <row r="9" spans="1:10" ht="11.25" customHeight="1" x14ac:dyDescent="0.2">
      <c r="A9" s="65" t="s">
        <v>36</v>
      </c>
      <c r="B9" s="56">
        <v>69893.849999999991</v>
      </c>
      <c r="C9" s="56">
        <v>85377.212137812559</v>
      </c>
      <c r="D9" s="56">
        <v>67913.482439999992</v>
      </c>
      <c r="E9" s="56">
        <v>88208.037575206225</v>
      </c>
      <c r="F9" s="56">
        <v>152144.35302000001</v>
      </c>
      <c r="G9" s="56">
        <v>171528.66165825221</v>
      </c>
      <c r="H9" s="57">
        <v>0.25962274023841347</v>
      </c>
      <c r="I9" s="57">
        <v>0.12740734870195314</v>
      </c>
      <c r="J9" s="57">
        <v>0.19024626749024676</v>
      </c>
    </row>
    <row r="10" spans="1:10" ht="11.25" customHeight="1" x14ac:dyDescent="0.2">
      <c r="A10" s="66">
        <v>44287</v>
      </c>
      <c r="B10" s="56">
        <v>5872.36</v>
      </c>
      <c r="C10" s="56">
        <v>7173.2452207111919</v>
      </c>
      <c r="D10" s="56">
        <v>5678.4739200000004</v>
      </c>
      <c r="E10" s="56">
        <v>7375.3697043545171</v>
      </c>
      <c r="F10" s="56">
        <v>12721.299360000001</v>
      </c>
      <c r="G10" s="56">
        <v>14342.086383501453</v>
      </c>
      <c r="H10" s="57">
        <v>0.2595294007192952</v>
      </c>
      <c r="I10" s="57">
        <v>0.12740734870195314</v>
      </c>
      <c r="J10" s="57">
        <v>0.19028274009902613</v>
      </c>
    </row>
    <row r="11" spans="1:10" ht="11.25" customHeight="1" x14ac:dyDescent="0.2">
      <c r="A11" s="66">
        <v>44317</v>
      </c>
      <c r="B11" s="56">
        <v>5872.36</v>
      </c>
      <c r="C11" s="56">
        <v>7173.2452207111919</v>
      </c>
      <c r="D11" s="56">
        <v>5957.3791799999999</v>
      </c>
      <c r="E11" s="56">
        <v>7737.6200966199658</v>
      </c>
      <c r="F11" s="56">
        <v>13346.12169</v>
      </c>
      <c r="G11" s="56">
        <v>15046.51566997653</v>
      </c>
      <c r="H11" s="57">
        <v>0.26045596529636739</v>
      </c>
      <c r="I11" s="57">
        <v>0.12740734870195314</v>
      </c>
      <c r="J11" s="57">
        <v>0.18992479113218463</v>
      </c>
    </row>
    <row r="12" spans="1:10" ht="11.25" customHeight="1" x14ac:dyDescent="0.2">
      <c r="A12" s="66">
        <v>44348</v>
      </c>
      <c r="B12" s="56">
        <v>5808.53</v>
      </c>
      <c r="C12" s="56">
        <v>7095.2751639643311</v>
      </c>
      <c r="D12" s="56">
        <v>5629.5286800000003</v>
      </c>
      <c r="E12" s="56">
        <v>7311.798180498974</v>
      </c>
      <c r="F12" s="56">
        <v>12611.648940000001</v>
      </c>
      <c r="G12" s="56">
        <v>14218.465694205199</v>
      </c>
      <c r="H12" s="57">
        <v>0.25957330238694887</v>
      </c>
      <c r="I12" s="57">
        <v>0.12740734870195314</v>
      </c>
      <c r="J12" s="57">
        <v>0.19026557374290864</v>
      </c>
    </row>
    <row r="13" spans="1:10" ht="11.25" customHeight="1" x14ac:dyDescent="0.2">
      <c r="A13" s="66">
        <v>44378</v>
      </c>
      <c r="B13" s="56">
        <v>5808.53</v>
      </c>
      <c r="C13" s="56">
        <v>7095.2751639643311</v>
      </c>
      <c r="D13" s="56">
        <v>5839.4562600000008</v>
      </c>
      <c r="E13" s="56">
        <v>7584.4583239553449</v>
      </c>
      <c r="F13" s="56">
        <v>13081.942830000002</v>
      </c>
      <c r="G13" s="56">
        <v>14748.678481840827</v>
      </c>
      <c r="H13" s="57">
        <v>0.26028080393010988</v>
      </c>
      <c r="I13" s="57">
        <v>0.12740734870195314</v>
      </c>
      <c r="J13" s="57">
        <v>0.18999176514664629</v>
      </c>
    </row>
    <row r="14" spans="1:10" ht="11.25" customHeight="1" x14ac:dyDescent="0.2">
      <c r="A14" s="66">
        <v>44409</v>
      </c>
      <c r="B14" s="56">
        <v>5808.53</v>
      </c>
      <c r="C14" s="56">
        <v>7095.2751639643311</v>
      </c>
      <c r="D14" s="56">
        <v>5787.723</v>
      </c>
      <c r="E14" s="56">
        <v>7517.2656373485361</v>
      </c>
      <c r="F14" s="56">
        <v>12966.0465</v>
      </c>
      <c r="G14" s="56">
        <v>14618.016107711239</v>
      </c>
      <c r="H14" s="57">
        <v>0.26010883009476138</v>
      </c>
      <c r="I14" s="57">
        <v>0.12740734870195314</v>
      </c>
      <c r="J14" s="57">
        <v>0.19005783269697951</v>
      </c>
    </row>
    <row r="15" spans="1:10" ht="11.25" customHeight="1" x14ac:dyDescent="0.2">
      <c r="A15" s="66">
        <v>44440</v>
      </c>
      <c r="B15" s="56">
        <v>5872.36</v>
      </c>
      <c r="C15" s="56">
        <v>7173.2452207111919</v>
      </c>
      <c r="D15" s="56">
        <v>5566.6433400000005</v>
      </c>
      <c r="E15" s="56">
        <v>7230.120842887105</v>
      </c>
      <c r="F15" s="56">
        <v>12470.768970000001</v>
      </c>
      <c r="G15" s="56">
        <v>14059.636580742288</v>
      </c>
      <c r="H15" s="57">
        <v>0.25914519259142876</v>
      </c>
      <c r="I15" s="57">
        <v>0.12740734870195314</v>
      </c>
      <c r="J15" s="57">
        <v>0.19043386425040287</v>
      </c>
    </row>
    <row r="16" spans="1:10" ht="11.25" customHeight="1" x14ac:dyDescent="0.2">
      <c r="A16" s="66">
        <v>44470</v>
      </c>
      <c r="B16" s="56">
        <v>5936.19</v>
      </c>
      <c r="C16" s="56">
        <v>7251.2152774580527</v>
      </c>
      <c r="D16" s="56">
        <v>5765.0057999999999</v>
      </c>
      <c r="E16" s="56">
        <v>7487.7598667826715</v>
      </c>
      <c r="F16" s="56">
        <v>12915.153900000001</v>
      </c>
      <c r="G16" s="56">
        <v>14560.639416476692</v>
      </c>
      <c r="H16" s="57">
        <v>0.2596127264395256</v>
      </c>
      <c r="I16" s="57">
        <v>0.12740734870195314</v>
      </c>
      <c r="J16" s="57">
        <v>0.19025017591123272</v>
      </c>
    </row>
    <row r="17" spans="1:10" ht="11.25" customHeight="1" x14ac:dyDescent="0.2">
      <c r="A17" s="66">
        <v>44501</v>
      </c>
      <c r="B17" s="56">
        <v>5808.53</v>
      </c>
      <c r="C17" s="56">
        <v>7095.2751639643311</v>
      </c>
      <c r="D17" s="56">
        <v>5593.4909399999997</v>
      </c>
      <c r="E17" s="56">
        <v>7264.9912990103985</v>
      </c>
      <c r="F17" s="56">
        <v>12530.914769999999</v>
      </c>
      <c r="G17" s="56">
        <v>14127.445397655845</v>
      </c>
      <c r="H17" s="57">
        <v>0.25944922733800313</v>
      </c>
      <c r="I17" s="57">
        <v>0.12740734870195314</v>
      </c>
      <c r="J17" s="57">
        <v>0.19031414306300221</v>
      </c>
    </row>
    <row r="18" spans="1:10" ht="11.25" customHeight="1" x14ac:dyDescent="0.2">
      <c r="A18" s="66">
        <v>44531</v>
      </c>
      <c r="B18" s="56">
        <v>5744.7</v>
      </c>
      <c r="C18" s="56">
        <v>7017.3051072174703</v>
      </c>
      <c r="D18" s="56">
        <v>5629.4254200000005</v>
      </c>
      <c r="E18" s="56">
        <v>7311.6640633600391</v>
      </c>
      <c r="F18" s="56">
        <v>12611.417610000002</v>
      </c>
      <c r="G18" s="56">
        <v>14218.204891063224</v>
      </c>
      <c r="H18" s="57">
        <v>0.25978645754879581</v>
      </c>
      <c r="I18" s="57">
        <v>0.12740734870195314</v>
      </c>
      <c r="J18" s="57">
        <v>0.19018252060982133</v>
      </c>
    </row>
    <row r="19" spans="1:10" ht="11.25" customHeight="1" x14ac:dyDescent="0.2">
      <c r="A19" s="66">
        <v>44562</v>
      </c>
      <c r="B19" s="56">
        <v>5744.7</v>
      </c>
      <c r="C19" s="56">
        <v>7017.3051072174703</v>
      </c>
      <c r="D19" s="56">
        <v>5529.6762600000002</v>
      </c>
      <c r="E19" s="56">
        <v>7182.1069071481088</v>
      </c>
      <c r="F19" s="56">
        <v>12387.952830000002</v>
      </c>
      <c r="G19" s="56">
        <v>13966.26905591516</v>
      </c>
      <c r="H19" s="57">
        <v>0.25944102688351967</v>
      </c>
      <c r="I19" s="57">
        <v>0.12740734870195314</v>
      </c>
      <c r="J19" s="57">
        <v>0.19031735900351032</v>
      </c>
    </row>
    <row r="20" spans="1:10" ht="11.25" customHeight="1" x14ac:dyDescent="0.2">
      <c r="A20" s="66">
        <v>44593</v>
      </c>
      <c r="B20" s="56">
        <v>5744.7</v>
      </c>
      <c r="C20" s="56">
        <v>7017.3051072174703</v>
      </c>
      <c r="D20" s="56">
        <v>5107.3428599999997</v>
      </c>
      <c r="E20" s="56">
        <v>6633.5678089009089</v>
      </c>
      <c r="F20" s="56">
        <v>11441.81313</v>
      </c>
      <c r="G20" s="56">
        <v>12899.584205236497</v>
      </c>
      <c r="H20" s="57">
        <v>0.25790812773461358</v>
      </c>
      <c r="I20" s="57">
        <v>0.12740734870195314</v>
      </c>
      <c r="J20" s="57">
        <v>0.19093157923260073</v>
      </c>
    </row>
    <row r="21" spans="1:10" ht="11.25" customHeight="1" x14ac:dyDescent="0.2">
      <c r="A21" s="66">
        <v>44621</v>
      </c>
      <c r="B21" s="56">
        <v>5872.36</v>
      </c>
      <c r="C21" s="56">
        <v>7173.2452207111919</v>
      </c>
      <c r="D21" s="56">
        <v>5829.3367800000005</v>
      </c>
      <c r="E21" s="56">
        <v>7571.3148443396421</v>
      </c>
      <c r="F21" s="56">
        <v>13059.272490000001</v>
      </c>
      <c r="G21" s="56">
        <v>14723.119773927256</v>
      </c>
      <c r="H21" s="57">
        <v>0.26003607359332337</v>
      </c>
      <c r="I21" s="57">
        <v>0.12740734870195314</v>
      </c>
      <c r="J21" s="57">
        <v>0.19008587740063398</v>
      </c>
    </row>
    <row r="22" spans="1:10" ht="11.25" customHeight="1" x14ac:dyDescent="0.2">
      <c r="A22" s="65" t="s">
        <v>35</v>
      </c>
      <c r="B22" s="56">
        <v>62999.039999999994</v>
      </c>
      <c r="C22" s="56">
        <v>75895.999719934247</v>
      </c>
      <c r="D22" s="56">
        <v>2306.2088400000002</v>
      </c>
      <c r="E22" s="56">
        <v>2995.3721809909407</v>
      </c>
      <c r="F22" s="56">
        <v>5166.5242199999984</v>
      </c>
      <c r="G22" s="56">
        <v>5824.777372874627</v>
      </c>
      <c r="H22" s="57">
        <v>0.20804029235401345</v>
      </c>
      <c r="I22" s="57">
        <v>0.12740734870195358</v>
      </c>
      <c r="J22" s="57">
        <v>0.20212881832378615</v>
      </c>
    </row>
    <row r="23" spans="1:10" ht="11.25" customHeight="1" x14ac:dyDescent="0.2">
      <c r="A23" s="66">
        <v>44287</v>
      </c>
      <c r="B23" s="56">
        <v>5249.92</v>
      </c>
      <c r="C23" s="56">
        <v>6324.6666433278542</v>
      </c>
      <c r="D23" s="56">
        <v>185.55822000000001</v>
      </c>
      <c r="E23" s="56">
        <v>241.0084986675347</v>
      </c>
      <c r="F23" s="56">
        <v>415.70001000000002</v>
      </c>
      <c r="G23" s="56">
        <v>468.66324612947545</v>
      </c>
      <c r="H23" s="57">
        <v>0.20792962021939432</v>
      </c>
      <c r="I23" s="57">
        <v>0.12740734870195314</v>
      </c>
      <c r="J23" s="57">
        <v>0.20220887342973071</v>
      </c>
    </row>
    <row r="24" spans="1:10" ht="11.25" customHeight="1" x14ac:dyDescent="0.2">
      <c r="A24" s="66">
        <v>44317</v>
      </c>
      <c r="B24" s="56">
        <v>5249.92</v>
      </c>
      <c r="C24" s="56">
        <v>6324.6666433278542</v>
      </c>
      <c r="D24" s="56">
        <v>195.36792</v>
      </c>
      <c r="E24" s="56">
        <v>253.7496268664305</v>
      </c>
      <c r="F24" s="56">
        <v>437.67635999999999</v>
      </c>
      <c r="G24" s="56">
        <v>493.43954461712161</v>
      </c>
      <c r="H24" s="57">
        <v>0.2080933766665336</v>
      </c>
      <c r="I24" s="57">
        <v>0.12740734870195336</v>
      </c>
      <c r="J24" s="57">
        <v>0.20209055813124999</v>
      </c>
    </row>
    <row r="25" spans="1:10" ht="11.25" customHeight="1" x14ac:dyDescent="0.2">
      <c r="A25" s="66">
        <v>44348</v>
      </c>
      <c r="B25" s="56">
        <v>5249.92</v>
      </c>
      <c r="C25" s="56">
        <v>6324.6666433278542</v>
      </c>
      <c r="D25" s="56">
        <v>195.16139999999999</v>
      </c>
      <c r="E25" s="56">
        <v>253.481392588559</v>
      </c>
      <c r="F25" s="56">
        <v>437.21370000000002</v>
      </c>
      <c r="G25" s="56">
        <v>492.91793833317115</v>
      </c>
      <c r="H25" s="57">
        <v>0.20808993524255004</v>
      </c>
      <c r="I25" s="57">
        <v>0.12740734870195314</v>
      </c>
      <c r="J25" s="57">
        <v>0.20209303580325044</v>
      </c>
    </row>
    <row r="26" spans="1:10" ht="11.25" customHeight="1" x14ac:dyDescent="0.2">
      <c r="A26" s="66">
        <v>44378</v>
      </c>
      <c r="B26" s="56">
        <v>5249.92</v>
      </c>
      <c r="C26" s="56">
        <v>6324.6666433278542</v>
      </c>
      <c r="D26" s="56">
        <v>200.84070000000003</v>
      </c>
      <c r="E26" s="56">
        <v>260.85783523002505</v>
      </c>
      <c r="F26" s="56">
        <v>449.93685000000005</v>
      </c>
      <c r="G26" s="56">
        <v>507.26211114180842</v>
      </c>
      <c r="H26" s="57">
        <v>0.20818447938062645</v>
      </c>
      <c r="I26" s="57">
        <v>0.12740734870195314</v>
      </c>
      <c r="J26" s="57">
        <v>0.20202510459118295</v>
      </c>
    </row>
    <row r="27" spans="1:10" ht="11.25" customHeight="1" x14ac:dyDescent="0.2">
      <c r="A27" s="66">
        <v>44409</v>
      </c>
      <c r="B27" s="56">
        <v>5085.8599999999997</v>
      </c>
      <c r="C27" s="56">
        <v>6127.0208107238586</v>
      </c>
      <c r="D27" s="56">
        <v>199.80810000000002</v>
      </c>
      <c r="E27" s="56">
        <v>259.5166638406676</v>
      </c>
      <c r="F27" s="56">
        <v>447.62355000000002</v>
      </c>
      <c r="G27" s="56">
        <v>504.65407972205622</v>
      </c>
      <c r="H27" s="57">
        <v>0.20827440424504262</v>
      </c>
      <c r="I27" s="57">
        <v>0.12740734870195314</v>
      </c>
      <c r="J27" s="57">
        <v>0.20196075395651314</v>
      </c>
    </row>
    <row r="28" spans="1:10" ht="11.25" customHeight="1" x14ac:dyDescent="0.2">
      <c r="A28" s="66">
        <v>44440</v>
      </c>
      <c r="B28" s="56">
        <v>5742.1</v>
      </c>
      <c r="C28" s="56">
        <v>6917.604141139841</v>
      </c>
      <c r="D28" s="56">
        <v>191.34078</v>
      </c>
      <c r="E28" s="56">
        <v>248.51905844793643</v>
      </c>
      <c r="F28" s="56">
        <v>428.65449000000001</v>
      </c>
      <c r="G28" s="56">
        <v>483.26822208008792</v>
      </c>
      <c r="H28" s="57">
        <v>0.20775170180223412</v>
      </c>
      <c r="I28" s="57">
        <v>0.12740734870195314</v>
      </c>
      <c r="J28" s="57">
        <v>0.20233839592720604</v>
      </c>
    </row>
    <row r="29" spans="1:10" ht="11.25" customHeight="1" x14ac:dyDescent="0.2">
      <c r="A29" s="66">
        <v>44470</v>
      </c>
      <c r="B29" s="56">
        <v>5085.8599999999997</v>
      </c>
      <c r="C29" s="56">
        <v>6127.0208107238586</v>
      </c>
      <c r="D29" s="56">
        <v>182.15064000000001</v>
      </c>
      <c r="E29" s="56">
        <v>236.58263308265509</v>
      </c>
      <c r="F29" s="56">
        <v>408.06612000000001</v>
      </c>
      <c r="G29" s="56">
        <v>460.05674244429309</v>
      </c>
      <c r="H29" s="57">
        <v>0.20797087908055434</v>
      </c>
      <c r="I29" s="57">
        <v>0.12740734870195314</v>
      </c>
      <c r="J29" s="57">
        <v>0.20217898290910474</v>
      </c>
    </row>
    <row r="30" spans="1:10" ht="11.25" customHeight="1" x14ac:dyDescent="0.2">
      <c r="A30" s="66">
        <v>44501</v>
      </c>
      <c r="B30" s="56">
        <v>5085.8599999999997</v>
      </c>
      <c r="C30" s="56">
        <v>6127.0208107238586</v>
      </c>
      <c r="D30" s="56">
        <v>182.77020000000002</v>
      </c>
      <c r="E30" s="56">
        <v>237.38733591626956</v>
      </c>
      <c r="F30" s="56">
        <v>409.45410000000004</v>
      </c>
      <c r="G30" s="56">
        <v>461.62156129614442</v>
      </c>
      <c r="H30" s="57">
        <v>0.20798156352672637</v>
      </c>
      <c r="I30" s="57">
        <v>0.12740734870195314</v>
      </c>
      <c r="J30" s="57">
        <v>0.20217125130323854</v>
      </c>
    </row>
    <row r="31" spans="1:10" ht="11.25" customHeight="1" x14ac:dyDescent="0.2">
      <c r="A31" s="66">
        <v>44531</v>
      </c>
      <c r="B31" s="56">
        <v>5249.92</v>
      </c>
      <c r="C31" s="56">
        <v>6324.6666433278542</v>
      </c>
      <c r="D31" s="56">
        <v>205.07436000000001</v>
      </c>
      <c r="E31" s="56">
        <v>266.35663792639059</v>
      </c>
      <c r="F31" s="56">
        <v>459.42138</v>
      </c>
      <c r="G31" s="56">
        <v>517.95503996279251</v>
      </c>
      <c r="H31" s="57">
        <v>0.20825482966296693</v>
      </c>
      <c r="I31" s="57">
        <v>0.12740734870195314</v>
      </c>
      <c r="J31" s="57">
        <v>0.2019747399794789</v>
      </c>
    </row>
    <row r="32" spans="1:10" ht="11.25" customHeight="1" x14ac:dyDescent="0.2">
      <c r="A32" s="66">
        <v>44562</v>
      </c>
      <c r="B32" s="56">
        <v>5249.92</v>
      </c>
      <c r="C32" s="56">
        <v>6324.6666433278542</v>
      </c>
      <c r="D32" s="56">
        <v>182.87345999999999</v>
      </c>
      <c r="E32" s="56">
        <v>237.52145305520528</v>
      </c>
      <c r="F32" s="56">
        <v>409.68543</v>
      </c>
      <c r="G32" s="56">
        <v>461.88236443811962</v>
      </c>
      <c r="H32" s="57">
        <v>0.2078846995930268</v>
      </c>
      <c r="I32" s="57">
        <v>0.12740734870195314</v>
      </c>
      <c r="J32" s="57">
        <v>0.20224147884275534</v>
      </c>
    </row>
    <row r="33" spans="1:10" ht="11.25" customHeight="1" x14ac:dyDescent="0.2">
      <c r="A33" s="66">
        <v>44593</v>
      </c>
      <c r="B33" s="56">
        <v>5249.92</v>
      </c>
      <c r="C33" s="56">
        <v>6324.6666433278542</v>
      </c>
      <c r="D33" s="56">
        <v>182.35716000000002</v>
      </c>
      <c r="E33" s="56">
        <v>236.85086736052659</v>
      </c>
      <c r="F33" s="56">
        <v>408.52878000000004</v>
      </c>
      <c r="G33" s="56">
        <v>460.57834872824355</v>
      </c>
      <c r="H33" s="57">
        <v>0.20787605592060432</v>
      </c>
      <c r="I33" s="57">
        <v>0.12740734870195314</v>
      </c>
      <c r="J33" s="57">
        <v>0.20224776024943991</v>
      </c>
    </row>
    <row r="34" spans="1:10" ht="11.25" customHeight="1" x14ac:dyDescent="0.2">
      <c r="A34" s="66">
        <v>44621</v>
      </c>
      <c r="B34" s="56">
        <v>5249.92</v>
      </c>
      <c r="C34" s="56">
        <v>6324.6666433278542</v>
      </c>
      <c r="D34" s="56">
        <v>202.90590000000003</v>
      </c>
      <c r="E34" s="56">
        <v>263.54017800873993</v>
      </c>
      <c r="F34" s="56">
        <v>454.56345000000005</v>
      </c>
      <c r="G34" s="56">
        <v>512.47817398131292</v>
      </c>
      <c r="H34" s="57">
        <v>0.20821881023866795</v>
      </c>
      <c r="I34" s="57">
        <v>0.12740734870195314</v>
      </c>
      <c r="J34" s="57">
        <v>0.20200050726602381</v>
      </c>
    </row>
    <row r="35" spans="1:10" ht="11.25" customHeight="1" x14ac:dyDescent="0.2">
      <c r="A35" s="60" t="s">
        <v>34</v>
      </c>
      <c r="B35" s="56">
        <v>1099599.4099999995</v>
      </c>
      <c r="C35" s="56">
        <v>1343190.1675781701</v>
      </c>
      <c r="D35" s="56">
        <v>726524.09828000003</v>
      </c>
      <c r="E35" s="56">
        <v>907734.2645276757</v>
      </c>
      <c r="F35" s="56">
        <v>772979.24781000009</v>
      </c>
      <c r="G35" s="56">
        <v>871462.48437510221</v>
      </c>
      <c r="H35" s="57">
        <v>0.23262442102065717</v>
      </c>
      <c r="I35" s="57">
        <v>0.12740734870195314</v>
      </c>
      <c r="J35" s="57">
        <v>0.2013326172521781</v>
      </c>
    </row>
    <row r="36" spans="1:10" ht="11.25" customHeight="1" x14ac:dyDescent="0.2">
      <c r="A36" s="61" t="s">
        <v>42</v>
      </c>
      <c r="B36" s="56">
        <v>124915.31</v>
      </c>
      <c r="C36" s="56">
        <v>152587.40105360653</v>
      </c>
      <c r="D36" s="56">
        <v>225875.52022000001</v>
      </c>
      <c r="E36" s="56">
        <v>277522.75869437697</v>
      </c>
      <c r="F36" s="56">
        <v>128639.83703999998</v>
      </c>
      <c r="G36" s="56">
        <v>145029.49761471769</v>
      </c>
      <c r="H36" s="57">
        <v>0.22611574389854505</v>
      </c>
      <c r="I36" s="57">
        <v>0.12740734870195314</v>
      </c>
      <c r="J36" s="57">
        <v>0.19963051310357072</v>
      </c>
    </row>
    <row r="37" spans="1:10" ht="11.25" customHeight="1" x14ac:dyDescent="0.2">
      <c r="A37" s="62" t="s">
        <v>25</v>
      </c>
      <c r="B37" s="56">
        <v>124915.31</v>
      </c>
      <c r="C37" s="56">
        <v>152587.40105360653</v>
      </c>
      <c r="D37" s="56">
        <v>225875.52022000001</v>
      </c>
      <c r="E37" s="56">
        <v>277522.75869437697</v>
      </c>
      <c r="F37" s="56">
        <v>128639.83703999998</v>
      </c>
      <c r="G37" s="56">
        <v>145029.49761471769</v>
      </c>
      <c r="H37" s="57">
        <v>0.22611574389854505</v>
      </c>
      <c r="I37" s="57">
        <v>0.12740734870195314</v>
      </c>
      <c r="J37" s="57">
        <v>0.19963051310357072</v>
      </c>
    </row>
    <row r="38" spans="1:10" ht="11.25" customHeight="1" x14ac:dyDescent="0.2">
      <c r="A38" s="63" t="s">
        <v>25</v>
      </c>
      <c r="B38" s="56">
        <v>124915.31</v>
      </c>
      <c r="C38" s="56">
        <v>152587.40105360653</v>
      </c>
      <c r="D38" s="56">
        <v>225875.52022000001</v>
      </c>
      <c r="E38" s="56">
        <v>277522.75869437697</v>
      </c>
      <c r="F38" s="56">
        <v>128639.83703999998</v>
      </c>
      <c r="G38" s="56">
        <v>145029.49761471769</v>
      </c>
      <c r="H38" s="57">
        <v>0.22611574389854505</v>
      </c>
      <c r="I38" s="57">
        <v>0.12740734870195314</v>
      </c>
      <c r="J38" s="57">
        <v>0.19963051310357072</v>
      </c>
    </row>
    <row r="39" spans="1:10" ht="11.25" customHeight="1" x14ac:dyDescent="0.2">
      <c r="A39" s="64" t="s">
        <v>25</v>
      </c>
      <c r="B39" s="56">
        <v>124915.31</v>
      </c>
      <c r="C39" s="56">
        <v>152587.40105360653</v>
      </c>
      <c r="D39" s="56">
        <v>225875.52022000001</v>
      </c>
      <c r="E39" s="56">
        <v>277522.75869437697</v>
      </c>
      <c r="F39" s="56">
        <v>128639.83703999998</v>
      </c>
      <c r="G39" s="56">
        <v>145029.49761471769</v>
      </c>
      <c r="H39" s="57">
        <v>0.22611574389854505</v>
      </c>
      <c r="I39" s="57">
        <v>0.12740734870195314</v>
      </c>
      <c r="J39" s="57">
        <v>0.19963051310357072</v>
      </c>
    </row>
    <row r="40" spans="1:10" ht="11.25" customHeight="1" x14ac:dyDescent="0.2">
      <c r="A40" s="65" t="s">
        <v>36</v>
      </c>
      <c r="B40" s="56">
        <v>0</v>
      </c>
      <c r="C40" s="56">
        <v>0</v>
      </c>
      <c r="D40" s="56">
        <v>53013.064440000002</v>
      </c>
      <c r="E40" s="56">
        <v>68854.934426778142</v>
      </c>
      <c r="F40" s="56">
        <v>118763.43401999999</v>
      </c>
      <c r="G40" s="56">
        <v>133894.76827122754</v>
      </c>
      <c r="H40" s="57">
        <v>0.29882954615287161</v>
      </c>
      <c r="I40" s="57">
        <v>0.12740734870195336</v>
      </c>
      <c r="J40" s="57">
        <v>0.18031106999900892</v>
      </c>
    </row>
    <row r="41" spans="1:10" ht="11.25" customHeight="1" x14ac:dyDescent="0.2">
      <c r="A41" s="66">
        <v>44287</v>
      </c>
      <c r="B41" s="56">
        <v>0</v>
      </c>
      <c r="C41" s="56">
        <v>0</v>
      </c>
      <c r="D41" s="56">
        <v>4215.4862400000002</v>
      </c>
      <c r="E41" s="56">
        <v>5475.1980799128751</v>
      </c>
      <c r="F41" s="56">
        <v>9443.8159200000009</v>
      </c>
      <c r="G41" s="56">
        <v>10647.027467996497</v>
      </c>
      <c r="H41" s="57">
        <v>0.29882954615287161</v>
      </c>
      <c r="I41" s="57">
        <v>0.12740734870195314</v>
      </c>
      <c r="J41" s="57">
        <v>0.1803110699990087</v>
      </c>
    </row>
    <row r="42" spans="1:10" ht="11.25" customHeight="1" x14ac:dyDescent="0.2">
      <c r="A42" s="66">
        <v>44317</v>
      </c>
      <c r="B42" s="56">
        <v>0</v>
      </c>
      <c r="C42" s="56">
        <v>0</v>
      </c>
      <c r="D42" s="56">
        <v>4294.1703600000001</v>
      </c>
      <c r="E42" s="56">
        <v>5577.3953397819132</v>
      </c>
      <c r="F42" s="56">
        <v>9620.0893799999994</v>
      </c>
      <c r="G42" s="56">
        <v>10845.759462181617</v>
      </c>
      <c r="H42" s="57">
        <v>0.29882954615287161</v>
      </c>
      <c r="I42" s="57">
        <v>0.12740734870195336</v>
      </c>
      <c r="J42" s="57">
        <v>0.18031106999900892</v>
      </c>
    </row>
    <row r="43" spans="1:10" ht="11.25" customHeight="1" x14ac:dyDescent="0.2">
      <c r="A43" s="66">
        <v>44348</v>
      </c>
      <c r="B43" s="56">
        <v>0</v>
      </c>
      <c r="C43" s="56">
        <v>0</v>
      </c>
      <c r="D43" s="56">
        <v>3995.0261400000004</v>
      </c>
      <c r="E43" s="56">
        <v>5188.8579882850581</v>
      </c>
      <c r="F43" s="56">
        <v>8949.926370000001</v>
      </c>
      <c r="G43" s="56">
        <v>10090.212759879396</v>
      </c>
      <c r="H43" s="57">
        <v>0.29882954615287138</v>
      </c>
      <c r="I43" s="57">
        <v>0.12740734870195314</v>
      </c>
      <c r="J43" s="57">
        <v>0.1803110699990087</v>
      </c>
    </row>
    <row r="44" spans="1:10" ht="11.25" customHeight="1" x14ac:dyDescent="0.2">
      <c r="A44" s="66">
        <v>44378</v>
      </c>
      <c r="B44" s="56">
        <v>0</v>
      </c>
      <c r="C44" s="56">
        <v>0</v>
      </c>
      <c r="D44" s="56">
        <v>3883.7118599999999</v>
      </c>
      <c r="E44" s="56">
        <v>5044.2797125123243</v>
      </c>
      <c r="F44" s="56">
        <v>8700.5526300000001</v>
      </c>
      <c r="G44" s="56">
        <v>9809.0669728301054</v>
      </c>
      <c r="H44" s="57">
        <v>0.29882954615287161</v>
      </c>
      <c r="I44" s="57">
        <v>0.12740734870195314</v>
      </c>
      <c r="J44" s="57">
        <v>0.1803110699990087</v>
      </c>
    </row>
    <row r="45" spans="1:10" ht="11.25" customHeight="1" x14ac:dyDescent="0.2">
      <c r="A45" s="66">
        <v>44409</v>
      </c>
      <c r="B45" s="56">
        <v>0</v>
      </c>
      <c r="C45" s="56">
        <v>0</v>
      </c>
      <c r="D45" s="56">
        <v>3923.0539199999998</v>
      </c>
      <c r="E45" s="56">
        <v>5095.3783424468429</v>
      </c>
      <c r="F45" s="56">
        <v>8788.6893600000003</v>
      </c>
      <c r="G45" s="56">
        <v>9908.4329699226655</v>
      </c>
      <c r="H45" s="57">
        <v>0.29882954615287138</v>
      </c>
      <c r="I45" s="57">
        <v>0.12740734870195314</v>
      </c>
      <c r="J45" s="57">
        <v>0.18031106999900848</v>
      </c>
    </row>
    <row r="46" spans="1:10" ht="11.25" customHeight="1" x14ac:dyDescent="0.2">
      <c r="A46" s="66">
        <v>44440</v>
      </c>
      <c r="B46" s="56">
        <v>0</v>
      </c>
      <c r="C46" s="56">
        <v>0</v>
      </c>
      <c r="D46" s="56">
        <v>4225.6057199999996</v>
      </c>
      <c r="E46" s="56">
        <v>5488.3415595285778</v>
      </c>
      <c r="F46" s="56">
        <v>9466.4862599999997</v>
      </c>
      <c r="G46" s="56">
        <v>10672.586175910068</v>
      </c>
      <c r="H46" s="57">
        <v>0.29882954615287161</v>
      </c>
      <c r="I46" s="57">
        <v>0.12740734870195314</v>
      </c>
      <c r="J46" s="57">
        <v>0.18031106999900892</v>
      </c>
    </row>
    <row r="47" spans="1:10" ht="11.25" customHeight="1" x14ac:dyDescent="0.2">
      <c r="A47" s="66">
        <v>44470</v>
      </c>
      <c r="B47" s="56">
        <v>0</v>
      </c>
      <c r="C47" s="56">
        <v>0</v>
      </c>
      <c r="D47" s="56">
        <v>4276.8226800000002</v>
      </c>
      <c r="E47" s="56">
        <v>5554.8636604407075</v>
      </c>
      <c r="F47" s="56">
        <v>9581.2259400000003</v>
      </c>
      <c r="G47" s="56">
        <v>10801.944534329779</v>
      </c>
      <c r="H47" s="57">
        <v>0.29882954615287138</v>
      </c>
      <c r="I47" s="57">
        <v>0.12740734870195314</v>
      </c>
      <c r="J47" s="57">
        <v>0.1803110699990087</v>
      </c>
    </row>
    <row r="48" spans="1:10" ht="11.25" customHeight="1" x14ac:dyDescent="0.2">
      <c r="A48" s="66">
        <v>44501</v>
      </c>
      <c r="B48" s="56">
        <v>0</v>
      </c>
      <c r="C48" s="56">
        <v>0</v>
      </c>
      <c r="D48" s="56">
        <v>4214.6601600000004</v>
      </c>
      <c r="E48" s="56">
        <v>5474.1251428013893</v>
      </c>
      <c r="F48" s="56">
        <v>9441.9652800000003</v>
      </c>
      <c r="G48" s="56">
        <v>10644.941042860697</v>
      </c>
      <c r="H48" s="57">
        <v>0.29882954615287161</v>
      </c>
      <c r="I48" s="57">
        <v>0.12740734870195336</v>
      </c>
      <c r="J48" s="57">
        <v>0.18031106999900892</v>
      </c>
    </row>
    <row r="49" spans="1:10" ht="11.25" customHeight="1" x14ac:dyDescent="0.2">
      <c r="A49" s="66">
        <v>44531</v>
      </c>
      <c r="B49" s="56">
        <v>0</v>
      </c>
      <c r="C49" s="56">
        <v>0</v>
      </c>
      <c r="D49" s="56">
        <v>5100.3211799999999</v>
      </c>
      <c r="E49" s="56">
        <v>6624.4478434532784</v>
      </c>
      <c r="F49" s="56">
        <v>11426.082690000001</v>
      </c>
      <c r="G49" s="56">
        <v>12881.849591582182</v>
      </c>
      <c r="H49" s="57">
        <v>0.29882954615287161</v>
      </c>
      <c r="I49" s="57">
        <v>0.12740734870195314</v>
      </c>
      <c r="J49" s="57">
        <v>0.1803110699990087</v>
      </c>
    </row>
    <row r="50" spans="1:10" ht="11.25" customHeight="1" x14ac:dyDescent="0.2">
      <c r="A50" s="66">
        <v>44562</v>
      </c>
      <c r="B50" s="56">
        <v>0</v>
      </c>
      <c r="C50" s="56">
        <v>0</v>
      </c>
      <c r="D50" s="56">
        <v>5257.1731200000004</v>
      </c>
      <c r="E50" s="56">
        <v>6828.1717774966755</v>
      </c>
      <c r="F50" s="56">
        <v>11777.472960000001</v>
      </c>
      <c r="G50" s="56">
        <v>13278.009564242546</v>
      </c>
      <c r="H50" s="57">
        <v>0.29882954615287138</v>
      </c>
      <c r="I50" s="57">
        <v>0.12740734870195314</v>
      </c>
      <c r="J50" s="57">
        <v>0.1803110699990087</v>
      </c>
    </row>
    <row r="51" spans="1:10" ht="11.25" customHeight="1" x14ac:dyDescent="0.2">
      <c r="A51" s="66">
        <v>44593</v>
      </c>
      <c r="B51" s="56">
        <v>0</v>
      </c>
      <c r="C51" s="56">
        <v>0</v>
      </c>
      <c r="D51" s="56">
        <v>4514.3206800000007</v>
      </c>
      <c r="E51" s="56">
        <v>5863.3330799929226</v>
      </c>
      <c r="F51" s="56">
        <v>10113.284940000001</v>
      </c>
      <c r="G51" s="56">
        <v>11401.791760872793</v>
      </c>
      <c r="H51" s="57">
        <v>0.29882954615287138</v>
      </c>
      <c r="I51" s="57">
        <v>0.12740734870195314</v>
      </c>
      <c r="J51" s="57">
        <v>0.1803110699990087</v>
      </c>
    </row>
    <row r="52" spans="1:10" ht="11.25" customHeight="1" x14ac:dyDescent="0.2">
      <c r="A52" s="66">
        <v>44621</v>
      </c>
      <c r="B52" s="56">
        <v>0</v>
      </c>
      <c r="C52" s="56">
        <v>0</v>
      </c>
      <c r="D52" s="56">
        <v>5112.7123799999999</v>
      </c>
      <c r="E52" s="56">
        <v>6640.5419001255677</v>
      </c>
      <c r="F52" s="56">
        <v>11453.842290000001</v>
      </c>
      <c r="G52" s="56">
        <v>12913.145968619208</v>
      </c>
      <c r="H52" s="57">
        <v>0.29882954615287161</v>
      </c>
      <c r="I52" s="57">
        <v>0.12740734870195314</v>
      </c>
      <c r="J52" s="57">
        <v>0.1803110699990087</v>
      </c>
    </row>
    <row r="53" spans="1:10" ht="11.25" customHeight="1" x14ac:dyDescent="0.2">
      <c r="A53" s="65" t="s">
        <v>25</v>
      </c>
      <c r="B53" s="56">
        <v>124915.31</v>
      </c>
      <c r="C53" s="56">
        <v>152587.40105360653</v>
      </c>
      <c r="D53" s="56">
        <v>0</v>
      </c>
      <c r="E53" s="56">
        <v>0</v>
      </c>
      <c r="F53" s="56">
        <v>0</v>
      </c>
      <c r="G53" s="56">
        <v>0</v>
      </c>
      <c r="H53" s="57">
        <v>0.22152681727809465</v>
      </c>
      <c r="I53" s="57">
        <v>0</v>
      </c>
      <c r="J53" s="57">
        <v>0.22152681727809465</v>
      </c>
    </row>
    <row r="54" spans="1:10" ht="11.25" customHeight="1" x14ac:dyDescent="0.2">
      <c r="A54" s="66">
        <v>44287</v>
      </c>
      <c r="B54" s="56">
        <v>10085.14</v>
      </c>
      <c r="C54" s="56">
        <v>12319.268966004003</v>
      </c>
      <c r="D54" s="56">
        <v>0</v>
      </c>
      <c r="E54" s="56">
        <v>0</v>
      </c>
      <c r="F54" s="56">
        <v>0</v>
      </c>
      <c r="G54" s="56">
        <v>0</v>
      </c>
      <c r="H54" s="57">
        <v>0.22152681727809465</v>
      </c>
      <c r="I54" s="57">
        <v>0</v>
      </c>
      <c r="J54" s="57">
        <v>0.22152681727809465</v>
      </c>
    </row>
    <row r="55" spans="1:10" ht="11.25" customHeight="1" x14ac:dyDescent="0.2">
      <c r="A55" s="66">
        <v>44317</v>
      </c>
      <c r="B55" s="56">
        <v>10085.14</v>
      </c>
      <c r="C55" s="56">
        <v>12319.268966004003</v>
      </c>
      <c r="D55" s="56">
        <v>0</v>
      </c>
      <c r="E55" s="56">
        <v>0</v>
      </c>
      <c r="F55" s="56">
        <v>0</v>
      </c>
      <c r="G55" s="56">
        <v>0</v>
      </c>
      <c r="H55" s="57">
        <v>0.22152681727809465</v>
      </c>
      <c r="I55" s="57">
        <v>0</v>
      </c>
      <c r="J55" s="57">
        <v>0.22152681727809465</v>
      </c>
    </row>
    <row r="56" spans="1:10" ht="11.25" customHeight="1" x14ac:dyDescent="0.2">
      <c r="A56" s="66">
        <v>44348</v>
      </c>
      <c r="B56" s="56">
        <v>10085.14</v>
      </c>
      <c r="C56" s="56">
        <v>12319.268966004003</v>
      </c>
      <c r="D56" s="56">
        <v>0</v>
      </c>
      <c r="E56" s="56">
        <v>0</v>
      </c>
      <c r="F56" s="56">
        <v>0</v>
      </c>
      <c r="G56" s="56">
        <v>0</v>
      </c>
      <c r="H56" s="57">
        <v>0.22152681727809465</v>
      </c>
      <c r="I56" s="57">
        <v>0</v>
      </c>
      <c r="J56" s="57">
        <v>0.22152681727809465</v>
      </c>
    </row>
    <row r="57" spans="1:10" ht="11.25" customHeight="1" x14ac:dyDescent="0.2">
      <c r="A57" s="66">
        <v>44378</v>
      </c>
      <c r="B57" s="56">
        <v>10595.779999999999</v>
      </c>
      <c r="C57" s="56">
        <v>12943.02941997889</v>
      </c>
      <c r="D57" s="56">
        <v>0</v>
      </c>
      <c r="E57" s="56">
        <v>0</v>
      </c>
      <c r="F57" s="56">
        <v>0</v>
      </c>
      <c r="G57" s="56">
        <v>0</v>
      </c>
      <c r="H57" s="57">
        <v>0.22152681727809487</v>
      </c>
      <c r="I57" s="57">
        <v>0</v>
      </c>
      <c r="J57" s="57">
        <v>0.22152681727809487</v>
      </c>
    </row>
    <row r="58" spans="1:10" ht="11.25" customHeight="1" x14ac:dyDescent="0.2">
      <c r="A58" s="66">
        <v>44409</v>
      </c>
      <c r="B58" s="56">
        <v>10085.14</v>
      </c>
      <c r="C58" s="56">
        <v>12319.268966004003</v>
      </c>
      <c r="D58" s="56">
        <v>0</v>
      </c>
      <c r="E58" s="56">
        <v>0</v>
      </c>
      <c r="F58" s="56">
        <v>0</v>
      </c>
      <c r="G58" s="56">
        <v>0</v>
      </c>
      <c r="H58" s="57">
        <v>0.22152681727809465</v>
      </c>
      <c r="I58" s="57">
        <v>0</v>
      </c>
      <c r="J58" s="57">
        <v>0.22152681727809465</v>
      </c>
    </row>
    <row r="59" spans="1:10" ht="11.25" customHeight="1" x14ac:dyDescent="0.2">
      <c r="A59" s="66">
        <v>44440</v>
      </c>
      <c r="B59" s="56">
        <v>10085.14</v>
      </c>
      <c r="C59" s="56">
        <v>12319.268966004003</v>
      </c>
      <c r="D59" s="56">
        <v>0</v>
      </c>
      <c r="E59" s="56">
        <v>0</v>
      </c>
      <c r="F59" s="56">
        <v>0</v>
      </c>
      <c r="G59" s="56">
        <v>0</v>
      </c>
      <c r="H59" s="57">
        <v>0.22152681727809465</v>
      </c>
      <c r="I59" s="57">
        <v>0</v>
      </c>
      <c r="J59" s="57">
        <v>0.22152681727809465</v>
      </c>
    </row>
    <row r="60" spans="1:10" ht="11.25" customHeight="1" x14ac:dyDescent="0.2">
      <c r="A60" s="66">
        <v>44470</v>
      </c>
      <c r="B60" s="56">
        <v>10404.289999999999</v>
      </c>
      <c r="C60" s="56">
        <v>12709.119249738307</v>
      </c>
      <c r="D60" s="56">
        <v>0</v>
      </c>
      <c r="E60" s="56">
        <v>0</v>
      </c>
      <c r="F60" s="56">
        <v>0</v>
      </c>
      <c r="G60" s="56">
        <v>0</v>
      </c>
      <c r="H60" s="57">
        <v>0.22152681727809465</v>
      </c>
      <c r="I60" s="57">
        <v>0</v>
      </c>
      <c r="J60" s="57">
        <v>0.22152681727809465</v>
      </c>
    </row>
    <row r="61" spans="1:10" ht="11.25" customHeight="1" x14ac:dyDescent="0.2">
      <c r="A61" s="66">
        <v>44501</v>
      </c>
      <c r="B61" s="56">
        <v>10085.14</v>
      </c>
      <c r="C61" s="56">
        <v>12319.268966004003</v>
      </c>
      <c r="D61" s="56">
        <v>0</v>
      </c>
      <c r="E61" s="56">
        <v>0</v>
      </c>
      <c r="F61" s="56">
        <v>0</v>
      </c>
      <c r="G61" s="56">
        <v>0</v>
      </c>
      <c r="H61" s="57">
        <v>0.22152681727809465</v>
      </c>
      <c r="I61" s="57">
        <v>0</v>
      </c>
      <c r="J61" s="57">
        <v>0.22152681727809465</v>
      </c>
    </row>
    <row r="62" spans="1:10" ht="11.25" customHeight="1" x14ac:dyDescent="0.2">
      <c r="A62" s="66">
        <v>44531</v>
      </c>
      <c r="B62" s="56">
        <v>10659.61</v>
      </c>
      <c r="C62" s="56">
        <v>13020.99947672575</v>
      </c>
      <c r="D62" s="56">
        <v>0</v>
      </c>
      <c r="E62" s="56">
        <v>0</v>
      </c>
      <c r="F62" s="56">
        <v>0</v>
      </c>
      <c r="G62" s="56">
        <v>0</v>
      </c>
      <c r="H62" s="57">
        <v>0.22152681727809465</v>
      </c>
      <c r="I62" s="57">
        <v>0</v>
      </c>
      <c r="J62" s="57">
        <v>0.22152681727809465</v>
      </c>
    </row>
    <row r="63" spans="1:10" ht="11.25" customHeight="1" x14ac:dyDescent="0.2">
      <c r="A63" s="66">
        <v>44562</v>
      </c>
      <c r="B63" s="56">
        <v>11234.08</v>
      </c>
      <c r="C63" s="56">
        <v>13722.729987447497</v>
      </c>
      <c r="D63" s="56">
        <v>0</v>
      </c>
      <c r="E63" s="56">
        <v>0</v>
      </c>
      <c r="F63" s="56">
        <v>0</v>
      </c>
      <c r="G63" s="56">
        <v>0</v>
      </c>
      <c r="H63" s="57">
        <v>0.22152681727809465</v>
      </c>
      <c r="I63" s="57">
        <v>0</v>
      </c>
      <c r="J63" s="57">
        <v>0.22152681727809465</v>
      </c>
    </row>
    <row r="64" spans="1:10" ht="11.25" customHeight="1" x14ac:dyDescent="0.2">
      <c r="A64" s="66">
        <v>44593</v>
      </c>
      <c r="B64" s="56">
        <v>10723.44</v>
      </c>
      <c r="C64" s="56">
        <v>13098.969533472611</v>
      </c>
      <c r="D64" s="56">
        <v>0</v>
      </c>
      <c r="E64" s="56">
        <v>0</v>
      </c>
      <c r="F64" s="56">
        <v>0</v>
      </c>
      <c r="G64" s="56">
        <v>0</v>
      </c>
      <c r="H64" s="57">
        <v>0.22152681727809465</v>
      </c>
      <c r="I64" s="57">
        <v>0</v>
      </c>
      <c r="J64" s="57">
        <v>0.22152681727809465</v>
      </c>
    </row>
    <row r="65" spans="1:10" ht="11.25" customHeight="1" x14ac:dyDescent="0.2">
      <c r="A65" s="66">
        <v>44621</v>
      </c>
      <c r="B65" s="56">
        <v>10787.27</v>
      </c>
      <c r="C65" s="56">
        <v>13176.939590219472</v>
      </c>
      <c r="D65" s="56">
        <v>0</v>
      </c>
      <c r="E65" s="56">
        <v>0</v>
      </c>
      <c r="F65" s="56">
        <v>0</v>
      </c>
      <c r="G65" s="56">
        <v>0</v>
      </c>
      <c r="H65" s="57">
        <v>0.22152681727809465</v>
      </c>
      <c r="I65" s="57">
        <v>0</v>
      </c>
      <c r="J65" s="57">
        <v>0.22152681727809465</v>
      </c>
    </row>
    <row r="66" spans="1:10" ht="11.25" customHeight="1" x14ac:dyDescent="0.2">
      <c r="A66" s="65" t="s">
        <v>35</v>
      </c>
      <c r="B66" s="56">
        <v>0</v>
      </c>
      <c r="C66" s="56">
        <v>0</v>
      </c>
      <c r="D66" s="56">
        <v>172862.45577999999</v>
      </c>
      <c r="E66" s="56">
        <v>208667.82426759883</v>
      </c>
      <c r="F66" s="56">
        <v>9876.4030200000016</v>
      </c>
      <c r="G66" s="56">
        <v>11134.729343490164</v>
      </c>
      <c r="H66" s="57">
        <v>0.20713212898680511</v>
      </c>
      <c r="I66" s="57">
        <v>0.12740734870195314</v>
      </c>
      <c r="J66" s="57">
        <v>0.20282328046961084</v>
      </c>
    </row>
    <row r="67" spans="1:10" ht="11.25" customHeight="1" x14ac:dyDescent="0.2">
      <c r="A67" s="66">
        <v>44287</v>
      </c>
      <c r="B67" s="56">
        <v>0</v>
      </c>
      <c r="C67" s="56">
        <v>0</v>
      </c>
      <c r="D67" s="56">
        <v>11531.181759999999</v>
      </c>
      <c r="E67" s="56">
        <v>13919.659987682611</v>
      </c>
      <c r="F67" s="56">
        <v>658.82784000000004</v>
      </c>
      <c r="G67" s="56">
        <v>742.76734834543458</v>
      </c>
      <c r="H67" s="57">
        <v>0.20713212898680489</v>
      </c>
      <c r="I67" s="57">
        <v>0.12740734870195314</v>
      </c>
      <c r="J67" s="57">
        <v>0.20282328046961062</v>
      </c>
    </row>
    <row r="68" spans="1:10" ht="11.25" customHeight="1" x14ac:dyDescent="0.2">
      <c r="A68" s="66">
        <v>44317</v>
      </c>
      <c r="B68" s="56">
        <v>0</v>
      </c>
      <c r="C68" s="56">
        <v>0</v>
      </c>
      <c r="D68" s="56">
        <v>11393.52018</v>
      </c>
      <c r="E68" s="56">
        <v>13753.484271537525</v>
      </c>
      <c r="F68" s="56">
        <v>650.96262000000002</v>
      </c>
      <c r="G68" s="56">
        <v>733.90004151827713</v>
      </c>
      <c r="H68" s="57">
        <v>0.20713212898680511</v>
      </c>
      <c r="I68" s="57">
        <v>0.12740734870195336</v>
      </c>
      <c r="J68" s="57">
        <v>0.20282328046961062</v>
      </c>
    </row>
    <row r="69" spans="1:10" ht="11.25" customHeight="1" x14ac:dyDescent="0.2">
      <c r="A69" s="66">
        <v>44348</v>
      </c>
      <c r="B69" s="56">
        <v>0</v>
      </c>
      <c r="C69" s="56">
        <v>0</v>
      </c>
      <c r="D69" s="56">
        <v>11029.121880000001</v>
      </c>
      <c r="E69" s="56">
        <v>13313.607375859354</v>
      </c>
      <c r="F69" s="56">
        <v>630.14292000000012</v>
      </c>
      <c r="G69" s="56">
        <v>710.4277587405071</v>
      </c>
      <c r="H69" s="57">
        <v>0.20713212898680489</v>
      </c>
      <c r="I69" s="57">
        <v>0.12740734870195314</v>
      </c>
      <c r="J69" s="57">
        <v>0.20282328046961062</v>
      </c>
    </row>
    <row r="70" spans="1:10" ht="11.25" customHeight="1" x14ac:dyDescent="0.2">
      <c r="A70" s="66">
        <v>44378</v>
      </c>
      <c r="B70" s="56">
        <v>0</v>
      </c>
      <c r="C70" s="56">
        <v>0</v>
      </c>
      <c r="D70" s="56">
        <v>10968.38883</v>
      </c>
      <c r="E70" s="56">
        <v>13240.294559912991</v>
      </c>
      <c r="F70" s="56">
        <v>626.67297000000008</v>
      </c>
      <c r="G70" s="56">
        <v>706.51571161087872</v>
      </c>
      <c r="H70" s="57">
        <v>0.20713212898680489</v>
      </c>
      <c r="I70" s="57">
        <v>0.12740734870195314</v>
      </c>
      <c r="J70" s="57">
        <v>0.20282328046961084</v>
      </c>
    </row>
    <row r="71" spans="1:10" ht="11.25" customHeight="1" x14ac:dyDescent="0.2">
      <c r="A71" s="66">
        <v>44409</v>
      </c>
      <c r="B71" s="56">
        <v>0</v>
      </c>
      <c r="C71" s="56">
        <v>0</v>
      </c>
      <c r="D71" s="56">
        <v>11672.89221</v>
      </c>
      <c r="E71" s="56">
        <v>14090.723224890791</v>
      </c>
      <c r="F71" s="56">
        <v>666.92439000000002</v>
      </c>
      <c r="G71" s="56">
        <v>751.89545831456746</v>
      </c>
      <c r="H71" s="57">
        <v>0.20713212898680511</v>
      </c>
      <c r="I71" s="57">
        <v>0.12740734870195314</v>
      </c>
      <c r="J71" s="57">
        <v>0.20282328046961084</v>
      </c>
    </row>
    <row r="72" spans="1:10" ht="11.25" customHeight="1" x14ac:dyDescent="0.2">
      <c r="A72" s="66">
        <v>44440</v>
      </c>
      <c r="B72" s="56">
        <v>0</v>
      </c>
      <c r="C72" s="56">
        <v>0</v>
      </c>
      <c r="D72" s="56">
        <v>12174.952090000001</v>
      </c>
      <c r="E72" s="56">
        <v>14696.77583671405</v>
      </c>
      <c r="F72" s="56">
        <v>695.60931000000005</v>
      </c>
      <c r="G72" s="56">
        <v>784.23504791949517</v>
      </c>
      <c r="H72" s="57">
        <v>0.20713212898680489</v>
      </c>
      <c r="I72" s="57">
        <v>0.12740734870195336</v>
      </c>
      <c r="J72" s="57">
        <v>0.20282328046961062</v>
      </c>
    </row>
    <row r="73" spans="1:10" ht="11.25" customHeight="1" x14ac:dyDescent="0.2">
      <c r="A73" s="66">
        <v>44470</v>
      </c>
      <c r="B73" s="56">
        <v>0</v>
      </c>
      <c r="C73" s="56">
        <v>0</v>
      </c>
      <c r="D73" s="56">
        <v>10636.381489999998</v>
      </c>
      <c r="E73" s="56">
        <v>12839.517832739544</v>
      </c>
      <c r="F73" s="56">
        <v>607.70390999999995</v>
      </c>
      <c r="G73" s="56">
        <v>685.12985396891031</v>
      </c>
      <c r="H73" s="57">
        <v>0.20713212898680511</v>
      </c>
      <c r="I73" s="57">
        <v>0.12740734870195314</v>
      </c>
      <c r="J73" s="57">
        <v>0.20282328046961084</v>
      </c>
    </row>
    <row r="74" spans="1:10" ht="11.25" customHeight="1" x14ac:dyDescent="0.2">
      <c r="A74" s="66">
        <v>44501</v>
      </c>
      <c r="B74" s="56">
        <v>0</v>
      </c>
      <c r="C74" s="56">
        <v>0</v>
      </c>
      <c r="D74" s="56">
        <v>16794.712759999999</v>
      </c>
      <c r="E74" s="56">
        <v>20273.437369700656</v>
      </c>
      <c r="F74" s="56">
        <v>959.55683999999997</v>
      </c>
      <c r="G74" s="56">
        <v>1081.8114329132243</v>
      </c>
      <c r="H74" s="57">
        <v>0.20713212898680489</v>
      </c>
      <c r="I74" s="57">
        <v>0.12740734870195314</v>
      </c>
      <c r="J74" s="57">
        <v>0.20282328046961062</v>
      </c>
    </row>
    <row r="75" spans="1:10" ht="11.25" customHeight="1" x14ac:dyDescent="0.2">
      <c r="A75" s="66">
        <v>44531</v>
      </c>
      <c r="B75" s="56">
        <v>0</v>
      </c>
      <c r="C75" s="56">
        <v>0</v>
      </c>
      <c r="D75" s="56">
        <v>20519.673159999998</v>
      </c>
      <c r="E75" s="56">
        <v>24769.9567477442</v>
      </c>
      <c r="F75" s="56">
        <v>1172.3804399999999</v>
      </c>
      <c r="G75" s="56">
        <v>1321.7503235304293</v>
      </c>
      <c r="H75" s="57">
        <v>0.20713212898680511</v>
      </c>
      <c r="I75" s="57">
        <v>0.12740734870195336</v>
      </c>
      <c r="J75" s="57">
        <v>0.20282328046961062</v>
      </c>
    </row>
    <row r="76" spans="1:10" ht="11.25" customHeight="1" x14ac:dyDescent="0.2">
      <c r="A76" s="66">
        <v>44562</v>
      </c>
      <c r="B76" s="56">
        <v>0</v>
      </c>
      <c r="C76" s="56">
        <v>0</v>
      </c>
      <c r="D76" s="56">
        <v>19697.752550000001</v>
      </c>
      <c r="E76" s="56">
        <v>23777.789971936767</v>
      </c>
      <c r="F76" s="56">
        <v>1125.4204500000001</v>
      </c>
      <c r="G76" s="56">
        <v>1268.8072857094592</v>
      </c>
      <c r="H76" s="57">
        <v>0.20713212898680489</v>
      </c>
      <c r="I76" s="57">
        <v>0.12740734870195314</v>
      </c>
      <c r="J76" s="57">
        <v>0.20282328046961062</v>
      </c>
    </row>
    <row r="77" spans="1:10" ht="11.25" customHeight="1" x14ac:dyDescent="0.2">
      <c r="A77" s="66">
        <v>44593</v>
      </c>
      <c r="B77" s="56">
        <v>0</v>
      </c>
      <c r="C77" s="56">
        <v>0</v>
      </c>
      <c r="D77" s="56">
        <v>19353.598600000001</v>
      </c>
      <c r="E77" s="56">
        <v>23362.350681574047</v>
      </c>
      <c r="F77" s="56">
        <v>1105.7574000000002</v>
      </c>
      <c r="G77" s="56">
        <v>1246.6390186415651</v>
      </c>
      <c r="H77" s="57">
        <v>0.20713212898680489</v>
      </c>
      <c r="I77" s="57">
        <v>0.12740734870195292</v>
      </c>
      <c r="J77" s="57">
        <v>0.20282328046961084</v>
      </c>
    </row>
    <row r="78" spans="1:10" ht="11.25" customHeight="1" x14ac:dyDescent="0.2">
      <c r="A78" s="66">
        <v>44621</v>
      </c>
      <c r="B78" s="56">
        <v>0</v>
      </c>
      <c r="C78" s="56">
        <v>0</v>
      </c>
      <c r="D78" s="56">
        <v>17090.280269999999</v>
      </c>
      <c r="E78" s="56">
        <v>20630.226407306287</v>
      </c>
      <c r="F78" s="56">
        <v>976.44393000000002</v>
      </c>
      <c r="G78" s="56">
        <v>1100.8500622774156</v>
      </c>
      <c r="H78" s="57">
        <v>0.20713212898680489</v>
      </c>
      <c r="I78" s="57">
        <v>0.12740734870195314</v>
      </c>
      <c r="J78" s="57">
        <v>0.20282328046961062</v>
      </c>
    </row>
    <row r="79" spans="1:10" ht="11.25" customHeight="1" x14ac:dyDescent="0.2">
      <c r="A79" s="61" t="s">
        <v>40</v>
      </c>
      <c r="B79" s="56">
        <v>753896.13</v>
      </c>
      <c r="C79" s="56">
        <v>920904.34023717255</v>
      </c>
      <c r="D79" s="56">
        <v>383788.09145999997</v>
      </c>
      <c r="E79" s="56">
        <v>486185.50260832295</v>
      </c>
      <c r="F79" s="56">
        <v>567192.01242000004</v>
      </c>
      <c r="G79" s="56">
        <v>639456.44292735751</v>
      </c>
      <c r="H79" s="57">
        <v>0.23680175597387221</v>
      </c>
      <c r="I79" s="57">
        <v>0.12740734870195314</v>
      </c>
      <c r="J79" s="57">
        <v>0.20040753991582827</v>
      </c>
    </row>
    <row r="80" spans="1:10" ht="11.25" customHeight="1" x14ac:dyDescent="0.2">
      <c r="A80" s="62" t="s">
        <v>25</v>
      </c>
      <c r="B80" s="56">
        <v>753896.13</v>
      </c>
      <c r="C80" s="56">
        <v>920904.34023717255</v>
      </c>
      <c r="D80" s="56">
        <v>383788.09145999997</v>
      </c>
      <c r="E80" s="56">
        <v>486185.50260832295</v>
      </c>
      <c r="F80" s="56">
        <v>567192.01242000004</v>
      </c>
      <c r="G80" s="56">
        <v>639456.44292735751</v>
      </c>
      <c r="H80" s="57">
        <v>0.23680175597387221</v>
      </c>
      <c r="I80" s="57">
        <v>0.12740734870195314</v>
      </c>
      <c r="J80" s="57">
        <v>0.20040753991582827</v>
      </c>
    </row>
    <row r="81" spans="1:10" ht="11.25" customHeight="1" x14ac:dyDescent="0.2">
      <c r="A81" s="63" t="s">
        <v>25</v>
      </c>
      <c r="B81" s="56">
        <v>753896.13</v>
      </c>
      <c r="C81" s="56">
        <v>920904.34023717255</v>
      </c>
      <c r="D81" s="56">
        <v>383788.09145999997</v>
      </c>
      <c r="E81" s="56">
        <v>486185.50260832295</v>
      </c>
      <c r="F81" s="56">
        <v>567192.01242000004</v>
      </c>
      <c r="G81" s="56">
        <v>639456.44292735751</v>
      </c>
      <c r="H81" s="57">
        <v>0.23680175597387221</v>
      </c>
      <c r="I81" s="57">
        <v>0.12740734870195314</v>
      </c>
      <c r="J81" s="57">
        <v>0.20040753991582827</v>
      </c>
    </row>
    <row r="82" spans="1:10" ht="11.25" customHeight="1" x14ac:dyDescent="0.2">
      <c r="A82" s="64" t="s">
        <v>25</v>
      </c>
      <c r="B82" s="56">
        <v>753896.13</v>
      </c>
      <c r="C82" s="56">
        <v>920904.34023717255</v>
      </c>
      <c r="D82" s="56">
        <v>383788.09145999997</v>
      </c>
      <c r="E82" s="56">
        <v>486185.50260832295</v>
      </c>
      <c r="F82" s="56">
        <v>567192.01242000004</v>
      </c>
      <c r="G82" s="56">
        <v>639456.44292735751</v>
      </c>
      <c r="H82" s="57">
        <v>0.23680175597387221</v>
      </c>
      <c r="I82" s="57">
        <v>0.12740734870195314</v>
      </c>
      <c r="J82" s="57">
        <v>0.20040753991582827</v>
      </c>
    </row>
    <row r="83" spans="1:10" ht="11.25" customHeight="1" x14ac:dyDescent="0.2">
      <c r="A83" s="65" t="s">
        <v>36</v>
      </c>
      <c r="B83" s="56">
        <v>0</v>
      </c>
      <c r="C83" s="56">
        <v>0</v>
      </c>
      <c r="D83" s="56">
        <v>249762.39671999996</v>
      </c>
      <c r="E83" s="56">
        <v>324398.78037789103</v>
      </c>
      <c r="F83" s="56">
        <v>559534.52676000004</v>
      </c>
      <c r="G83" s="56">
        <v>630823.33732169366</v>
      </c>
      <c r="H83" s="57">
        <v>0.29882954615287161</v>
      </c>
      <c r="I83" s="57">
        <v>0.12740734870195314</v>
      </c>
      <c r="J83" s="57">
        <v>0.1803110699990087</v>
      </c>
    </row>
    <row r="84" spans="1:10" ht="11.25" customHeight="1" x14ac:dyDescent="0.2">
      <c r="A84" s="66">
        <v>44287</v>
      </c>
      <c r="B84" s="56">
        <v>0</v>
      </c>
      <c r="C84" s="56">
        <v>0</v>
      </c>
      <c r="D84" s="56">
        <v>24346.436280000002</v>
      </c>
      <c r="E84" s="56">
        <v>31621.870783992206</v>
      </c>
      <c r="F84" s="56">
        <v>54542.524740000001</v>
      </c>
      <c r="G84" s="56">
        <v>61491.643208634086</v>
      </c>
      <c r="H84" s="57">
        <v>0.29882954615287138</v>
      </c>
      <c r="I84" s="57">
        <v>0.12740734870195314</v>
      </c>
      <c r="J84" s="57">
        <v>0.1803110699990087</v>
      </c>
    </row>
    <row r="85" spans="1:10" ht="11.25" customHeight="1" x14ac:dyDescent="0.2">
      <c r="A85" s="66">
        <v>44317</v>
      </c>
      <c r="B85" s="56">
        <v>0</v>
      </c>
      <c r="C85" s="56">
        <v>0</v>
      </c>
      <c r="D85" s="56">
        <v>16446.426719999999</v>
      </c>
      <c r="E85" s="56">
        <v>21361.10495257406</v>
      </c>
      <c r="F85" s="56">
        <v>36844.391759999999</v>
      </c>
      <c r="G85" s="56">
        <v>41538.638028677691</v>
      </c>
      <c r="H85" s="57">
        <v>0.29882954615287161</v>
      </c>
      <c r="I85" s="57">
        <v>0.12740734870195314</v>
      </c>
      <c r="J85" s="57">
        <v>0.1803110699990087</v>
      </c>
    </row>
    <row r="86" spans="1:10" ht="11.25" customHeight="1" x14ac:dyDescent="0.2">
      <c r="A86" s="66">
        <v>44348</v>
      </c>
      <c r="B86" s="56">
        <v>0</v>
      </c>
      <c r="C86" s="56">
        <v>0</v>
      </c>
      <c r="D86" s="56">
        <v>19387.065000000002</v>
      </c>
      <c r="E86" s="56">
        <v>25180.492835186222</v>
      </c>
      <c r="F86" s="56">
        <v>43432.207500000004</v>
      </c>
      <c r="G86" s="56">
        <v>48965.789905848091</v>
      </c>
      <c r="H86" s="57">
        <v>0.29882954615287138</v>
      </c>
      <c r="I86" s="57">
        <v>0.12740734870195314</v>
      </c>
      <c r="J86" s="57">
        <v>0.1803110699990087</v>
      </c>
    </row>
    <row r="87" spans="1:10" ht="11.25" customHeight="1" x14ac:dyDescent="0.2">
      <c r="A87" s="66">
        <v>44378</v>
      </c>
      <c r="B87" s="56">
        <v>0</v>
      </c>
      <c r="C87" s="56">
        <v>0</v>
      </c>
      <c r="D87" s="56">
        <v>18215.786820000001</v>
      </c>
      <c r="E87" s="56">
        <v>23659.202128238059</v>
      </c>
      <c r="F87" s="56">
        <v>40808.231310000003</v>
      </c>
      <c r="G87" s="56">
        <v>46007.499866423139</v>
      </c>
      <c r="H87" s="57">
        <v>0.29882954615287138</v>
      </c>
      <c r="I87" s="57">
        <v>0.12740734870195314</v>
      </c>
      <c r="J87" s="57">
        <v>0.1803110699990087</v>
      </c>
    </row>
    <row r="88" spans="1:10" ht="11.25" customHeight="1" x14ac:dyDescent="0.2">
      <c r="A88" s="66">
        <v>44409</v>
      </c>
      <c r="B88" s="56">
        <v>0</v>
      </c>
      <c r="C88" s="56">
        <v>0</v>
      </c>
      <c r="D88" s="56">
        <v>20685.352980000003</v>
      </c>
      <c r="E88" s="56">
        <v>26866.747623025349</v>
      </c>
      <c r="F88" s="56">
        <v>46340.719590000001</v>
      </c>
      <c r="G88" s="56">
        <v>52244.867809902571</v>
      </c>
      <c r="H88" s="57">
        <v>0.29882954615287138</v>
      </c>
      <c r="I88" s="57">
        <v>0.12740734870195336</v>
      </c>
      <c r="J88" s="57">
        <v>0.18031106999900892</v>
      </c>
    </row>
    <row r="89" spans="1:10" ht="11.25" customHeight="1" x14ac:dyDescent="0.2">
      <c r="A89" s="66">
        <v>44440</v>
      </c>
      <c r="B89" s="56">
        <v>0</v>
      </c>
      <c r="C89" s="56">
        <v>0</v>
      </c>
      <c r="D89" s="56">
        <v>21305.222760000001</v>
      </c>
      <c r="E89" s="56">
        <v>27671.852808056628</v>
      </c>
      <c r="F89" s="56">
        <v>47729.393580000004</v>
      </c>
      <c r="G89" s="56">
        <v>53810.469071179825</v>
      </c>
      <c r="H89" s="57">
        <v>0.29882954615287138</v>
      </c>
      <c r="I89" s="57">
        <v>0.12740734870195314</v>
      </c>
      <c r="J89" s="57">
        <v>0.18031106999900848</v>
      </c>
    </row>
    <row r="90" spans="1:10" ht="11.25" customHeight="1" x14ac:dyDescent="0.2">
      <c r="A90" s="66">
        <v>44470</v>
      </c>
      <c r="B90" s="56">
        <v>0</v>
      </c>
      <c r="C90" s="56">
        <v>0</v>
      </c>
      <c r="D90" s="56">
        <v>19992.89142</v>
      </c>
      <c r="E90" s="56">
        <v>25967.358089322239</v>
      </c>
      <c r="F90" s="56">
        <v>44789.420610000001</v>
      </c>
      <c r="G90" s="56">
        <v>50495.921939816719</v>
      </c>
      <c r="H90" s="57">
        <v>0.29882954615287161</v>
      </c>
      <c r="I90" s="57">
        <v>0.12740734870195314</v>
      </c>
      <c r="J90" s="57">
        <v>0.1803110699990087</v>
      </c>
    </row>
    <row r="91" spans="1:10" ht="11.25" customHeight="1" x14ac:dyDescent="0.2">
      <c r="A91" s="66">
        <v>44501</v>
      </c>
      <c r="B91" s="56">
        <v>0</v>
      </c>
      <c r="C91" s="56">
        <v>0</v>
      </c>
      <c r="D91" s="56">
        <v>20236.275239999999</v>
      </c>
      <c r="E91" s="56">
        <v>26283.472185793791</v>
      </c>
      <c r="F91" s="56">
        <v>45334.665419999998</v>
      </c>
      <c r="G91" s="56">
        <v>51110.634945452315</v>
      </c>
      <c r="H91" s="57">
        <v>0.29882954615287161</v>
      </c>
      <c r="I91" s="57">
        <v>0.12740734870195314</v>
      </c>
      <c r="J91" s="57">
        <v>0.1803110699990087</v>
      </c>
    </row>
    <row r="92" spans="1:10" ht="11.25" customHeight="1" x14ac:dyDescent="0.2">
      <c r="A92" s="66">
        <v>44531</v>
      </c>
      <c r="B92" s="56">
        <v>0</v>
      </c>
      <c r="C92" s="56">
        <v>0</v>
      </c>
      <c r="D92" s="56">
        <v>22175.291520000002</v>
      </c>
      <c r="E92" s="56">
        <v>28801.923820729222</v>
      </c>
      <c r="F92" s="56">
        <v>49678.580160000005</v>
      </c>
      <c r="G92" s="56">
        <v>56007.996345463056</v>
      </c>
      <c r="H92" s="57">
        <v>0.29882954615287138</v>
      </c>
      <c r="I92" s="57">
        <v>0.12740734870195314</v>
      </c>
      <c r="J92" s="57">
        <v>0.1803110699990087</v>
      </c>
    </row>
    <row r="93" spans="1:10" ht="11.25" customHeight="1" x14ac:dyDescent="0.2">
      <c r="A93" s="66">
        <v>44562</v>
      </c>
      <c r="B93" s="56">
        <v>0</v>
      </c>
      <c r="C93" s="56">
        <v>0</v>
      </c>
      <c r="D93" s="56">
        <v>21980.336640000001</v>
      </c>
      <c r="E93" s="56">
        <v>28548.710662418533</v>
      </c>
      <c r="F93" s="56">
        <v>49241.829120000002</v>
      </c>
      <c r="G93" s="56">
        <v>55515.600013413838</v>
      </c>
      <c r="H93" s="57">
        <v>0.29882954615287138</v>
      </c>
      <c r="I93" s="57">
        <v>0.12740734870195314</v>
      </c>
      <c r="J93" s="57">
        <v>0.1803110699990087</v>
      </c>
    </row>
    <row r="94" spans="1:10" ht="11.25" customHeight="1" x14ac:dyDescent="0.2">
      <c r="A94" s="66">
        <v>44593</v>
      </c>
      <c r="B94" s="56">
        <v>0</v>
      </c>
      <c r="C94" s="56">
        <v>0</v>
      </c>
      <c r="D94" s="56">
        <v>21319.5759</v>
      </c>
      <c r="E94" s="56">
        <v>27690.495090368699</v>
      </c>
      <c r="F94" s="56">
        <v>47761.548450000002</v>
      </c>
      <c r="G94" s="56">
        <v>53846.720707914385</v>
      </c>
      <c r="H94" s="57">
        <v>0.29882954615287161</v>
      </c>
      <c r="I94" s="57">
        <v>0.12740734870195314</v>
      </c>
      <c r="J94" s="57">
        <v>0.18031106999900892</v>
      </c>
    </row>
    <row r="95" spans="1:10" ht="11.25" customHeight="1" x14ac:dyDescent="0.2">
      <c r="A95" s="66">
        <v>44621</v>
      </c>
      <c r="B95" s="56">
        <v>0</v>
      </c>
      <c r="C95" s="56">
        <v>0</v>
      </c>
      <c r="D95" s="56">
        <v>23671.73544</v>
      </c>
      <c r="E95" s="56">
        <v>30745.549398186045</v>
      </c>
      <c r="F95" s="56">
        <v>53031.014520000004</v>
      </c>
      <c r="G95" s="56">
        <v>59787.555478967988</v>
      </c>
      <c r="H95" s="57">
        <v>0.29882954615287161</v>
      </c>
      <c r="I95" s="57">
        <v>0.12740734870195314</v>
      </c>
      <c r="J95" s="57">
        <v>0.18031106999900892</v>
      </c>
    </row>
    <row r="96" spans="1:10" ht="11.25" customHeight="1" x14ac:dyDescent="0.2">
      <c r="A96" s="65" t="s">
        <v>25</v>
      </c>
      <c r="B96" s="56">
        <v>753896.13</v>
      </c>
      <c r="C96" s="56">
        <v>920904.34023717255</v>
      </c>
      <c r="D96" s="56">
        <v>0</v>
      </c>
      <c r="E96" s="56">
        <v>0</v>
      </c>
      <c r="F96" s="56">
        <v>0</v>
      </c>
      <c r="G96" s="56">
        <v>0</v>
      </c>
      <c r="H96" s="57">
        <v>0.22152681727809442</v>
      </c>
      <c r="I96" s="57">
        <v>0</v>
      </c>
      <c r="J96" s="57">
        <v>0.22152681727809442</v>
      </c>
    </row>
    <row r="97" spans="1:10" ht="11.25" customHeight="1" x14ac:dyDescent="0.2">
      <c r="A97" s="66">
        <v>44287</v>
      </c>
      <c r="B97" s="56">
        <v>60255.519999999997</v>
      </c>
      <c r="C97" s="56">
        <v>73603.733569036573</v>
      </c>
      <c r="D97" s="56">
        <v>0</v>
      </c>
      <c r="E97" s="56">
        <v>0</v>
      </c>
      <c r="F97" s="56">
        <v>0</v>
      </c>
      <c r="G97" s="56">
        <v>0</v>
      </c>
      <c r="H97" s="57">
        <v>0.22152681727809465</v>
      </c>
      <c r="I97" s="57">
        <v>0</v>
      </c>
      <c r="J97" s="57">
        <v>0.22152681727809465</v>
      </c>
    </row>
    <row r="98" spans="1:10" ht="11.25" customHeight="1" x14ac:dyDescent="0.2">
      <c r="A98" s="66">
        <v>44317</v>
      </c>
      <c r="B98" s="56">
        <v>60064.03</v>
      </c>
      <c r="C98" s="56">
        <v>73369.823398795997</v>
      </c>
      <c r="D98" s="56">
        <v>0</v>
      </c>
      <c r="E98" s="56">
        <v>0</v>
      </c>
      <c r="F98" s="56">
        <v>0</v>
      </c>
      <c r="G98" s="56">
        <v>0</v>
      </c>
      <c r="H98" s="57">
        <v>0.22152681727809465</v>
      </c>
      <c r="I98" s="57">
        <v>0</v>
      </c>
      <c r="J98" s="57">
        <v>0.22152681727809465</v>
      </c>
    </row>
    <row r="99" spans="1:10" ht="11.25" customHeight="1" x14ac:dyDescent="0.2">
      <c r="A99" s="66">
        <v>44348</v>
      </c>
      <c r="B99" s="56">
        <v>59553.39</v>
      </c>
      <c r="C99" s="56">
        <v>72746.062944821111</v>
      </c>
      <c r="D99" s="56">
        <v>0</v>
      </c>
      <c r="E99" s="56">
        <v>0</v>
      </c>
      <c r="F99" s="56">
        <v>0</v>
      </c>
      <c r="G99" s="56">
        <v>0</v>
      </c>
      <c r="H99" s="57">
        <v>0.22152681727809465</v>
      </c>
      <c r="I99" s="57">
        <v>0</v>
      </c>
      <c r="J99" s="57">
        <v>0.22152681727809465</v>
      </c>
    </row>
    <row r="100" spans="1:10" ht="11.25" customHeight="1" x14ac:dyDescent="0.2">
      <c r="A100" s="66">
        <v>44378</v>
      </c>
      <c r="B100" s="56">
        <v>59681.049999999996</v>
      </c>
      <c r="C100" s="56">
        <v>72902.003058314833</v>
      </c>
      <c r="D100" s="56">
        <v>0</v>
      </c>
      <c r="E100" s="56">
        <v>0</v>
      </c>
      <c r="F100" s="56">
        <v>0</v>
      </c>
      <c r="G100" s="56">
        <v>0</v>
      </c>
      <c r="H100" s="57">
        <v>0.22152681727809487</v>
      </c>
      <c r="I100" s="57">
        <v>0</v>
      </c>
      <c r="J100" s="57">
        <v>0.22152681727809487</v>
      </c>
    </row>
    <row r="101" spans="1:10" ht="11.25" customHeight="1" x14ac:dyDescent="0.2">
      <c r="A101" s="66">
        <v>44409</v>
      </c>
      <c r="B101" s="56">
        <v>70276.83</v>
      </c>
      <c r="C101" s="56">
        <v>85845.03247829371</v>
      </c>
      <c r="D101" s="56">
        <v>0</v>
      </c>
      <c r="E101" s="56">
        <v>0</v>
      </c>
      <c r="F101" s="56">
        <v>0</v>
      </c>
      <c r="G101" s="56">
        <v>0</v>
      </c>
      <c r="H101" s="57">
        <v>0.22152681727809442</v>
      </c>
      <c r="I101" s="57">
        <v>0</v>
      </c>
      <c r="J101" s="57">
        <v>0.22152681727809442</v>
      </c>
    </row>
    <row r="102" spans="1:10" ht="11.25" customHeight="1" x14ac:dyDescent="0.2">
      <c r="A102" s="66">
        <v>44440</v>
      </c>
      <c r="B102" s="56">
        <v>63191.7</v>
      </c>
      <c r="C102" s="56">
        <v>77190.356179392169</v>
      </c>
      <c r="D102" s="56">
        <v>0</v>
      </c>
      <c r="E102" s="56">
        <v>0</v>
      </c>
      <c r="F102" s="56">
        <v>0</v>
      </c>
      <c r="G102" s="56">
        <v>0</v>
      </c>
      <c r="H102" s="57">
        <v>0.22152681727809465</v>
      </c>
      <c r="I102" s="57">
        <v>0</v>
      </c>
      <c r="J102" s="57">
        <v>0.22152681727809465</v>
      </c>
    </row>
    <row r="103" spans="1:10" ht="11.25" customHeight="1" x14ac:dyDescent="0.2">
      <c r="A103" s="66">
        <v>44470</v>
      </c>
      <c r="B103" s="56">
        <v>65617.240000000005</v>
      </c>
      <c r="C103" s="56">
        <v>80153.218335772879</v>
      </c>
      <c r="D103" s="56">
        <v>0</v>
      </c>
      <c r="E103" s="56">
        <v>0</v>
      </c>
      <c r="F103" s="56">
        <v>0</v>
      </c>
      <c r="G103" s="56">
        <v>0</v>
      </c>
      <c r="H103" s="57">
        <v>0.22152681727809442</v>
      </c>
      <c r="I103" s="57">
        <v>0</v>
      </c>
      <c r="J103" s="57">
        <v>0.22152681727809442</v>
      </c>
    </row>
    <row r="104" spans="1:10" ht="11.25" customHeight="1" x14ac:dyDescent="0.2">
      <c r="A104" s="66">
        <v>44501</v>
      </c>
      <c r="B104" s="56">
        <v>64532.13</v>
      </c>
      <c r="C104" s="56">
        <v>78827.727371076253</v>
      </c>
      <c r="D104" s="56">
        <v>0</v>
      </c>
      <c r="E104" s="56">
        <v>0</v>
      </c>
      <c r="F104" s="56">
        <v>0</v>
      </c>
      <c r="G104" s="56">
        <v>0</v>
      </c>
      <c r="H104" s="57">
        <v>0.22152681727809465</v>
      </c>
      <c r="I104" s="57">
        <v>0</v>
      </c>
      <c r="J104" s="57">
        <v>0.22152681727809465</v>
      </c>
    </row>
    <row r="105" spans="1:10" ht="11.25" customHeight="1" x14ac:dyDescent="0.2">
      <c r="A105" s="66">
        <v>44531</v>
      </c>
      <c r="B105" s="56">
        <v>63447.02</v>
      </c>
      <c r="C105" s="56">
        <v>77502.236406379612</v>
      </c>
      <c r="D105" s="56">
        <v>0</v>
      </c>
      <c r="E105" s="56">
        <v>0</v>
      </c>
      <c r="F105" s="56">
        <v>0</v>
      </c>
      <c r="G105" s="56">
        <v>0</v>
      </c>
      <c r="H105" s="57">
        <v>0.22152681727809465</v>
      </c>
      <c r="I105" s="57">
        <v>0</v>
      </c>
      <c r="J105" s="57">
        <v>0.22152681727809465</v>
      </c>
    </row>
    <row r="106" spans="1:10" ht="11.25" customHeight="1" x14ac:dyDescent="0.2">
      <c r="A106" s="66">
        <v>44562</v>
      </c>
      <c r="B106" s="56">
        <v>63319.360000000001</v>
      </c>
      <c r="C106" s="56">
        <v>77346.296292885891</v>
      </c>
      <c r="D106" s="56">
        <v>0</v>
      </c>
      <c r="E106" s="56">
        <v>0</v>
      </c>
      <c r="F106" s="56">
        <v>0</v>
      </c>
      <c r="G106" s="56">
        <v>0</v>
      </c>
      <c r="H106" s="57">
        <v>0.22152681727809465</v>
      </c>
      <c r="I106" s="57">
        <v>0</v>
      </c>
      <c r="J106" s="57">
        <v>0.22152681727809465</v>
      </c>
    </row>
    <row r="107" spans="1:10" ht="11.25" customHeight="1" x14ac:dyDescent="0.2">
      <c r="A107" s="66">
        <v>44593</v>
      </c>
      <c r="B107" s="56">
        <v>61659.78</v>
      </c>
      <c r="C107" s="56">
        <v>75319.07481746751</v>
      </c>
      <c r="D107" s="56">
        <v>0</v>
      </c>
      <c r="E107" s="56">
        <v>0</v>
      </c>
      <c r="F107" s="56">
        <v>0</v>
      </c>
      <c r="G107" s="56">
        <v>0</v>
      </c>
      <c r="H107" s="57">
        <v>0.22152681727809465</v>
      </c>
      <c r="I107" s="57">
        <v>0</v>
      </c>
      <c r="J107" s="57">
        <v>0.22152681727809465</v>
      </c>
    </row>
    <row r="108" spans="1:10" ht="11.25" customHeight="1" x14ac:dyDescent="0.2">
      <c r="A108" s="66">
        <v>44621</v>
      </c>
      <c r="B108" s="56">
        <v>62298.080000000002</v>
      </c>
      <c r="C108" s="56">
        <v>76098.775384936118</v>
      </c>
      <c r="D108" s="56">
        <v>0</v>
      </c>
      <c r="E108" s="56">
        <v>0</v>
      </c>
      <c r="F108" s="56">
        <v>0</v>
      </c>
      <c r="G108" s="56">
        <v>0</v>
      </c>
      <c r="H108" s="57">
        <v>0.22152681727809465</v>
      </c>
      <c r="I108" s="57">
        <v>0</v>
      </c>
      <c r="J108" s="57">
        <v>0.22152681727809465</v>
      </c>
    </row>
    <row r="109" spans="1:10" ht="11.25" customHeight="1" x14ac:dyDescent="0.2">
      <c r="A109" s="65" t="s">
        <v>35</v>
      </c>
      <c r="B109" s="56">
        <v>0</v>
      </c>
      <c r="C109" s="56">
        <v>0</v>
      </c>
      <c r="D109" s="56">
        <v>134025.69473999998</v>
      </c>
      <c r="E109" s="56">
        <v>161786.72223043183</v>
      </c>
      <c r="F109" s="56">
        <v>7657.4856600000003</v>
      </c>
      <c r="G109" s="56">
        <v>8633.1056056638263</v>
      </c>
      <c r="H109" s="57">
        <v>0.20713212898680511</v>
      </c>
      <c r="I109" s="57">
        <v>0.12740734870195314</v>
      </c>
      <c r="J109" s="57">
        <v>0.20282328046961084</v>
      </c>
    </row>
    <row r="110" spans="1:10" ht="11.25" customHeight="1" x14ac:dyDescent="0.2">
      <c r="A110" s="66">
        <v>44287</v>
      </c>
      <c r="B110" s="56">
        <v>0</v>
      </c>
      <c r="C110" s="56">
        <v>0</v>
      </c>
      <c r="D110" s="56">
        <v>13668.985119999999</v>
      </c>
      <c r="E110" s="56">
        <v>16500.271108994559</v>
      </c>
      <c r="F110" s="56">
        <v>780.97008000000005</v>
      </c>
      <c r="G110" s="56">
        <v>880.47140730835224</v>
      </c>
      <c r="H110" s="57">
        <v>0.20713212898680511</v>
      </c>
      <c r="I110" s="57">
        <v>0.12740734870195314</v>
      </c>
      <c r="J110" s="57">
        <v>0.20282328046961084</v>
      </c>
    </row>
    <row r="111" spans="1:10" ht="11.25" customHeight="1" x14ac:dyDescent="0.2">
      <c r="A111" s="66">
        <v>44317</v>
      </c>
      <c r="B111" s="56">
        <v>0</v>
      </c>
      <c r="C111" s="56">
        <v>0</v>
      </c>
      <c r="D111" s="56">
        <v>9316.4498700000004</v>
      </c>
      <c r="E111" s="56">
        <v>11246.185966171943</v>
      </c>
      <c r="F111" s="56">
        <v>532.29033000000004</v>
      </c>
      <c r="G111" s="56">
        <v>600.10802968498786</v>
      </c>
      <c r="H111" s="57">
        <v>0.20713212898680489</v>
      </c>
      <c r="I111" s="57">
        <v>0.12740734870195336</v>
      </c>
      <c r="J111" s="57">
        <v>0.20282328046961084</v>
      </c>
    </row>
    <row r="112" spans="1:10" ht="11.25" customHeight="1" x14ac:dyDescent="0.2">
      <c r="A112" s="66">
        <v>44348</v>
      </c>
      <c r="B112" s="56">
        <v>0</v>
      </c>
      <c r="C112" s="56">
        <v>0</v>
      </c>
      <c r="D112" s="56">
        <v>7255.5750399999997</v>
      </c>
      <c r="E112" s="56">
        <v>8758.4377450587235</v>
      </c>
      <c r="F112" s="56">
        <v>414.54336000000001</v>
      </c>
      <c r="G112" s="56">
        <v>467.35923041959933</v>
      </c>
      <c r="H112" s="57">
        <v>0.20713212898680511</v>
      </c>
      <c r="I112" s="57">
        <v>0.12740734870195314</v>
      </c>
      <c r="J112" s="57">
        <v>0.20282328046961084</v>
      </c>
    </row>
    <row r="113" spans="1:10" ht="11.25" customHeight="1" x14ac:dyDescent="0.2">
      <c r="A113" s="66">
        <v>44378</v>
      </c>
      <c r="B113" s="56">
        <v>0</v>
      </c>
      <c r="C113" s="56">
        <v>0</v>
      </c>
      <c r="D113" s="56">
        <v>6595.60923</v>
      </c>
      <c r="E113" s="56">
        <v>7961.7718117749209</v>
      </c>
      <c r="F113" s="56">
        <v>376.83656999999999</v>
      </c>
      <c r="G113" s="56">
        <v>424.84831827763799</v>
      </c>
      <c r="H113" s="57">
        <v>0.20713212898680489</v>
      </c>
      <c r="I113" s="57">
        <v>0.12740734870195314</v>
      </c>
      <c r="J113" s="57">
        <v>0.20282328046961062</v>
      </c>
    </row>
    <row r="114" spans="1:10" ht="11.25" customHeight="1" x14ac:dyDescent="0.2">
      <c r="A114" s="66">
        <v>44409</v>
      </c>
      <c r="B114" s="56">
        <v>0</v>
      </c>
      <c r="C114" s="56">
        <v>0</v>
      </c>
      <c r="D114" s="56">
        <v>10166.71257</v>
      </c>
      <c r="E114" s="56">
        <v>12272.565389421012</v>
      </c>
      <c r="F114" s="56">
        <v>580.86963000000003</v>
      </c>
      <c r="G114" s="56">
        <v>654.87668949978456</v>
      </c>
      <c r="H114" s="57">
        <v>0.20713212898680511</v>
      </c>
      <c r="I114" s="57">
        <v>0.12740734870195314</v>
      </c>
      <c r="J114" s="57">
        <v>0.20282328046961084</v>
      </c>
    </row>
    <row r="115" spans="1:10" ht="11.25" customHeight="1" x14ac:dyDescent="0.2">
      <c r="A115" s="66">
        <v>44440</v>
      </c>
      <c r="B115" s="56">
        <v>0</v>
      </c>
      <c r="C115" s="56">
        <v>0</v>
      </c>
      <c r="D115" s="56">
        <v>11446.155489999999</v>
      </c>
      <c r="E115" s="56">
        <v>13817.022045357706</v>
      </c>
      <c r="F115" s="56">
        <v>653.96991000000003</v>
      </c>
      <c r="G115" s="56">
        <v>737.29048236395499</v>
      </c>
      <c r="H115" s="57">
        <v>0.20713212898680511</v>
      </c>
      <c r="I115" s="57">
        <v>0.12740734870195314</v>
      </c>
      <c r="J115" s="57">
        <v>0.20282328046961084</v>
      </c>
    </row>
    <row r="116" spans="1:10" ht="11.25" customHeight="1" x14ac:dyDescent="0.2">
      <c r="A116" s="66">
        <v>44470</v>
      </c>
      <c r="B116" s="56">
        <v>0</v>
      </c>
      <c r="C116" s="56">
        <v>0</v>
      </c>
      <c r="D116" s="56">
        <v>7275.8193899999997</v>
      </c>
      <c r="E116" s="56">
        <v>8782.8753503741755</v>
      </c>
      <c r="F116" s="56">
        <v>415.70001000000002</v>
      </c>
      <c r="G116" s="56">
        <v>468.66324612947545</v>
      </c>
      <c r="H116" s="57">
        <v>0.20713212898680489</v>
      </c>
      <c r="I116" s="57">
        <v>0.12740734870195314</v>
      </c>
      <c r="J116" s="57">
        <v>0.20282328046961084</v>
      </c>
    </row>
    <row r="117" spans="1:10" ht="11.25" customHeight="1" x14ac:dyDescent="0.2">
      <c r="A117" s="66">
        <v>44501</v>
      </c>
      <c r="B117" s="56">
        <v>0</v>
      </c>
      <c r="C117" s="56">
        <v>0</v>
      </c>
      <c r="D117" s="56">
        <v>9652.5060799999992</v>
      </c>
      <c r="E117" s="56">
        <v>11651.850214408478</v>
      </c>
      <c r="F117" s="56">
        <v>551.49072000000001</v>
      </c>
      <c r="G117" s="56">
        <v>621.75469046893124</v>
      </c>
      <c r="H117" s="57">
        <v>0.20713212898680489</v>
      </c>
      <c r="I117" s="57">
        <v>0.12740734870195314</v>
      </c>
      <c r="J117" s="57">
        <v>0.20282328046961084</v>
      </c>
    </row>
    <row r="118" spans="1:10" ht="11.25" customHeight="1" x14ac:dyDescent="0.2">
      <c r="A118" s="66">
        <v>44531</v>
      </c>
      <c r="B118" s="56">
        <v>0</v>
      </c>
      <c r="C118" s="56">
        <v>0</v>
      </c>
      <c r="D118" s="56">
        <v>13911.917319999999</v>
      </c>
      <c r="E118" s="56">
        <v>16793.522372780004</v>
      </c>
      <c r="F118" s="56">
        <v>794.84987999999998</v>
      </c>
      <c r="G118" s="56">
        <v>896.11959582686563</v>
      </c>
      <c r="H118" s="57">
        <v>0.20713212898680489</v>
      </c>
      <c r="I118" s="57">
        <v>0.12740734870195314</v>
      </c>
      <c r="J118" s="57">
        <v>0.20282328046961062</v>
      </c>
    </row>
    <row r="119" spans="1:10" ht="11.25" customHeight="1" x14ac:dyDescent="0.2">
      <c r="A119" s="66">
        <v>44562</v>
      </c>
      <c r="B119" s="56">
        <v>0</v>
      </c>
      <c r="C119" s="56">
        <v>0</v>
      </c>
      <c r="D119" s="56">
        <v>16555.829430000002</v>
      </c>
      <c r="E119" s="56">
        <v>19985.073626978305</v>
      </c>
      <c r="F119" s="56">
        <v>945.9083700000001</v>
      </c>
      <c r="G119" s="56">
        <v>1066.4240475366862</v>
      </c>
      <c r="H119" s="57">
        <v>0.20713212898680511</v>
      </c>
      <c r="I119" s="57">
        <v>0.12740734870195314</v>
      </c>
      <c r="J119" s="57">
        <v>0.20282328046961062</v>
      </c>
    </row>
    <row r="120" spans="1:10" ht="11.25" customHeight="1" x14ac:dyDescent="0.2">
      <c r="A120" s="66">
        <v>44593</v>
      </c>
      <c r="B120" s="56">
        <v>0</v>
      </c>
      <c r="C120" s="56">
        <v>0</v>
      </c>
      <c r="D120" s="56">
        <v>13632.54529</v>
      </c>
      <c r="E120" s="56">
        <v>16456.283419426742</v>
      </c>
      <c r="F120" s="56">
        <v>778.8881100000001</v>
      </c>
      <c r="G120" s="56">
        <v>878.12417903057531</v>
      </c>
      <c r="H120" s="57">
        <v>0.20713212898680511</v>
      </c>
      <c r="I120" s="57">
        <v>0.12740734870195314</v>
      </c>
      <c r="J120" s="57">
        <v>0.20282328046961084</v>
      </c>
    </row>
    <row r="121" spans="1:10" ht="11.25" customHeight="1" x14ac:dyDescent="0.2">
      <c r="A121" s="66">
        <v>44621</v>
      </c>
      <c r="B121" s="56">
        <v>0</v>
      </c>
      <c r="C121" s="56">
        <v>0</v>
      </c>
      <c r="D121" s="56">
        <v>14547.589909999999</v>
      </c>
      <c r="E121" s="56">
        <v>17560.863179685261</v>
      </c>
      <c r="F121" s="56">
        <v>831.16869000000008</v>
      </c>
      <c r="G121" s="56">
        <v>937.0656891169757</v>
      </c>
      <c r="H121" s="57">
        <v>0.20713212898680489</v>
      </c>
      <c r="I121" s="57">
        <v>0.12740734870195314</v>
      </c>
      <c r="J121" s="57">
        <v>0.20282328046961062</v>
      </c>
    </row>
    <row r="122" spans="1:10" ht="11.25" customHeight="1" x14ac:dyDescent="0.2">
      <c r="A122" s="61" t="s">
        <v>45</v>
      </c>
      <c r="B122" s="56">
        <v>184404.87</v>
      </c>
      <c r="C122" s="56">
        <v>225255.49394168082</v>
      </c>
      <c r="D122" s="56">
        <v>98224.40022000001</v>
      </c>
      <c r="E122" s="56">
        <v>121225.79277670794</v>
      </c>
      <c r="F122" s="56">
        <v>68845.19597999999</v>
      </c>
      <c r="G122" s="56">
        <v>77616.579870678193</v>
      </c>
      <c r="H122" s="57">
        <v>0.22592145692725341</v>
      </c>
      <c r="I122" s="57">
        <v>0.1274073487019538</v>
      </c>
      <c r="J122" s="57">
        <v>0.20662496816409415</v>
      </c>
    </row>
    <row r="123" spans="1:10" ht="11.25" customHeight="1" x14ac:dyDescent="0.2">
      <c r="A123" s="62" t="s">
        <v>25</v>
      </c>
      <c r="B123" s="56">
        <v>184404.87</v>
      </c>
      <c r="C123" s="56">
        <v>225255.49394168082</v>
      </c>
      <c r="D123" s="56">
        <v>98224.40022000001</v>
      </c>
      <c r="E123" s="56">
        <v>121225.79277670794</v>
      </c>
      <c r="F123" s="56">
        <v>68845.19597999999</v>
      </c>
      <c r="G123" s="56">
        <v>77616.579870678193</v>
      </c>
      <c r="H123" s="57">
        <v>0.22592145692725341</v>
      </c>
      <c r="I123" s="57">
        <v>0.1274073487019538</v>
      </c>
      <c r="J123" s="57">
        <v>0.20662496816409415</v>
      </c>
    </row>
    <row r="124" spans="1:10" ht="11.25" customHeight="1" x14ac:dyDescent="0.2">
      <c r="A124" s="63" t="s">
        <v>25</v>
      </c>
      <c r="B124" s="56">
        <v>184404.87</v>
      </c>
      <c r="C124" s="56">
        <v>225255.49394168082</v>
      </c>
      <c r="D124" s="56">
        <v>98224.40022000001</v>
      </c>
      <c r="E124" s="56">
        <v>121225.79277670794</v>
      </c>
      <c r="F124" s="56">
        <v>68845.19597999999</v>
      </c>
      <c r="G124" s="56">
        <v>77616.579870678193</v>
      </c>
      <c r="H124" s="57">
        <v>0.22592145692725341</v>
      </c>
      <c r="I124" s="57">
        <v>0.1274073487019538</v>
      </c>
      <c r="J124" s="57">
        <v>0.20662496816409415</v>
      </c>
    </row>
    <row r="125" spans="1:10" ht="11.25" customHeight="1" x14ac:dyDescent="0.2">
      <c r="A125" s="64" t="s">
        <v>25</v>
      </c>
      <c r="B125" s="56">
        <v>184404.87</v>
      </c>
      <c r="C125" s="56">
        <v>225255.49394168082</v>
      </c>
      <c r="D125" s="56">
        <v>98224.40022000001</v>
      </c>
      <c r="E125" s="56">
        <v>121225.79277670794</v>
      </c>
      <c r="F125" s="56">
        <v>68845.19597999999</v>
      </c>
      <c r="G125" s="56">
        <v>77616.579870678193</v>
      </c>
      <c r="H125" s="57">
        <v>0.22592145692725341</v>
      </c>
      <c r="I125" s="57">
        <v>0.1274073487019538</v>
      </c>
      <c r="J125" s="57">
        <v>0.20662496816409415</v>
      </c>
    </row>
    <row r="126" spans="1:10" ht="11.25" customHeight="1" x14ac:dyDescent="0.2">
      <c r="A126" s="65" t="s">
        <v>36</v>
      </c>
      <c r="B126" s="56">
        <v>0</v>
      </c>
      <c r="C126" s="56">
        <v>0</v>
      </c>
      <c r="D126" s="56">
        <v>28964.430000000004</v>
      </c>
      <c r="E126" s="56">
        <v>37619.857471476622</v>
      </c>
      <c r="F126" s="56">
        <v>64888.065000000002</v>
      </c>
      <c r="G126" s="56">
        <v>73155.281324050011</v>
      </c>
      <c r="H126" s="57">
        <v>0.29882954615287161</v>
      </c>
      <c r="I126" s="57">
        <v>0.12740734870195336</v>
      </c>
      <c r="J126" s="57">
        <v>0.18031106999900892</v>
      </c>
    </row>
    <row r="127" spans="1:10" ht="11.25" customHeight="1" x14ac:dyDescent="0.2">
      <c r="A127" s="66">
        <v>44287</v>
      </c>
      <c r="B127" s="56">
        <v>0</v>
      </c>
      <c r="C127" s="56">
        <v>0</v>
      </c>
      <c r="D127" s="56">
        <v>1844.0170800000001</v>
      </c>
      <c r="E127" s="56">
        <v>2395.0638671145434</v>
      </c>
      <c r="F127" s="56">
        <v>4131.0911400000005</v>
      </c>
      <c r="G127" s="56">
        <v>4657.4225093935293</v>
      </c>
      <c r="H127" s="57">
        <v>0.29882954615287138</v>
      </c>
      <c r="I127" s="57">
        <v>0.12740734870195314</v>
      </c>
      <c r="J127" s="57">
        <v>0.1803110699990087</v>
      </c>
    </row>
    <row r="128" spans="1:10" ht="11.25" customHeight="1" x14ac:dyDescent="0.2">
      <c r="A128" s="66">
        <v>44317</v>
      </c>
      <c r="B128" s="56">
        <v>0</v>
      </c>
      <c r="C128" s="56">
        <v>0</v>
      </c>
      <c r="D128" s="56">
        <v>1745.9200800000003</v>
      </c>
      <c r="E128" s="56">
        <v>2267.6525851255851</v>
      </c>
      <c r="F128" s="56">
        <v>3911.3276400000004</v>
      </c>
      <c r="G128" s="56">
        <v>4409.6595245170683</v>
      </c>
      <c r="H128" s="57">
        <v>0.29882954615287116</v>
      </c>
      <c r="I128" s="57">
        <v>0.12740734870195314</v>
      </c>
      <c r="J128" s="57">
        <v>0.18031106999900848</v>
      </c>
    </row>
    <row r="129" spans="1:10" ht="11.25" customHeight="1" x14ac:dyDescent="0.2">
      <c r="A129" s="66">
        <v>44348</v>
      </c>
      <c r="B129" s="56">
        <v>0</v>
      </c>
      <c r="C129" s="56">
        <v>0</v>
      </c>
      <c r="D129" s="56">
        <v>1540.6392000000001</v>
      </c>
      <c r="E129" s="56">
        <v>2001.027712921323</v>
      </c>
      <c r="F129" s="56">
        <v>3451.4436000000001</v>
      </c>
      <c r="G129" s="56">
        <v>3891.1828782703246</v>
      </c>
      <c r="H129" s="57">
        <v>0.29882954615287138</v>
      </c>
      <c r="I129" s="57">
        <v>0.12740734870195314</v>
      </c>
      <c r="J129" s="57">
        <v>0.1803110699990087</v>
      </c>
    </row>
    <row r="130" spans="1:10" ht="11.25" customHeight="1" x14ac:dyDescent="0.2">
      <c r="A130" s="66">
        <v>44378</v>
      </c>
      <c r="B130" s="56">
        <v>0</v>
      </c>
      <c r="C130" s="56">
        <v>0</v>
      </c>
      <c r="D130" s="56">
        <v>1433.5585799999999</v>
      </c>
      <c r="E130" s="56">
        <v>1861.948239844955</v>
      </c>
      <c r="F130" s="56">
        <v>3211.5543899999998</v>
      </c>
      <c r="G130" s="56">
        <v>3620.7300200420186</v>
      </c>
      <c r="H130" s="57">
        <v>0.29882954615287161</v>
      </c>
      <c r="I130" s="57">
        <v>0.12740734870195336</v>
      </c>
      <c r="J130" s="57">
        <v>0.18031106999900892</v>
      </c>
    </row>
    <row r="131" spans="1:10" ht="11.25" customHeight="1" x14ac:dyDescent="0.2">
      <c r="A131" s="66">
        <v>44409</v>
      </c>
      <c r="B131" s="56">
        <v>0</v>
      </c>
      <c r="C131" s="56">
        <v>0</v>
      </c>
      <c r="D131" s="56">
        <v>1801.1641800000002</v>
      </c>
      <c r="E131" s="56">
        <v>2339.4052544562091</v>
      </c>
      <c r="F131" s="56">
        <v>4035.0891900000006</v>
      </c>
      <c r="G131" s="56">
        <v>4549.1892054738128</v>
      </c>
      <c r="H131" s="57">
        <v>0.29882954615287138</v>
      </c>
      <c r="I131" s="57">
        <v>0.12740734870195314</v>
      </c>
      <c r="J131" s="57">
        <v>0.18031106999900892</v>
      </c>
    </row>
    <row r="132" spans="1:10" ht="11.25" customHeight="1" x14ac:dyDescent="0.2">
      <c r="A132" s="66">
        <v>44440</v>
      </c>
      <c r="B132" s="56">
        <v>0</v>
      </c>
      <c r="C132" s="56">
        <v>0</v>
      </c>
      <c r="D132" s="56">
        <v>2369.6104800000003</v>
      </c>
      <c r="E132" s="56">
        <v>3077.720104297488</v>
      </c>
      <c r="F132" s="56">
        <v>5308.5608400000001</v>
      </c>
      <c r="G132" s="56">
        <v>5984.9105020474135</v>
      </c>
      <c r="H132" s="57">
        <v>0.29882954615287138</v>
      </c>
      <c r="I132" s="57">
        <v>0.12740734870195314</v>
      </c>
      <c r="J132" s="57">
        <v>0.1803110699990087</v>
      </c>
    </row>
    <row r="133" spans="1:10" ht="11.25" customHeight="1" x14ac:dyDescent="0.2">
      <c r="A133" s="66">
        <v>44470</v>
      </c>
      <c r="B133" s="56">
        <v>0</v>
      </c>
      <c r="C133" s="56">
        <v>0</v>
      </c>
      <c r="D133" s="56">
        <v>2018.52648</v>
      </c>
      <c r="E133" s="56">
        <v>2621.7218319159533</v>
      </c>
      <c r="F133" s="56">
        <v>4522.0388400000002</v>
      </c>
      <c r="G133" s="56">
        <v>5098.1798193316554</v>
      </c>
      <c r="H133" s="57">
        <v>0.29882954615287161</v>
      </c>
      <c r="I133" s="57">
        <v>0.12740734870195314</v>
      </c>
      <c r="J133" s="57">
        <v>0.1803110699990087</v>
      </c>
    </row>
    <row r="134" spans="1:10" ht="11.25" customHeight="1" x14ac:dyDescent="0.2">
      <c r="A134" s="66">
        <v>44501</v>
      </c>
      <c r="B134" s="56">
        <v>0</v>
      </c>
      <c r="C134" s="56">
        <v>0</v>
      </c>
      <c r="D134" s="56">
        <v>2669.4775200000004</v>
      </c>
      <c r="E134" s="56">
        <v>3467.196275766893</v>
      </c>
      <c r="F134" s="56">
        <v>5980.3431600000004</v>
      </c>
      <c r="G134" s="56">
        <v>6742.2828263434612</v>
      </c>
      <c r="H134" s="57">
        <v>0.29882954615287138</v>
      </c>
      <c r="I134" s="57">
        <v>0.12740734870195314</v>
      </c>
      <c r="J134" s="57">
        <v>0.1803110699990087</v>
      </c>
    </row>
    <row r="135" spans="1:10" ht="11.25" customHeight="1" x14ac:dyDescent="0.2">
      <c r="A135" s="66">
        <v>44531</v>
      </c>
      <c r="B135" s="56">
        <v>0</v>
      </c>
      <c r="C135" s="56">
        <v>0</v>
      </c>
      <c r="D135" s="56">
        <v>2822.1990599999999</v>
      </c>
      <c r="E135" s="56">
        <v>3665.5555242528608</v>
      </c>
      <c r="F135" s="56">
        <v>6322.4802300000001</v>
      </c>
      <c r="G135" s="56">
        <v>7128.0106733248158</v>
      </c>
      <c r="H135" s="57">
        <v>0.29882954615287161</v>
      </c>
      <c r="I135" s="57">
        <v>0.12740734870195336</v>
      </c>
      <c r="J135" s="57">
        <v>0.18031106999900892</v>
      </c>
    </row>
    <row r="136" spans="1:10" ht="11.25" customHeight="1" x14ac:dyDescent="0.2">
      <c r="A136" s="66">
        <v>44562</v>
      </c>
      <c r="B136" s="56">
        <v>0</v>
      </c>
      <c r="C136" s="56">
        <v>0</v>
      </c>
      <c r="D136" s="56">
        <v>3235.5488399999999</v>
      </c>
      <c r="E136" s="56">
        <v>4202.4264314126503</v>
      </c>
      <c r="F136" s="56">
        <v>7248.4942200000005</v>
      </c>
      <c r="G136" s="56">
        <v>8172.0056506516321</v>
      </c>
      <c r="H136" s="57">
        <v>0.29882954615287161</v>
      </c>
      <c r="I136" s="57">
        <v>0.12740734870195314</v>
      </c>
      <c r="J136" s="57">
        <v>0.1803110699990087</v>
      </c>
    </row>
    <row r="137" spans="1:10" ht="11.25" customHeight="1" x14ac:dyDescent="0.2">
      <c r="A137" s="66">
        <v>44593</v>
      </c>
      <c r="B137" s="56">
        <v>0</v>
      </c>
      <c r="C137" s="56">
        <v>0</v>
      </c>
      <c r="D137" s="56">
        <v>3099.3489000000004</v>
      </c>
      <c r="E137" s="56">
        <v>4025.5259251564016</v>
      </c>
      <c r="F137" s="56">
        <v>6943.3699500000002</v>
      </c>
      <c r="G137" s="56">
        <v>7828.0063063863136</v>
      </c>
      <c r="H137" s="57">
        <v>0.29882954615287138</v>
      </c>
      <c r="I137" s="57">
        <v>0.12740734870195314</v>
      </c>
      <c r="J137" s="57">
        <v>0.1803110699990087</v>
      </c>
    </row>
    <row r="138" spans="1:10" ht="11.25" customHeight="1" x14ac:dyDescent="0.2">
      <c r="A138" s="66">
        <v>44621</v>
      </c>
      <c r="B138" s="56">
        <v>0</v>
      </c>
      <c r="C138" s="56">
        <v>0</v>
      </c>
      <c r="D138" s="56">
        <v>4384.4196000000002</v>
      </c>
      <c r="E138" s="56">
        <v>5694.6137192117549</v>
      </c>
      <c r="F138" s="56">
        <v>9822.2718000000004</v>
      </c>
      <c r="G138" s="56">
        <v>11073.701408267962</v>
      </c>
      <c r="H138" s="57">
        <v>0.29882954615287161</v>
      </c>
      <c r="I138" s="57">
        <v>0.12740734870195314</v>
      </c>
      <c r="J138" s="57">
        <v>0.18031106999900892</v>
      </c>
    </row>
    <row r="139" spans="1:10" ht="11.25" customHeight="1" x14ac:dyDescent="0.2">
      <c r="A139" s="65" t="s">
        <v>25</v>
      </c>
      <c r="B139" s="56">
        <v>184404.87</v>
      </c>
      <c r="C139" s="56">
        <v>225255.49394168082</v>
      </c>
      <c r="D139" s="56">
        <v>0</v>
      </c>
      <c r="E139" s="56">
        <v>0</v>
      </c>
      <c r="F139" s="56">
        <v>0</v>
      </c>
      <c r="G139" s="56">
        <v>0</v>
      </c>
      <c r="H139" s="57">
        <v>0.22152681727809487</v>
      </c>
      <c r="I139" s="57">
        <v>0</v>
      </c>
      <c r="J139" s="57">
        <v>0.22152681727809487</v>
      </c>
    </row>
    <row r="140" spans="1:10" ht="11.25" customHeight="1" x14ac:dyDescent="0.2">
      <c r="A140" s="66">
        <v>44287</v>
      </c>
      <c r="B140" s="56">
        <v>15319.199999999999</v>
      </c>
      <c r="C140" s="56">
        <v>18712.813619246586</v>
      </c>
      <c r="D140" s="56">
        <v>0</v>
      </c>
      <c r="E140" s="56">
        <v>0</v>
      </c>
      <c r="F140" s="56">
        <v>0</v>
      </c>
      <c r="G140" s="56">
        <v>0</v>
      </c>
      <c r="H140" s="57">
        <v>0.22152681727809465</v>
      </c>
      <c r="I140" s="57">
        <v>0</v>
      </c>
      <c r="J140" s="57">
        <v>0.22152681727809465</v>
      </c>
    </row>
    <row r="141" spans="1:10" ht="11.25" customHeight="1" x14ac:dyDescent="0.2">
      <c r="A141" s="66">
        <v>44317</v>
      </c>
      <c r="B141" s="56">
        <v>15319.199999999999</v>
      </c>
      <c r="C141" s="56">
        <v>18712.813619246586</v>
      </c>
      <c r="D141" s="56">
        <v>0</v>
      </c>
      <c r="E141" s="56">
        <v>0</v>
      </c>
      <c r="F141" s="56">
        <v>0</v>
      </c>
      <c r="G141" s="56">
        <v>0</v>
      </c>
      <c r="H141" s="57">
        <v>0.22152681727809465</v>
      </c>
      <c r="I141" s="57">
        <v>0</v>
      </c>
      <c r="J141" s="57">
        <v>0.22152681727809465</v>
      </c>
    </row>
    <row r="142" spans="1:10" ht="11.25" customHeight="1" x14ac:dyDescent="0.2">
      <c r="A142" s="66">
        <v>44348</v>
      </c>
      <c r="B142" s="56">
        <v>15319.199999999999</v>
      </c>
      <c r="C142" s="56">
        <v>18712.813619246586</v>
      </c>
      <c r="D142" s="56">
        <v>0</v>
      </c>
      <c r="E142" s="56">
        <v>0</v>
      </c>
      <c r="F142" s="56">
        <v>0</v>
      </c>
      <c r="G142" s="56">
        <v>0</v>
      </c>
      <c r="H142" s="57">
        <v>0.22152681727809465</v>
      </c>
      <c r="I142" s="57">
        <v>0</v>
      </c>
      <c r="J142" s="57">
        <v>0.22152681727809465</v>
      </c>
    </row>
    <row r="143" spans="1:10" ht="11.25" customHeight="1" x14ac:dyDescent="0.2">
      <c r="A143" s="66">
        <v>44378</v>
      </c>
      <c r="B143" s="56">
        <v>15319.199999999999</v>
      </c>
      <c r="C143" s="56">
        <v>18712.813619246586</v>
      </c>
      <c r="D143" s="56">
        <v>0</v>
      </c>
      <c r="E143" s="56">
        <v>0</v>
      </c>
      <c r="F143" s="56">
        <v>0</v>
      </c>
      <c r="G143" s="56">
        <v>0</v>
      </c>
      <c r="H143" s="57">
        <v>0.22152681727809465</v>
      </c>
      <c r="I143" s="57">
        <v>0</v>
      </c>
      <c r="J143" s="57">
        <v>0.22152681727809465</v>
      </c>
    </row>
    <row r="144" spans="1:10" ht="11.25" customHeight="1" x14ac:dyDescent="0.2">
      <c r="A144" s="66">
        <v>44409</v>
      </c>
      <c r="B144" s="56">
        <v>15319.199999999999</v>
      </c>
      <c r="C144" s="56">
        <v>18712.813619246586</v>
      </c>
      <c r="D144" s="56">
        <v>0</v>
      </c>
      <c r="E144" s="56">
        <v>0</v>
      </c>
      <c r="F144" s="56">
        <v>0</v>
      </c>
      <c r="G144" s="56">
        <v>0</v>
      </c>
      <c r="H144" s="57">
        <v>0.22152681727809465</v>
      </c>
      <c r="I144" s="57">
        <v>0</v>
      </c>
      <c r="J144" s="57">
        <v>0.22152681727809465</v>
      </c>
    </row>
    <row r="145" spans="1:10" ht="11.25" customHeight="1" x14ac:dyDescent="0.2">
      <c r="A145" s="66">
        <v>44440</v>
      </c>
      <c r="B145" s="56">
        <v>15319.199999999999</v>
      </c>
      <c r="C145" s="56">
        <v>18712.813619246586</v>
      </c>
      <c r="D145" s="56">
        <v>0</v>
      </c>
      <c r="E145" s="56">
        <v>0</v>
      </c>
      <c r="F145" s="56">
        <v>0</v>
      </c>
      <c r="G145" s="56">
        <v>0</v>
      </c>
      <c r="H145" s="57">
        <v>0.22152681727809465</v>
      </c>
      <c r="I145" s="57">
        <v>0</v>
      </c>
      <c r="J145" s="57">
        <v>0.22152681727809465</v>
      </c>
    </row>
    <row r="146" spans="1:10" ht="11.25" customHeight="1" x14ac:dyDescent="0.2">
      <c r="A146" s="66">
        <v>44470</v>
      </c>
      <c r="B146" s="56">
        <v>15319.199999999999</v>
      </c>
      <c r="C146" s="56">
        <v>18712.813619246586</v>
      </c>
      <c r="D146" s="56">
        <v>0</v>
      </c>
      <c r="E146" s="56">
        <v>0</v>
      </c>
      <c r="F146" s="56">
        <v>0</v>
      </c>
      <c r="G146" s="56">
        <v>0</v>
      </c>
      <c r="H146" s="57">
        <v>0.22152681727809465</v>
      </c>
      <c r="I146" s="57">
        <v>0</v>
      </c>
      <c r="J146" s="57">
        <v>0.22152681727809465</v>
      </c>
    </row>
    <row r="147" spans="1:10" ht="11.25" customHeight="1" x14ac:dyDescent="0.2">
      <c r="A147" s="66">
        <v>44501</v>
      </c>
      <c r="B147" s="56">
        <v>15383.029999999999</v>
      </c>
      <c r="C147" s="56">
        <v>18790.783675993447</v>
      </c>
      <c r="D147" s="56">
        <v>0</v>
      </c>
      <c r="E147" s="56">
        <v>0</v>
      </c>
      <c r="F147" s="56">
        <v>0</v>
      </c>
      <c r="G147" s="56">
        <v>0</v>
      </c>
      <c r="H147" s="57">
        <v>0.22152681727809465</v>
      </c>
      <c r="I147" s="57">
        <v>0</v>
      </c>
      <c r="J147" s="57">
        <v>0.22152681727809465</v>
      </c>
    </row>
    <row r="148" spans="1:10" ht="11.25" customHeight="1" x14ac:dyDescent="0.2">
      <c r="A148" s="66">
        <v>44531</v>
      </c>
      <c r="B148" s="56">
        <v>15319.199999999999</v>
      </c>
      <c r="C148" s="56">
        <v>18712.813619246586</v>
      </c>
      <c r="D148" s="56">
        <v>0</v>
      </c>
      <c r="E148" s="56">
        <v>0</v>
      </c>
      <c r="F148" s="56">
        <v>0</v>
      </c>
      <c r="G148" s="56">
        <v>0</v>
      </c>
      <c r="H148" s="57">
        <v>0.22152681727809465</v>
      </c>
      <c r="I148" s="57">
        <v>0</v>
      </c>
      <c r="J148" s="57">
        <v>0.22152681727809465</v>
      </c>
    </row>
    <row r="149" spans="1:10" ht="11.25" customHeight="1" x14ac:dyDescent="0.2">
      <c r="A149" s="66">
        <v>44562</v>
      </c>
      <c r="B149" s="56">
        <v>15574.52</v>
      </c>
      <c r="C149" s="56">
        <v>19024.693846234029</v>
      </c>
      <c r="D149" s="56">
        <v>0</v>
      </c>
      <c r="E149" s="56">
        <v>0</v>
      </c>
      <c r="F149" s="56">
        <v>0</v>
      </c>
      <c r="G149" s="56">
        <v>0</v>
      </c>
      <c r="H149" s="57">
        <v>0.22152681727809465</v>
      </c>
      <c r="I149" s="57">
        <v>0</v>
      </c>
      <c r="J149" s="57">
        <v>0.22152681727809465</v>
      </c>
    </row>
    <row r="150" spans="1:10" ht="11.25" customHeight="1" x14ac:dyDescent="0.2">
      <c r="A150" s="66">
        <v>44593</v>
      </c>
      <c r="B150" s="56">
        <v>15319.199999999999</v>
      </c>
      <c r="C150" s="56">
        <v>18712.813619246586</v>
      </c>
      <c r="D150" s="56">
        <v>0</v>
      </c>
      <c r="E150" s="56">
        <v>0</v>
      </c>
      <c r="F150" s="56">
        <v>0</v>
      </c>
      <c r="G150" s="56">
        <v>0</v>
      </c>
      <c r="H150" s="57">
        <v>0.22152681727809465</v>
      </c>
      <c r="I150" s="57">
        <v>0</v>
      </c>
      <c r="J150" s="57">
        <v>0.22152681727809465</v>
      </c>
    </row>
    <row r="151" spans="1:10" ht="11.25" customHeight="1" x14ac:dyDescent="0.2">
      <c r="A151" s="66">
        <v>44621</v>
      </c>
      <c r="B151" s="56">
        <v>15574.52</v>
      </c>
      <c r="C151" s="56">
        <v>19024.693846234029</v>
      </c>
      <c r="D151" s="56">
        <v>0</v>
      </c>
      <c r="E151" s="56">
        <v>0</v>
      </c>
      <c r="F151" s="56">
        <v>0</v>
      </c>
      <c r="G151" s="56">
        <v>0</v>
      </c>
      <c r="H151" s="57">
        <v>0.22152681727809465</v>
      </c>
      <c r="I151" s="57">
        <v>0</v>
      </c>
      <c r="J151" s="57">
        <v>0.22152681727809465</v>
      </c>
    </row>
    <row r="152" spans="1:10" ht="11.25" customHeight="1" x14ac:dyDescent="0.2">
      <c r="A152" s="65" t="s">
        <v>35</v>
      </c>
      <c r="B152" s="56">
        <v>0</v>
      </c>
      <c r="C152" s="56">
        <v>0</v>
      </c>
      <c r="D152" s="56">
        <v>69259.970220000003</v>
      </c>
      <c r="E152" s="56">
        <v>83605.935305231309</v>
      </c>
      <c r="F152" s="56">
        <v>3957.1309799999999</v>
      </c>
      <c r="G152" s="56">
        <v>4461.2985466281625</v>
      </c>
      <c r="H152" s="57">
        <v>0.20713212898680489</v>
      </c>
      <c r="I152" s="57">
        <v>0.12740734870195336</v>
      </c>
      <c r="J152" s="57">
        <v>0.20282328046961062</v>
      </c>
    </row>
    <row r="153" spans="1:10" ht="11.25" customHeight="1" x14ac:dyDescent="0.2">
      <c r="A153" s="66">
        <v>44287</v>
      </c>
      <c r="B153" s="56">
        <v>0</v>
      </c>
      <c r="C153" s="56">
        <v>0</v>
      </c>
      <c r="D153" s="56">
        <v>3611.59204</v>
      </c>
      <c r="E153" s="56">
        <v>4359.6687882769984</v>
      </c>
      <c r="F153" s="56">
        <v>206.34636</v>
      </c>
      <c r="G153" s="56">
        <v>232.63640264189877</v>
      </c>
      <c r="H153" s="57">
        <v>0.20713212898680511</v>
      </c>
      <c r="I153" s="57">
        <v>0.12740734870195314</v>
      </c>
      <c r="J153" s="57">
        <v>0.20282328046961084</v>
      </c>
    </row>
    <row r="154" spans="1:10" ht="11.25" customHeight="1" x14ac:dyDescent="0.2">
      <c r="A154" s="66">
        <v>44317</v>
      </c>
      <c r="B154" s="56">
        <v>0</v>
      </c>
      <c r="C154" s="56">
        <v>0</v>
      </c>
      <c r="D154" s="56">
        <v>3413.1974099999998</v>
      </c>
      <c r="E154" s="56">
        <v>4120.1802561855484</v>
      </c>
      <c r="F154" s="56">
        <v>195.01119</v>
      </c>
      <c r="G154" s="56">
        <v>219.85704868511286</v>
      </c>
      <c r="H154" s="57">
        <v>0.20713212898680489</v>
      </c>
      <c r="I154" s="57">
        <v>0.12740734870195336</v>
      </c>
      <c r="J154" s="57">
        <v>0.20282328046961084</v>
      </c>
    </row>
    <row r="155" spans="1:10" ht="11.25" customHeight="1" x14ac:dyDescent="0.2">
      <c r="A155" s="66">
        <v>44348</v>
      </c>
      <c r="B155" s="56">
        <v>0</v>
      </c>
      <c r="C155" s="56">
        <v>0</v>
      </c>
      <c r="D155" s="56">
        <v>3769.4979699999999</v>
      </c>
      <c r="E155" s="56">
        <v>4550.2821097375399</v>
      </c>
      <c r="F155" s="56">
        <v>215.36823000000001</v>
      </c>
      <c r="G155" s="56">
        <v>242.80772517893249</v>
      </c>
      <c r="H155" s="57">
        <v>0.20713212898680511</v>
      </c>
      <c r="I155" s="57">
        <v>0.12740734870195336</v>
      </c>
      <c r="J155" s="57">
        <v>0.20282328046961084</v>
      </c>
    </row>
    <row r="156" spans="1:10" ht="11.25" customHeight="1" x14ac:dyDescent="0.2">
      <c r="A156" s="66">
        <v>44378</v>
      </c>
      <c r="B156" s="56">
        <v>0</v>
      </c>
      <c r="C156" s="56">
        <v>0</v>
      </c>
      <c r="D156" s="56">
        <v>3793.7911899999999</v>
      </c>
      <c r="E156" s="56">
        <v>4579.607236116085</v>
      </c>
      <c r="F156" s="56">
        <v>216.75621000000004</v>
      </c>
      <c r="G156" s="56">
        <v>244.37254403078381</v>
      </c>
      <c r="H156" s="57">
        <v>0.20713212898680511</v>
      </c>
      <c r="I156" s="57">
        <v>0.12740734870195314</v>
      </c>
      <c r="J156" s="57">
        <v>0.20282328046961084</v>
      </c>
    </row>
    <row r="157" spans="1:10" ht="11.25" customHeight="1" x14ac:dyDescent="0.2">
      <c r="A157" s="66">
        <v>44409</v>
      </c>
      <c r="B157" s="56">
        <v>0</v>
      </c>
      <c r="C157" s="56">
        <v>0</v>
      </c>
      <c r="D157" s="56">
        <v>4494.2457000000004</v>
      </c>
      <c r="E157" s="56">
        <v>5425.1483800307942</v>
      </c>
      <c r="F157" s="56">
        <v>256.77630000000005</v>
      </c>
      <c r="G157" s="56">
        <v>289.49148759249738</v>
      </c>
      <c r="H157" s="57">
        <v>0.20713212898680511</v>
      </c>
      <c r="I157" s="57">
        <v>0.12740734870195314</v>
      </c>
      <c r="J157" s="57">
        <v>0.20282328046961062</v>
      </c>
    </row>
    <row r="158" spans="1:10" ht="11.25" customHeight="1" x14ac:dyDescent="0.2">
      <c r="A158" s="66">
        <v>44440</v>
      </c>
      <c r="B158" s="56">
        <v>0</v>
      </c>
      <c r="C158" s="56">
        <v>0</v>
      </c>
      <c r="D158" s="56">
        <v>5259.4821299999994</v>
      </c>
      <c r="E158" s="56">
        <v>6348.8898609549551</v>
      </c>
      <c r="F158" s="56">
        <v>300.49767000000003</v>
      </c>
      <c r="G158" s="56">
        <v>338.78328142581444</v>
      </c>
      <c r="H158" s="57">
        <v>0.20713212898680489</v>
      </c>
      <c r="I158" s="57">
        <v>0.12740734870195292</v>
      </c>
      <c r="J158" s="57">
        <v>0.20282328046961084</v>
      </c>
    </row>
    <row r="159" spans="1:10" ht="11.25" customHeight="1" x14ac:dyDescent="0.2">
      <c r="A159" s="66">
        <v>44470</v>
      </c>
      <c r="B159" s="56">
        <v>0</v>
      </c>
      <c r="C159" s="56">
        <v>0</v>
      </c>
      <c r="D159" s="56">
        <v>4506.3923100000002</v>
      </c>
      <c r="E159" s="56">
        <v>5439.8109432200663</v>
      </c>
      <c r="F159" s="56">
        <v>257.47029000000003</v>
      </c>
      <c r="G159" s="56">
        <v>290.27389701842304</v>
      </c>
      <c r="H159" s="57">
        <v>0.20713212898680489</v>
      </c>
      <c r="I159" s="57">
        <v>0.12740734870195314</v>
      </c>
      <c r="J159" s="57">
        <v>0.20282328046961062</v>
      </c>
    </row>
    <row r="160" spans="1:10" ht="11.25" customHeight="1" x14ac:dyDescent="0.2">
      <c r="A160" s="66">
        <v>44501</v>
      </c>
      <c r="B160" s="56">
        <v>0</v>
      </c>
      <c r="C160" s="56">
        <v>0</v>
      </c>
      <c r="D160" s="56">
        <v>7453.9696699999995</v>
      </c>
      <c r="E160" s="56">
        <v>8997.9262771501726</v>
      </c>
      <c r="F160" s="56">
        <v>425.87853000000001</v>
      </c>
      <c r="G160" s="56">
        <v>480.13858437638527</v>
      </c>
      <c r="H160" s="57">
        <v>0.20713212898680511</v>
      </c>
      <c r="I160" s="57">
        <v>0.12740734870195314</v>
      </c>
      <c r="J160" s="57">
        <v>0.20282328046961084</v>
      </c>
    </row>
    <row r="161" spans="1:10" ht="11.25" customHeight="1" x14ac:dyDescent="0.2">
      <c r="A161" s="66">
        <v>44531</v>
      </c>
      <c r="B161" s="56">
        <v>0</v>
      </c>
      <c r="C161" s="56">
        <v>0</v>
      </c>
      <c r="D161" s="56">
        <v>7364.8945299999996</v>
      </c>
      <c r="E161" s="56">
        <v>8890.4008137621749</v>
      </c>
      <c r="F161" s="56">
        <v>420.78926999999999</v>
      </c>
      <c r="G161" s="56">
        <v>474.40091525293036</v>
      </c>
      <c r="H161" s="57">
        <v>0.20713212898680511</v>
      </c>
      <c r="I161" s="57">
        <v>0.12740734870195336</v>
      </c>
      <c r="J161" s="57">
        <v>0.20282328046961084</v>
      </c>
    </row>
    <row r="162" spans="1:10" ht="11.25" customHeight="1" x14ac:dyDescent="0.2">
      <c r="A162" s="66">
        <v>44562</v>
      </c>
      <c r="B162" s="56">
        <v>0</v>
      </c>
      <c r="C162" s="56">
        <v>0</v>
      </c>
      <c r="D162" s="56">
        <v>7085.5225</v>
      </c>
      <c r="E162" s="56">
        <v>8553.161860408909</v>
      </c>
      <c r="F162" s="56">
        <v>404.82750000000004</v>
      </c>
      <c r="G162" s="56">
        <v>456.40549845663998</v>
      </c>
      <c r="H162" s="57">
        <v>0.20713212898680489</v>
      </c>
      <c r="I162" s="57">
        <v>0.12740734870195314</v>
      </c>
      <c r="J162" s="57">
        <v>0.20282328046961062</v>
      </c>
    </row>
    <row r="163" spans="1:10" ht="11.25" customHeight="1" x14ac:dyDescent="0.2">
      <c r="A163" s="66">
        <v>44593</v>
      </c>
      <c r="B163" s="56">
        <v>0</v>
      </c>
      <c r="C163" s="56">
        <v>0</v>
      </c>
      <c r="D163" s="56">
        <v>7607.8267299999998</v>
      </c>
      <c r="E163" s="56">
        <v>9183.652077547622</v>
      </c>
      <c r="F163" s="56">
        <v>434.66907000000003</v>
      </c>
      <c r="G163" s="56">
        <v>490.0491037714437</v>
      </c>
      <c r="H163" s="57">
        <v>0.20713212898680489</v>
      </c>
      <c r="I163" s="57">
        <v>0.12740734870195314</v>
      </c>
      <c r="J163" s="57">
        <v>0.20282328046961062</v>
      </c>
    </row>
    <row r="164" spans="1:10" ht="11.25" customHeight="1" x14ac:dyDescent="0.2">
      <c r="A164" s="66">
        <v>44621</v>
      </c>
      <c r="B164" s="56">
        <v>0</v>
      </c>
      <c r="C164" s="56">
        <v>0</v>
      </c>
      <c r="D164" s="56">
        <v>10899.55804</v>
      </c>
      <c r="E164" s="56">
        <v>13157.206701840449</v>
      </c>
      <c r="F164" s="56">
        <v>622.74036000000012</v>
      </c>
      <c r="G164" s="56">
        <v>702.08205819729994</v>
      </c>
      <c r="H164" s="57">
        <v>0.20713212898680511</v>
      </c>
      <c r="I164" s="57">
        <v>0.12740734870195314</v>
      </c>
      <c r="J164" s="57">
        <v>0.20282328046961084</v>
      </c>
    </row>
    <row r="165" spans="1:10" ht="11.25" customHeight="1" x14ac:dyDescent="0.2">
      <c r="A165" s="61" t="s">
        <v>24</v>
      </c>
      <c r="B165" s="56">
        <v>36383.1</v>
      </c>
      <c r="C165" s="56">
        <v>44442.932345710644</v>
      </c>
      <c r="D165" s="56">
        <v>18636.086380000001</v>
      </c>
      <c r="E165" s="56">
        <v>22800.21044826771</v>
      </c>
      <c r="F165" s="56">
        <v>8302.2023700000009</v>
      </c>
      <c r="G165" s="56">
        <v>9359.9639623487747</v>
      </c>
      <c r="H165" s="57">
        <v>0.22217624829184834</v>
      </c>
      <c r="I165" s="57">
        <v>0.12740734870195336</v>
      </c>
      <c r="J165" s="57">
        <v>0.20975089568494565</v>
      </c>
    </row>
    <row r="166" spans="1:10" ht="11.25" customHeight="1" x14ac:dyDescent="0.2">
      <c r="A166" s="62" t="s">
        <v>24</v>
      </c>
      <c r="B166" s="56">
        <v>36383.1</v>
      </c>
      <c r="C166" s="56">
        <v>44442.932345710644</v>
      </c>
      <c r="D166" s="56">
        <v>18636.086380000001</v>
      </c>
      <c r="E166" s="56">
        <v>22800.21044826771</v>
      </c>
      <c r="F166" s="56">
        <v>8302.2023700000009</v>
      </c>
      <c r="G166" s="56">
        <v>9359.9639623487747</v>
      </c>
      <c r="H166" s="57">
        <v>0.22217624829184834</v>
      </c>
      <c r="I166" s="57">
        <v>0.12740734870195336</v>
      </c>
      <c r="J166" s="57">
        <v>0.20975089568494565</v>
      </c>
    </row>
    <row r="167" spans="1:10" ht="11.25" customHeight="1" x14ac:dyDescent="0.2">
      <c r="A167" s="63" t="s">
        <v>25</v>
      </c>
      <c r="B167" s="56">
        <v>36383.1</v>
      </c>
      <c r="C167" s="56">
        <v>44442.932345710644</v>
      </c>
      <c r="D167" s="56">
        <v>18636.086380000001</v>
      </c>
      <c r="E167" s="56">
        <v>22800.21044826771</v>
      </c>
      <c r="F167" s="56">
        <v>8302.2023700000009</v>
      </c>
      <c r="G167" s="56">
        <v>9359.9639623487747</v>
      </c>
      <c r="H167" s="57">
        <v>0.22217624829184834</v>
      </c>
      <c r="I167" s="57">
        <v>0.12740734870195336</v>
      </c>
      <c r="J167" s="57">
        <v>0.20975089568494565</v>
      </c>
    </row>
    <row r="168" spans="1:10" ht="11.25" customHeight="1" x14ac:dyDescent="0.2">
      <c r="A168" s="64" t="s">
        <v>25</v>
      </c>
      <c r="B168" s="56">
        <v>36383.1</v>
      </c>
      <c r="C168" s="56">
        <v>44442.932345710644</v>
      </c>
      <c r="D168" s="56">
        <v>18636.086380000001</v>
      </c>
      <c r="E168" s="56">
        <v>22800.21044826771</v>
      </c>
      <c r="F168" s="56">
        <v>8302.2023700000009</v>
      </c>
      <c r="G168" s="56">
        <v>9359.9639623487747</v>
      </c>
      <c r="H168" s="57">
        <v>0.22217624829184834</v>
      </c>
      <c r="I168" s="57">
        <v>0.12740734870195336</v>
      </c>
      <c r="J168" s="57">
        <v>0.20975089568494565</v>
      </c>
    </row>
    <row r="169" spans="1:10" ht="11.25" customHeight="1" x14ac:dyDescent="0.2">
      <c r="A169" s="65" t="s">
        <v>36</v>
      </c>
      <c r="B169" s="56">
        <v>0</v>
      </c>
      <c r="C169" s="56">
        <v>0</v>
      </c>
      <c r="D169" s="56">
        <v>3315.1623</v>
      </c>
      <c r="E169" s="56">
        <v>4305.8307455321101</v>
      </c>
      <c r="F169" s="56">
        <v>7426.8496500000001</v>
      </c>
      <c r="G169" s="56">
        <v>8373.0848731145306</v>
      </c>
      <c r="H169" s="57">
        <v>0.29882954615287161</v>
      </c>
      <c r="I169" s="57">
        <v>0.12740734870195336</v>
      </c>
      <c r="J169" s="57">
        <v>0.18031106999900892</v>
      </c>
    </row>
    <row r="170" spans="1:10" ht="11.25" customHeight="1" x14ac:dyDescent="0.2">
      <c r="A170" s="66">
        <v>44287</v>
      </c>
      <c r="B170" s="56">
        <v>0</v>
      </c>
      <c r="C170" s="56">
        <v>0</v>
      </c>
      <c r="D170" s="56">
        <v>242.55774000000002</v>
      </c>
      <c r="E170" s="56">
        <v>315.04115936006622</v>
      </c>
      <c r="F170" s="56">
        <v>543.39417000000003</v>
      </c>
      <c r="G170" s="56">
        <v>612.62658049979848</v>
      </c>
      <c r="H170" s="57">
        <v>0.29882954615287138</v>
      </c>
      <c r="I170" s="57">
        <v>0.12740734870195314</v>
      </c>
      <c r="J170" s="57">
        <v>0.18031106999900892</v>
      </c>
    </row>
    <row r="171" spans="1:10" ht="11.25" customHeight="1" x14ac:dyDescent="0.2">
      <c r="A171" s="66">
        <v>44317</v>
      </c>
      <c r="B171" s="56">
        <v>0</v>
      </c>
      <c r="C171" s="56">
        <v>0</v>
      </c>
      <c r="D171" s="56">
        <v>160.5693</v>
      </c>
      <c r="E171" s="56">
        <v>208.55215104508426</v>
      </c>
      <c r="F171" s="56">
        <v>359.71814999999998</v>
      </c>
      <c r="G171" s="56">
        <v>405.54888577147153</v>
      </c>
      <c r="H171" s="57">
        <v>0.29882954615287138</v>
      </c>
      <c r="I171" s="57">
        <v>0.12740734870195336</v>
      </c>
      <c r="J171" s="57">
        <v>0.1803110699990087</v>
      </c>
    </row>
    <row r="172" spans="1:10" ht="11.25" customHeight="1" x14ac:dyDescent="0.2">
      <c r="A172" s="66">
        <v>44348</v>
      </c>
      <c r="B172" s="56">
        <v>0</v>
      </c>
      <c r="C172" s="56">
        <v>0</v>
      </c>
      <c r="D172" s="56">
        <v>154.58022000000003</v>
      </c>
      <c r="E172" s="56">
        <v>200.77335698681105</v>
      </c>
      <c r="F172" s="56">
        <v>346.30101000000002</v>
      </c>
      <c r="G172" s="56">
        <v>390.4223035369086</v>
      </c>
      <c r="H172" s="57">
        <v>0.29882954615287138</v>
      </c>
      <c r="I172" s="57">
        <v>0.12740734870195314</v>
      </c>
      <c r="J172" s="57">
        <v>0.1803110699990087</v>
      </c>
    </row>
    <row r="173" spans="1:10" ht="11.25" customHeight="1" x14ac:dyDescent="0.2">
      <c r="A173" s="66">
        <v>44378</v>
      </c>
      <c r="B173" s="56">
        <v>0</v>
      </c>
      <c r="C173" s="56">
        <v>0</v>
      </c>
      <c r="D173" s="56">
        <v>152.82480000000001</v>
      </c>
      <c r="E173" s="56">
        <v>198.49336562490336</v>
      </c>
      <c r="F173" s="56">
        <v>342.36840000000001</v>
      </c>
      <c r="G173" s="56">
        <v>385.98865012332982</v>
      </c>
      <c r="H173" s="57">
        <v>0.29882954615287138</v>
      </c>
      <c r="I173" s="57">
        <v>0.12740734870195314</v>
      </c>
      <c r="J173" s="57">
        <v>0.1803110699990087</v>
      </c>
    </row>
    <row r="174" spans="1:10" ht="11.25" customHeight="1" x14ac:dyDescent="0.2">
      <c r="A174" s="66">
        <v>44409</v>
      </c>
      <c r="B174" s="56">
        <v>0</v>
      </c>
      <c r="C174" s="56">
        <v>0</v>
      </c>
      <c r="D174" s="56">
        <v>142.08575999999999</v>
      </c>
      <c r="E174" s="56">
        <v>184.54518317558581</v>
      </c>
      <c r="F174" s="56">
        <v>318.31007999999997</v>
      </c>
      <c r="G174" s="56">
        <v>358.86512335790661</v>
      </c>
      <c r="H174" s="57">
        <v>0.29882954615287138</v>
      </c>
      <c r="I174" s="57">
        <v>0.12740734870195336</v>
      </c>
      <c r="J174" s="57">
        <v>0.1803110699990087</v>
      </c>
    </row>
    <row r="175" spans="1:10" ht="11.25" customHeight="1" x14ac:dyDescent="0.2">
      <c r="A175" s="66">
        <v>44440</v>
      </c>
      <c r="B175" s="56">
        <v>0</v>
      </c>
      <c r="C175" s="56">
        <v>0</v>
      </c>
      <c r="D175" s="56">
        <v>384.23046000000005</v>
      </c>
      <c r="E175" s="56">
        <v>499.04987397990908</v>
      </c>
      <c r="F175" s="56">
        <v>860.77893000000006</v>
      </c>
      <c r="G175" s="56">
        <v>970.44849128980422</v>
      </c>
      <c r="H175" s="57">
        <v>0.29882954615287138</v>
      </c>
      <c r="I175" s="57">
        <v>0.12740734870195314</v>
      </c>
      <c r="J175" s="57">
        <v>0.1803110699990087</v>
      </c>
    </row>
    <row r="176" spans="1:10" ht="11.25" customHeight="1" x14ac:dyDescent="0.2">
      <c r="A176" s="66">
        <v>44470</v>
      </c>
      <c r="B176" s="56">
        <v>0</v>
      </c>
      <c r="C176" s="56">
        <v>0</v>
      </c>
      <c r="D176" s="56">
        <v>381.02940000000001</v>
      </c>
      <c r="E176" s="56">
        <v>494.89224267290092</v>
      </c>
      <c r="F176" s="56">
        <v>853.60770000000002</v>
      </c>
      <c r="G176" s="56">
        <v>962.36359388857227</v>
      </c>
      <c r="H176" s="57">
        <v>0.29882954615287138</v>
      </c>
      <c r="I176" s="57">
        <v>0.12740734870195314</v>
      </c>
      <c r="J176" s="57">
        <v>0.18031106999900892</v>
      </c>
    </row>
    <row r="177" spans="1:10" ht="11.25" customHeight="1" x14ac:dyDescent="0.2">
      <c r="A177" s="66">
        <v>44501</v>
      </c>
      <c r="B177" s="56">
        <v>0</v>
      </c>
      <c r="C177" s="56">
        <v>0</v>
      </c>
      <c r="D177" s="56">
        <v>322.37772000000001</v>
      </c>
      <c r="E177" s="56">
        <v>418.71370775739746</v>
      </c>
      <c r="F177" s="56">
        <v>722.21226000000001</v>
      </c>
      <c r="G177" s="56">
        <v>814.22740924664572</v>
      </c>
      <c r="H177" s="57">
        <v>0.29882954615287138</v>
      </c>
      <c r="I177" s="57">
        <v>0.12740734870195314</v>
      </c>
      <c r="J177" s="57">
        <v>0.18031106999900892</v>
      </c>
    </row>
    <row r="178" spans="1:10" ht="11.25" customHeight="1" x14ac:dyDescent="0.2">
      <c r="A178" s="66">
        <v>44531</v>
      </c>
      <c r="B178" s="56">
        <v>0</v>
      </c>
      <c r="C178" s="56">
        <v>0</v>
      </c>
      <c r="D178" s="56">
        <v>374.62728000000004</v>
      </c>
      <c r="E178" s="56">
        <v>486.57698005888477</v>
      </c>
      <c r="F178" s="56">
        <v>839.26524000000006</v>
      </c>
      <c r="G178" s="56">
        <v>946.19379908610847</v>
      </c>
      <c r="H178" s="57">
        <v>0.29882954615287161</v>
      </c>
      <c r="I178" s="57">
        <v>0.12740734870195314</v>
      </c>
      <c r="J178" s="57">
        <v>0.1803110699990087</v>
      </c>
    </row>
    <row r="179" spans="1:10" ht="11.25" customHeight="1" x14ac:dyDescent="0.2">
      <c r="A179" s="66">
        <v>44562</v>
      </c>
      <c r="B179" s="56">
        <v>0</v>
      </c>
      <c r="C179" s="56">
        <v>0</v>
      </c>
      <c r="D179" s="56">
        <v>357.89916000000005</v>
      </c>
      <c r="E179" s="56">
        <v>464.85000355129398</v>
      </c>
      <c r="F179" s="56">
        <v>801.78978000000006</v>
      </c>
      <c r="G179" s="56">
        <v>903.94369008612239</v>
      </c>
      <c r="H179" s="57">
        <v>0.29882954615287138</v>
      </c>
      <c r="I179" s="57">
        <v>0.12740734870195314</v>
      </c>
      <c r="J179" s="57">
        <v>0.1803110699990087</v>
      </c>
    </row>
    <row r="180" spans="1:10" ht="11.25" customHeight="1" x14ac:dyDescent="0.2">
      <c r="A180" s="66">
        <v>44593</v>
      </c>
      <c r="B180" s="56">
        <v>0</v>
      </c>
      <c r="C180" s="56">
        <v>0</v>
      </c>
      <c r="D180" s="56">
        <v>318.66036000000003</v>
      </c>
      <c r="E180" s="56">
        <v>413.88549075571063</v>
      </c>
      <c r="F180" s="56">
        <v>713.88437999999996</v>
      </c>
      <c r="G180" s="56">
        <v>804.83849613553764</v>
      </c>
      <c r="H180" s="57">
        <v>0.29882954615287138</v>
      </c>
      <c r="I180" s="57">
        <v>0.12740734870195314</v>
      </c>
      <c r="J180" s="57">
        <v>0.1803110699990087</v>
      </c>
    </row>
    <row r="181" spans="1:10" ht="11.25" customHeight="1" x14ac:dyDescent="0.2">
      <c r="A181" s="66">
        <v>44621</v>
      </c>
      <c r="B181" s="56">
        <v>0</v>
      </c>
      <c r="C181" s="56">
        <v>0</v>
      </c>
      <c r="D181" s="56">
        <v>323.7201</v>
      </c>
      <c r="E181" s="56">
        <v>420.45723056356218</v>
      </c>
      <c r="F181" s="56">
        <v>725.21955000000003</v>
      </c>
      <c r="G181" s="56">
        <v>817.61785009232358</v>
      </c>
      <c r="H181" s="57">
        <v>0.29882954615287138</v>
      </c>
      <c r="I181" s="57">
        <v>0.12740734870195314</v>
      </c>
      <c r="J181" s="57">
        <v>0.1803110699990087</v>
      </c>
    </row>
    <row r="182" spans="1:10" ht="11.25" customHeight="1" x14ac:dyDescent="0.2">
      <c r="A182" s="65" t="s">
        <v>25</v>
      </c>
      <c r="B182" s="56">
        <v>36383.1</v>
      </c>
      <c r="C182" s="56">
        <v>44442.932345710644</v>
      </c>
      <c r="D182" s="56">
        <v>0</v>
      </c>
      <c r="E182" s="56">
        <v>0</v>
      </c>
      <c r="F182" s="56">
        <v>0</v>
      </c>
      <c r="G182" s="56">
        <v>0</v>
      </c>
      <c r="H182" s="57">
        <v>0.22152681727809465</v>
      </c>
      <c r="I182" s="57">
        <v>0</v>
      </c>
      <c r="J182" s="57">
        <v>0.22152681727809465</v>
      </c>
    </row>
    <row r="183" spans="1:10" ht="11.25" customHeight="1" x14ac:dyDescent="0.2">
      <c r="A183" s="66">
        <v>44287</v>
      </c>
      <c r="B183" s="56">
        <v>1914.8999999999999</v>
      </c>
      <c r="C183" s="56">
        <v>2339.1017024058233</v>
      </c>
      <c r="D183" s="56">
        <v>0</v>
      </c>
      <c r="E183" s="56">
        <v>0</v>
      </c>
      <c r="F183" s="56">
        <v>0</v>
      </c>
      <c r="G183" s="56">
        <v>0</v>
      </c>
      <c r="H183" s="57">
        <v>0.22152681727809465</v>
      </c>
      <c r="I183" s="57">
        <v>0</v>
      </c>
      <c r="J183" s="57">
        <v>0.22152681727809465</v>
      </c>
    </row>
    <row r="184" spans="1:10" ht="11.25" customHeight="1" x14ac:dyDescent="0.2">
      <c r="A184" s="66">
        <v>44317</v>
      </c>
      <c r="B184" s="56">
        <v>1914.8999999999999</v>
      </c>
      <c r="C184" s="56">
        <v>2339.1017024058233</v>
      </c>
      <c r="D184" s="56">
        <v>0</v>
      </c>
      <c r="E184" s="56">
        <v>0</v>
      </c>
      <c r="F184" s="56">
        <v>0</v>
      </c>
      <c r="G184" s="56">
        <v>0</v>
      </c>
      <c r="H184" s="57">
        <v>0.22152681727809465</v>
      </c>
      <c r="I184" s="57">
        <v>0</v>
      </c>
      <c r="J184" s="57">
        <v>0.22152681727809465</v>
      </c>
    </row>
    <row r="185" spans="1:10" ht="11.25" customHeight="1" x14ac:dyDescent="0.2">
      <c r="A185" s="66">
        <v>44348</v>
      </c>
      <c r="B185" s="56">
        <v>1914.8999999999999</v>
      </c>
      <c r="C185" s="56">
        <v>2339.1017024058233</v>
      </c>
      <c r="D185" s="56">
        <v>0</v>
      </c>
      <c r="E185" s="56">
        <v>0</v>
      </c>
      <c r="F185" s="56">
        <v>0</v>
      </c>
      <c r="G185" s="56">
        <v>0</v>
      </c>
      <c r="H185" s="57">
        <v>0.22152681727809465</v>
      </c>
      <c r="I185" s="57">
        <v>0</v>
      </c>
      <c r="J185" s="57">
        <v>0.22152681727809465</v>
      </c>
    </row>
    <row r="186" spans="1:10" ht="11.25" customHeight="1" x14ac:dyDescent="0.2">
      <c r="A186" s="66">
        <v>44378</v>
      </c>
      <c r="B186" s="56">
        <v>1914.8999999999999</v>
      </c>
      <c r="C186" s="56">
        <v>2339.1017024058233</v>
      </c>
      <c r="D186" s="56">
        <v>0</v>
      </c>
      <c r="E186" s="56">
        <v>0</v>
      </c>
      <c r="F186" s="56">
        <v>0</v>
      </c>
      <c r="G186" s="56">
        <v>0</v>
      </c>
      <c r="H186" s="57">
        <v>0.22152681727809465</v>
      </c>
      <c r="I186" s="57">
        <v>0</v>
      </c>
      <c r="J186" s="57">
        <v>0.22152681727809465</v>
      </c>
    </row>
    <row r="187" spans="1:10" ht="11.25" customHeight="1" x14ac:dyDescent="0.2">
      <c r="A187" s="66">
        <v>44409</v>
      </c>
      <c r="B187" s="56">
        <v>1914.8999999999999</v>
      </c>
      <c r="C187" s="56">
        <v>2339.1017024058233</v>
      </c>
      <c r="D187" s="56">
        <v>0</v>
      </c>
      <c r="E187" s="56">
        <v>0</v>
      </c>
      <c r="F187" s="56">
        <v>0</v>
      </c>
      <c r="G187" s="56">
        <v>0</v>
      </c>
      <c r="H187" s="57">
        <v>0.22152681727809465</v>
      </c>
      <c r="I187" s="57">
        <v>0</v>
      </c>
      <c r="J187" s="57">
        <v>0.22152681727809465</v>
      </c>
    </row>
    <row r="188" spans="1:10" ht="11.25" customHeight="1" x14ac:dyDescent="0.2">
      <c r="A188" s="66">
        <v>44440</v>
      </c>
      <c r="B188" s="56">
        <v>3829.7999999999997</v>
      </c>
      <c r="C188" s="56">
        <v>4678.2034048116466</v>
      </c>
      <c r="D188" s="56">
        <v>0</v>
      </c>
      <c r="E188" s="56">
        <v>0</v>
      </c>
      <c r="F188" s="56">
        <v>0</v>
      </c>
      <c r="G188" s="56">
        <v>0</v>
      </c>
      <c r="H188" s="57">
        <v>0.22152681727809465</v>
      </c>
      <c r="I188" s="57">
        <v>0</v>
      </c>
      <c r="J188" s="57">
        <v>0.22152681727809465</v>
      </c>
    </row>
    <row r="189" spans="1:10" ht="11.25" customHeight="1" x14ac:dyDescent="0.2">
      <c r="A189" s="66">
        <v>44470</v>
      </c>
      <c r="B189" s="56">
        <v>3829.7999999999997</v>
      </c>
      <c r="C189" s="56">
        <v>4678.2034048116466</v>
      </c>
      <c r="D189" s="56">
        <v>0</v>
      </c>
      <c r="E189" s="56">
        <v>0</v>
      </c>
      <c r="F189" s="56">
        <v>0</v>
      </c>
      <c r="G189" s="56">
        <v>0</v>
      </c>
      <c r="H189" s="57">
        <v>0.22152681727809465</v>
      </c>
      <c r="I189" s="57">
        <v>0</v>
      </c>
      <c r="J189" s="57">
        <v>0.22152681727809465</v>
      </c>
    </row>
    <row r="190" spans="1:10" ht="11.25" customHeight="1" x14ac:dyDescent="0.2">
      <c r="A190" s="66">
        <v>44501</v>
      </c>
      <c r="B190" s="56">
        <v>3829.7999999999997</v>
      </c>
      <c r="C190" s="56">
        <v>4678.2034048116466</v>
      </c>
      <c r="D190" s="56">
        <v>0</v>
      </c>
      <c r="E190" s="56">
        <v>0</v>
      </c>
      <c r="F190" s="56">
        <v>0</v>
      </c>
      <c r="G190" s="56">
        <v>0</v>
      </c>
      <c r="H190" s="57">
        <v>0.22152681727809465</v>
      </c>
      <c r="I190" s="57">
        <v>0</v>
      </c>
      <c r="J190" s="57">
        <v>0.22152681727809465</v>
      </c>
    </row>
    <row r="191" spans="1:10" ht="11.25" customHeight="1" x14ac:dyDescent="0.2">
      <c r="A191" s="66">
        <v>44531</v>
      </c>
      <c r="B191" s="56">
        <v>3829.7999999999997</v>
      </c>
      <c r="C191" s="56">
        <v>4678.2034048116466</v>
      </c>
      <c r="D191" s="56">
        <v>0</v>
      </c>
      <c r="E191" s="56">
        <v>0</v>
      </c>
      <c r="F191" s="56">
        <v>0</v>
      </c>
      <c r="G191" s="56">
        <v>0</v>
      </c>
      <c r="H191" s="57">
        <v>0.22152681727809465</v>
      </c>
      <c r="I191" s="57">
        <v>0</v>
      </c>
      <c r="J191" s="57">
        <v>0.22152681727809465</v>
      </c>
    </row>
    <row r="192" spans="1:10" ht="11.25" customHeight="1" x14ac:dyDescent="0.2">
      <c r="A192" s="66">
        <v>44562</v>
      </c>
      <c r="B192" s="56">
        <v>3829.7999999999997</v>
      </c>
      <c r="C192" s="56">
        <v>4678.2034048116466</v>
      </c>
      <c r="D192" s="56">
        <v>0</v>
      </c>
      <c r="E192" s="56">
        <v>0</v>
      </c>
      <c r="F192" s="56">
        <v>0</v>
      </c>
      <c r="G192" s="56">
        <v>0</v>
      </c>
      <c r="H192" s="57">
        <v>0.22152681727809465</v>
      </c>
      <c r="I192" s="57">
        <v>0</v>
      </c>
      <c r="J192" s="57">
        <v>0.22152681727809465</v>
      </c>
    </row>
    <row r="193" spans="1:10" ht="11.25" customHeight="1" x14ac:dyDescent="0.2">
      <c r="A193" s="66">
        <v>44593</v>
      </c>
      <c r="B193" s="56">
        <v>3829.7999999999997</v>
      </c>
      <c r="C193" s="56">
        <v>4678.2034048116466</v>
      </c>
      <c r="D193" s="56">
        <v>0</v>
      </c>
      <c r="E193" s="56">
        <v>0</v>
      </c>
      <c r="F193" s="56">
        <v>0</v>
      </c>
      <c r="G193" s="56">
        <v>0</v>
      </c>
      <c r="H193" s="57">
        <v>0.22152681727809465</v>
      </c>
      <c r="I193" s="57">
        <v>0</v>
      </c>
      <c r="J193" s="57">
        <v>0.22152681727809465</v>
      </c>
    </row>
    <row r="194" spans="1:10" ht="11.25" customHeight="1" x14ac:dyDescent="0.2">
      <c r="A194" s="66">
        <v>44621</v>
      </c>
      <c r="B194" s="56">
        <v>3829.7999999999997</v>
      </c>
      <c r="C194" s="56">
        <v>4678.2034048116466</v>
      </c>
      <c r="D194" s="56">
        <v>0</v>
      </c>
      <c r="E194" s="56">
        <v>0</v>
      </c>
      <c r="F194" s="56">
        <v>0</v>
      </c>
      <c r="G194" s="56">
        <v>0</v>
      </c>
      <c r="H194" s="57">
        <v>0.22152681727809465</v>
      </c>
      <c r="I194" s="57">
        <v>0</v>
      </c>
      <c r="J194" s="57">
        <v>0.22152681727809465</v>
      </c>
    </row>
    <row r="195" spans="1:10" ht="11.25" customHeight="1" x14ac:dyDescent="0.2">
      <c r="A195" s="65" t="s">
        <v>35</v>
      </c>
      <c r="B195" s="56">
        <v>0</v>
      </c>
      <c r="C195" s="56">
        <v>0</v>
      </c>
      <c r="D195" s="56">
        <v>15320.924079999999</v>
      </c>
      <c r="E195" s="56">
        <v>18494.379702735605</v>
      </c>
      <c r="F195" s="56">
        <v>875.35271999999998</v>
      </c>
      <c r="G195" s="56">
        <v>986.87908923424334</v>
      </c>
      <c r="H195" s="57">
        <v>0.20713212898680489</v>
      </c>
      <c r="I195" s="57">
        <v>0.12740734870195336</v>
      </c>
      <c r="J195" s="57">
        <v>0.20282328046961062</v>
      </c>
    </row>
    <row r="196" spans="1:10" ht="11.25" customHeight="1" x14ac:dyDescent="0.2">
      <c r="A196" s="66">
        <v>44287</v>
      </c>
      <c r="B196" s="56">
        <v>0</v>
      </c>
      <c r="C196" s="56">
        <v>0</v>
      </c>
      <c r="D196" s="56">
        <v>830.01834999999994</v>
      </c>
      <c r="E196" s="56">
        <v>1001.941817933615</v>
      </c>
      <c r="F196" s="56">
        <v>47.422649999999997</v>
      </c>
      <c r="G196" s="56">
        <v>53.46464410492068</v>
      </c>
      <c r="H196" s="57">
        <v>0.20713212898680489</v>
      </c>
      <c r="I196" s="57">
        <v>0.12740734870195314</v>
      </c>
      <c r="J196" s="57">
        <v>0.20282328046961084</v>
      </c>
    </row>
    <row r="197" spans="1:10" ht="11.25" customHeight="1" x14ac:dyDescent="0.2">
      <c r="A197" s="66">
        <v>44317</v>
      </c>
      <c r="B197" s="56">
        <v>0</v>
      </c>
      <c r="C197" s="56">
        <v>0</v>
      </c>
      <c r="D197" s="56">
        <v>753.08981999999992</v>
      </c>
      <c r="E197" s="56">
        <v>909.07891773488973</v>
      </c>
      <c r="F197" s="56">
        <v>43.027380000000001</v>
      </c>
      <c r="G197" s="56">
        <v>48.509384407391451</v>
      </c>
      <c r="H197" s="57">
        <v>0.20713212898680511</v>
      </c>
      <c r="I197" s="57">
        <v>0.12740734870195336</v>
      </c>
      <c r="J197" s="57">
        <v>0.20282328046961084</v>
      </c>
    </row>
    <row r="198" spans="1:10" ht="11.25" customHeight="1" x14ac:dyDescent="0.2">
      <c r="A198" s="66">
        <v>44348</v>
      </c>
      <c r="B198" s="56">
        <v>0</v>
      </c>
      <c r="C198" s="56">
        <v>0</v>
      </c>
      <c r="D198" s="56">
        <v>744.99207999999999</v>
      </c>
      <c r="E198" s="56">
        <v>899.30387560870815</v>
      </c>
      <c r="F198" s="56">
        <v>42.564720000000001</v>
      </c>
      <c r="G198" s="56">
        <v>47.987778123441004</v>
      </c>
      <c r="H198" s="57">
        <v>0.20713212898680511</v>
      </c>
      <c r="I198" s="57">
        <v>0.12740734870195314</v>
      </c>
      <c r="J198" s="57">
        <v>0.20282328046961084</v>
      </c>
    </row>
    <row r="199" spans="1:10" ht="11.25" customHeight="1" x14ac:dyDescent="0.2">
      <c r="A199" s="66">
        <v>44378</v>
      </c>
      <c r="B199" s="56">
        <v>0</v>
      </c>
      <c r="C199" s="56">
        <v>0</v>
      </c>
      <c r="D199" s="56">
        <v>765.23643000000004</v>
      </c>
      <c r="E199" s="56">
        <v>923.74148092416215</v>
      </c>
      <c r="F199" s="56">
        <v>43.72137</v>
      </c>
      <c r="G199" s="56">
        <v>49.291793833317115</v>
      </c>
      <c r="H199" s="57">
        <v>0.20713212898680489</v>
      </c>
      <c r="I199" s="57">
        <v>0.12740734870195314</v>
      </c>
      <c r="J199" s="57">
        <v>0.20282328046961062</v>
      </c>
    </row>
    <row r="200" spans="1:10" ht="11.25" customHeight="1" x14ac:dyDescent="0.2">
      <c r="A200" s="66">
        <v>44409</v>
      </c>
      <c r="B200" s="56">
        <v>0</v>
      </c>
      <c r="C200" s="56">
        <v>0</v>
      </c>
      <c r="D200" s="56">
        <v>700.45450999999991</v>
      </c>
      <c r="E200" s="56">
        <v>845.54114391470921</v>
      </c>
      <c r="F200" s="56">
        <v>40.020089999999996</v>
      </c>
      <c r="G200" s="56">
        <v>45.11894356171355</v>
      </c>
      <c r="H200" s="57">
        <v>0.20713212898680511</v>
      </c>
      <c r="I200" s="57">
        <v>0.12740734870195336</v>
      </c>
      <c r="J200" s="57">
        <v>0.20282328046961084</v>
      </c>
    </row>
    <row r="201" spans="1:10" ht="11.25" customHeight="1" x14ac:dyDescent="0.2">
      <c r="A201" s="66">
        <v>44440</v>
      </c>
      <c r="B201" s="56">
        <v>0</v>
      </c>
      <c r="C201" s="56">
        <v>0</v>
      </c>
      <c r="D201" s="56">
        <v>1765.3073199999999</v>
      </c>
      <c r="E201" s="56">
        <v>2130.9591835075908</v>
      </c>
      <c r="F201" s="56">
        <v>100.85988</v>
      </c>
      <c r="G201" s="56">
        <v>113.71016990119716</v>
      </c>
      <c r="H201" s="57">
        <v>0.20713212898680489</v>
      </c>
      <c r="I201" s="57">
        <v>0.12740734870195314</v>
      </c>
      <c r="J201" s="57">
        <v>0.20282328046961084</v>
      </c>
    </row>
    <row r="202" spans="1:10" ht="11.25" customHeight="1" x14ac:dyDescent="0.2">
      <c r="A202" s="66">
        <v>44470</v>
      </c>
      <c r="B202" s="56">
        <v>0</v>
      </c>
      <c r="C202" s="56">
        <v>0</v>
      </c>
      <c r="D202" s="56">
        <v>1635.7434800000001</v>
      </c>
      <c r="E202" s="56">
        <v>1974.5585094886853</v>
      </c>
      <c r="F202" s="56">
        <v>93.45732000000001</v>
      </c>
      <c r="G202" s="56">
        <v>105.36446935799003</v>
      </c>
      <c r="H202" s="57">
        <v>0.20713212898680489</v>
      </c>
      <c r="I202" s="57">
        <v>0.12740734870195314</v>
      </c>
      <c r="J202" s="57">
        <v>0.20282328046961084</v>
      </c>
    </row>
    <row r="203" spans="1:10" ht="11.25" customHeight="1" x14ac:dyDescent="0.2">
      <c r="A203" s="66">
        <v>44501</v>
      </c>
      <c r="B203" s="56">
        <v>0</v>
      </c>
      <c r="C203" s="56">
        <v>0</v>
      </c>
      <c r="D203" s="56">
        <v>1506.1796399999998</v>
      </c>
      <c r="E203" s="56">
        <v>1818.1578354697795</v>
      </c>
      <c r="F203" s="56">
        <v>86.054760000000002</v>
      </c>
      <c r="G203" s="56">
        <v>97.018768814782902</v>
      </c>
      <c r="H203" s="57">
        <v>0.20713212898680511</v>
      </c>
      <c r="I203" s="57">
        <v>0.12740734870195336</v>
      </c>
      <c r="J203" s="57">
        <v>0.20282328046961084</v>
      </c>
    </row>
    <row r="204" spans="1:10" ht="11.25" customHeight="1" x14ac:dyDescent="0.2">
      <c r="A204" s="66">
        <v>44531</v>
      </c>
      <c r="B204" s="56">
        <v>0</v>
      </c>
      <c r="C204" s="56">
        <v>0</v>
      </c>
      <c r="D204" s="56">
        <v>1902.9688999999998</v>
      </c>
      <c r="E204" s="56">
        <v>2297.1348996526781</v>
      </c>
      <c r="F204" s="56">
        <v>108.7251</v>
      </c>
      <c r="G204" s="56">
        <v>122.57747672835472</v>
      </c>
      <c r="H204" s="57">
        <v>0.20713212898680489</v>
      </c>
      <c r="I204" s="57">
        <v>0.12740734870195314</v>
      </c>
      <c r="J204" s="57">
        <v>0.20282328046961062</v>
      </c>
    </row>
    <row r="205" spans="1:10" ht="11.25" customHeight="1" x14ac:dyDescent="0.2">
      <c r="A205" s="66">
        <v>44562</v>
      </c>
      <c r="B205" s="56">
        <v>0</v>
      </c>
      <c r="C205" s="56">
        <v>0</v>
      </c>
      <c r="D205" s="56">
        <v>1392.8112799999999</v>
      </c>
      <c r="E205" s="56">
        <v>1681.3072457032367</v>
      </c>
      <c r="F205" s="56">
        <v>79.577519999999993</v>
      </c>
      <c r="G205" s="56">
        <v>89.716280839476653</v>
      </c>
      <c r="H205" s="57">
        <v>0.20713212898680489</v>
      </c>
      <c r="I205" s="57">
        <v>0.12740734870195336</v>
      </c>
      <c r="J205" s="57">
        <v>0.20282328046961062</v>
      </c>
    </row>
    <row r="206" spans="1:10" ht="11.25" customHeight="1" x14ac:dyDescent="0.2">
      <c r="A206" s="66">
        <v>44593</v>
      </c>
      <c r="B206" s="56">
        <v>0</v>
      </c>
      <c r="C206" s="56">
        <v>0</v>
      </c>
      <c r="D206" s="56">
        <v>1639.7923500000002</v>
      </c>
      <c r="E206" s="56">
        <v>1979.4460305517762</v>
      </c>
      <c r="F206" s="56">
        <v>93.68865000000001</v>
      </c>
      <c r="G206" s="56">
        <v>105.62527249996526</v>
      </c>
      <c r="H206" s="57">
        <v>0.20713212898680489</v>
      </c>
      <c r="I206" s="57">
        <v>0.12740734870195314</v>
      </c>
      <c r="J206" s="57">
        <v>0.20282328046961062</v>
      </c>
    </row>
    <row r="207" spans="1:10" ht="11.25" customHeight="1" x14ac:dyDescent="0.2">
      <c r="A207" s="66">
        <v>44621</v>
      </c>
      <c r="B207" s="56">
        <v>0</v>
      </c>
      <c r="C207" s="56">
        <v>0</v>
      </c>
      <c r="D207" s="56">
        <v>1684.3299199999999</v>
      </c>
      <c r="E207" s="56">
        <v>2033.2087622457748</v>
      </c>
      <c r="F207" s="56">
        <v>96.233280000000008</v>
      </c>
      <c r="G207" s="56">
        <v>108.4941070616927</v>
      </c>
      <c r="H207" s="57">
        <v>0.20713212898680489</v>
      </c>
      <c r="I207" s="57">
        <v>0.12740734870195314</v>
      </c>
      <c r="J207" s="57">
        <v>0.20282328046961084</v>
      </c>
    </row>
    <row r="208" spans="1:10" ht="11.25" customHeight="1" x14ac:dyDescent="0.2">
      <c r="A208" s="59" t="s">
        <v>22</v>
      </c>
      <c r="B208" s="56">
        <v>0</v>
      </c>
      <c r="C208" s="56">
        <v>0</v>
      </c>
      <c r="D208" s="56">
        <v>21555286.359540995</v>
      </c>
      <c r="E208" s="56">
        <v>26243588.091443822</v>
      </c>
      <c r="F208" s="56">
        <v>6313807.4256709982</v>
      </c>
      <c r="G208" s="56">
        <v>7118229.4822958196</v>
      </c>
      <c r="H208" s="57">
        <v>0.2175012502131608</v>
      </c>
      <c r="I208" s="57">
        <v>0.1274068089809266</v>
      </c>
      <c r="J208" s="57">
        <v>0.19709014691544247</v>
      </c>
    </row>
    <row r="209" spans="1:10" ht="11.25" customHeight="1" x14ac:dyDescent="0.2">
      <c r="A209" s="60" t="s">
        <v>37</v>
      </c>
      <c r="B209" s="56">
        <v>0</v>
      </c>
      <c r="C209" s="56">
        <v>0</v>
      </c>
      <c r="D209" s="56">
        <v>13634.065860000006</v>
      </c>
      <c r="E209" s="56">
        <v>16635.608599703217</v>
      </c>
      <c r="F209" s="56">
        <v>4469.9895900000001</v>
      </c>
      <c r="G209" s="56">
        <v>5039.4991123872305</v>
      </c>
      <c r="H209" s="57">
        <v>0.2201502303512568</v>
      </c>
      <c r="I209" s="57">
        <v>0.12740734870195292</v>
      </c>
      <c r="J209" s="57">
        <v>0.19725150930701751</v>
      </c>
    </row>
    <row r="210" spans="1:10" ht="11.25" customHeight="1" x14ac:dyDescent="0.2">
      <c r="A210" s="61" t="s">
        <v>24</v>
      </c>
      <c r="B210" s="56">
        <v>0</v>
      </c>
      <c r="C210" s="56">
        <v>0</v>
      </c>
      <c r="D210" s="56">
        <v>13634.065860000006</v>
      </c>
      <c r="E210" s="56">
        <v>16635.608599703217</v>
      </c>
      <c r="F210" s="56">
        <v>4469.9895900000001</v>
      </c>
      <c r="G210" s="56">
        <v>5039.4991123872305</v>
      </c>
      <c r="H210" s="57">
        <v>0.2201502303512568</v>
      </c>
      <c r="I210" s="57">
        <v>0.12740734870195292</v>
      </c>
      <c r="J210" s="57">
        <v>0.19725150930701751</v>
      </c>
    </row>
    <row r="211" spans="1:10" ht="11.25" customHeight="1" x14ac:dyDescent="0.2">
      <c r="A211" s="62" t="s">
        <v>24</v>
      </c>
      <c r="B211" s="56">
        <v>0</v>
      </c>
      <c r="C211" s="56">
        <v>0</v>
      </c>
      <c r="D211" s="56">
        <v>13634.065860000006</v>
      </c>
      <c r="E211" s="56">
        <v>16635.608599703217</v>
      </c>
      <c r="F211" s="56">
        <v>4469.9895900000001</v>
      </c>
      <c r="G211" s="56">
        <v>5039.4991123872305</v>
      </c>
      <c r="H211" s="57">
        <v>0.2201502303512568</v>
      </c>
      <c r="I211" s="57">
        <v>0.12740734870195292</v>
      </c>
      <c r="J211" s="57">
        <v>0.19725150930701751</v>
      </c>
    </row>
    <row r="212" spans="1:10" ht="11.25" customHeight="1" x14ac:dyDescent="0.2">
      <c r="A212" s="63" t="s">
        <v>25</v>
      </c>
      <c r="B212" s="56">
        <v>0</v>
      </c>
      <c r="C212" s="56">
        <v>0</v>
      </c>
      <c r="D212" s="56">
        <v>13634.065860000006</v>
      </c>
      <c r="E212" s="56">
        <v>16635.608599703217</v>
      </c>
      <c r="F212" s="56">
        <v>4469.9895900000001</v>
      </c>
      <c r="G212" s="56">
        <v>5039.4991123872305</v>
      </c>
      <c r="H212" s="57">
        <v>0.2201502303512568</v>
      </c>
      <c r="I212" s="57">
        <v>0.12740734870195292</v>
      </c>
      <c r="J212" s="57">
        <v>0.19725150930701751</v>
      </c>
    </row>
    <row r="213" spans="1:10" ht="11.25" customHeight="1" x14ac:dyDescent="0.2">
      <c r="A213" s="64" t="s">
        <v>25</v>
      </c>
      <c r="B213" s="56">
        <v>0</v>
      </c>
      <c r="C213" s="56">
        <v>0</v>
      </c>
      <c r="D213" s="56">
        <v>13634.065860000006</v>
      </c>
      <c r="E213" s="56">
        <v>16635.608599703217</v>
      </c>
      <c r="F213" s="56">
        <v>4469.9895900000001</v>
      </c>
      <c r="G213" s="56">
        <v>5039.4991123872305</v>
      </c>
      <c r="H213" s="57">
        <v>0.2201502303512568</v>
      </c>
      <c r="I213" s="57">
        <v>0.12740734870195292</v>
      </c>
      <c r="J213" s="57">
        <v>0.19725150930701751</v>
      </c>
    </row>
    <row r="214" spans="1:10" ht="11.25" customHeight="1" x14ac:dyDescent="0.2">
      <c r="A214" s="65" t="s">
        <v>36</v>
      </c>
      <c r="B214" s="56">
        <v>0</v>
      </c>
      <c r="C214" s="56">
        <v>0</v>
      </c>
      <c r="D214" s="56">
        <v>7767.5012999999999</v>
      </c>
      <c r="E214" s="56">
        <v>9538.601037820732</v>
      </c>
      <c r="F214" s="56">
        <v>3651.77538</v>
      </c>
      <c r="G214" s="56">
        <v>4117.0383992208672</v>
      </c>
      <c r="H214" s="57">
        <v>0.22801408965592729</v>
      </c>
      <c r="I214" s="57">
        <v>0.12740734870195292</v>
      </c>
      <c r="J214" s="57">
        <v>0.19584101687967825</v>
      </c>
    </row>
    <row r="215" spans="1:10" ht="11.25" customHeight="1" x14ac:dyDescent="0.2">
      <c r="A215" s="66">
        <v>44287</v>
      </c>
      <c r="B215" s="56">
        <v>0</v>
      </c>
      <c r="C215" s="56">
        <v>0</v>
      </c>
      <c r="D215" s="56">
        <v>858.13520000000005</v>
      </c>
      <c r="E215" s="56">
        <v>1053.8021164297074</v>
      </c>
      <c r="F215" s="56">
        <v>403.43952000000002</v>
      </c>
      <c r="G215" s="56">
        <v>454.84067960478865</v>
      </c>
      <c r="H215" s="57">
        <v>0.22801408965592751</v>
      </c>
      <c r="I215" s="57">
        <v>0.12740734870195314</v>
      </c>
      <c r="J215" s="57">
        <v>0.1958410168796787</v>
      </c>
    </row>
    <row r="216" spans="1:10" ht="11.25" customHeight="1" x14ac:dyDescent="0.2">
      <c r="A216" s="66">
        <v>44317</v>
      </c>
      <c r="B216" s="56">
        <v>0</v>
      </c>
      <c r="C216" s="56">
        <v>0</v>
      </c>
      <c r="D216" s="56">
        <v>668.20390000000009</v>
      </c>
      <c r="E216" s="56">
        <v>820.56380396304053</v>
      </c>
      <c r="F216" s="56">
        <v>314.14614000000006</v>
      </c>
      <c r="G216" s="56">
        <v>354.17066680235263</v>
      </c>
      <c r="H216" s="57">
        <v>0.22801408965592751</v>
      </c>
      <c r="I216" s="57">
        <v>0.12740734870195314</v>
      </c>
      <c r="J216" s="57">
        <v>0.19584101687967848</v>
      </c>
    </row>
    <row r="217" spans="1:10" ht="11.25" customHeight="1" x14ac:dyDescent="0.2">
      <c r="A217" s="66">
        <v>44348</v>
      </c>
      <c r="B217" s="56">
        <v>0</v>
      </c>
      <c r="C217" s="56">
        <v>0</v>
      </c>
      <c r="D217" s="56">
        <v>694.77459999999996</v>
      </c>
      <c r="E217" s="56">
        <v>853.19299793506116</v>
      </c>
      <c r="F217" s="56">
        <v>326.63796000000002</v>
      </c>
      <c r="G217" s="56">
        <v>368.25403646901464</v>
      </c>
      <c r="H217" s="57">
        <v>0.22801408965592751</v>
      </c>
      <c r="I217" s="57">
        <v>0.12740734870195314</v>
      </c>
      <c r="J217" s="57">
        <v>0.1958410168796787</v>
      </c>
    </row>
    <row r="218" spans="1:10" ht="11.25" customHeight="1" x14ac:dyDescent="0.2">
      <c r="A218" s="66">
        <v>44378</v>
      </c>
      <c r="B218" s="56">
        <v>0</v>
      </c>
      <c r="C218" s="56">
        <v>0</v>
      </c>
      <c r="D218" s="56">
        <v>598.82485000000008</v>
      </c>
      <c r="E218" s="56">
        <v>735.36535303609742</v>
      </c>
      <c r="F218" s="56">
        <v>281.52861000000001</v>
      </c>
      <c r="G218" s="56">
        <v>317.39742378384619</v>
      </c>
      <c r="H218" s="57">
        <v>0.22801408965592751</v>
      </c>
      <c r="I218" s="57">
        <v>0.12740734870195314</v>
      </c>
      <c r="J218" s="57">
        <v>0.1958410168796787</v>
      </c>
    </row>
    <row r="219" spans="1:10" ht="11.25" customHeight="1" x14ac:dyDescent="0.2">
      <c r="A219" s="66">
        <v>44409</v>
      </c>
      <c r="B219" s="56">
        <v>0</v>
      </c>
      <c r="C219" s="56">
        <v>0</v>
      </c>
      <c r="D219" s="56">
        <v>537.31860000000006</v>
      </c>
      <c r="E219" s="56">
        <v>659.8348114341976</v>
      </c>
      <c r="F219" s="56">
        <v>252.61236000000002</v>
      </c>
      <c r="G219" s="56">
        <v>284.79703103694334</v>
      </c>
      <c r="H219" s="57">
        <v>0.22801408965592773</v>
      </c>
      <c r="I219" s="57">
        <v>0.12740734870195314</v>
      </c>
      <c r="J219" s="57">
        <v>0.1958410168796787</v>
      </c>
    </row>
    <row r="220" spans="1:10" ht="11.25" customHeight="1" x14ac:dyDescent="0.2">
      <c r="A220" s="66">
        <v>44440</v>
      </c>
      <c r="B220" s="56">
        <v>0</v>
      </c>
      <c r="C220" s="56">
        <v>0</v>
      </c>
      <c r="D220" s="56">
        <v>692.80639999999994</v>
      </c>
      <c r="E220" s="56">
        <v>850.77602060380036</v>
      </c>
      <c r="F220" s="56">
        <v>325.71264000000002</v>
      </c>
      <c r="G220" s="56">
        <v>367.21082390111377</v>
      </c>
      <c r="H220" s="57">
        <v>0.22801408965592751</v>
      </c>
      <c r="I220" s="57">
        <v>0.12740734870195314</v>
      </c>
      <c r="J220" s="57">
        <v>0.19584101687967892</v>
      </c>
    </row>
    <row r="221" spans="1:10" ht="11.25" customHeight="1" x14ac:dyDescent="0.2">
      <c r="A221" s="66">
        <v>44470</v>
      </c>
      <c r="B221" s="56">
        <v>0</v>
      </c>
      <c r="C221" s="56">
        <v>0</v>
      </c>
      <c r="D221" s="56">
        <v>621.45914999999991</v>
      </c>
      <c r="E221" s="56">
        <v>763.16059234559646</v>
      </c>
      <c r="F221" s="56">
        <v>292.16978999999998</v>
      </c>
      <c r="G221" s="56">
        <v>329.39436831470641</v>
      </c>
      <c r="H221" s="57">
        <v>0.22801408965592751</v>
      </c>
      <c r="I221" s="57">
        <v>0.12740734870195314</v>
      </c>
      <c r="J221" s="57">
        <v>0.19584101687967892</v>
      </c>
    </row>
    <row r="222" spans="1:10" ht="11.25" customHeight="1" x14ac:dyDescent="0.2">
      <c r="A222" s="66">
        <v>44501</v>
      </c>
      <c r="B222" s="56">
        <v>0</v>
      </c>
      <c r="C222" s="56">
        <v>0</v>
      </c>
      <c r="D222" s="56">
        <v>603.25329999999997</v>
      </c>
      <c r="E222" s="56">
        <v>740.80355203143415</v>
      </c>
      <c r="F222" s="56">
        <v>283.61058000000003</v>
      </c>
      <c r="G222" s="56">
        <v>319.74465206162319</v>
      </c>
      <c r="H222" s="57">
        <v>0.22801408965592751</v>
      </c>
      <c r="I222" s="57">
        <v>0.12740734870195314</v>
      </c>
      <c r="J222" s="57">
        <v>0.1958410168796787</v>
      </c>
    </row>
    <row r="223" spans="1:10" ht="11.25" customHeight="1" x14ac:dyDescent="0.2">
      <c r="A223" s="66">
        <v>44531</v>
      </c>
      <c r="B223" s="56">
        <v>0</v>
      </c>
      <c r="C223" s="56">
        <v>0</v>
      </c>
      <c r="D223" s="56">
        <v>614.57045000000005</v>
      </c>
      <c r="E223" s="56">
        <v>754.70117168618378</v>
      </c>
      <c r="F223" s="56">
        <v>288.93117000000001</v>
      </c>
      <c r="G223" s="56">
        <v>325.74312432705335</v>
      </c>
      <c r="H223" s="57">
        <v>0.22801408965592751</v>
      </c>
      <c r="I223" s="57">
        <v>0.12740734870195336</v>
      </c>
      <c r="J223" s="57">
        <v>0.1958410168796787</v>
      </c>
    </row>
    <row r="224" spans="1:10" ht="11.25" customHeight="1" x14ac:dyDescent="0.2">
      <c r="A224" s="66">
        <v>44562</v>
      </c>
      <c r="B224" s="56">
        <v>0</v>
      </c>
      <c r="C224" s="56">
        <v>0</v>
      </c>
      <c r="D224" s="56">
        <v>599.31690000000003</v>
      </c>
      <c r="E224" s="56">
        <v>735.96959736891267</v>
      </c>
      <c r="F224" s="56">
        <v>281.75994000000003</v>
      </c>
      <c r="G224" s="56">
        <v>317.6582269258214</v>
      </c>
      <c r="H224" s="57">
        <v>0.22801408965592773</v>
      </c>
      <c r="I224" s="57">
        <v>0.12740734870195314</v>
      </c>
      <c r="J224" s="57">
        <v>0.19584101687967892</v>
      </c>
    </row>
    <row r="225" spans="1:10" ht="11.25" customHeight="1" x14ac:dyDescent="0.2">
      <c r="A225" s="66">
        <v>44593</v>
      </c>
      <c r="B225" s="56">
        <v>0</v>
      </c>
      <c r="C225" s="56">
        <v>0</v>
      </c>
      <c r="D225" s="56">
        <v>644.58550000000002</v>
      </c>
      <c r="E225" s="56">
        <v>791.56007598791098</v>
      </c>
      <c r="F225" s="56">
        <v>303.04230000000001</v>
      </c>
      <c r="G225" s="56">
        <v>341.65211598754195</v>
      </c>
      <c r="H225" s="57">
        <v>0.22801408965592773</v>
      </c>
      <c r="I225" s="57">
        <v>0.12740734870195336</v>
      </c>
      <c r="J225" s="57">
        <v>0.19584101687967892</v>
      </c>
    </row>
    <row r="226" spans="1:10" ht="11.25" customHeight="1" x14ac:dyDescent="0.2">
      <c r="A226" s="66">
        <v>44621</v>
      </c>
      <c r="B226" s="56">
        <v>0</v>
      </c>
      <c r="C226" s="56">
        <v>0</v>
      </c>
      <c r="D226" s="56">
        <v>634.25244999999995</v>
      </c>
      <c r="E226" s="56">
        <v>778.87094499879174</v>
      </c>
      <c r="F226" s="56">
        <v>298.18437</v>
      </c>
      <c r="G226" s="56">
        <v>336.17525000606224</v>
      </c>
      <c r="H226" s="57">
        <v>0.22801408965592773</v>
      </c>
      <c r="I226" s="57">
        <v>0.12740734870195314</v>
      </c>
      <c r="J226" s="57">
        <v>0.1958410168796787</v>
      </c>
    </row>
    <row r="227" spans="1:10" ht="11.25" customHeight="1" x14ac:dyDescent="0.2">
      <c r="A227" s="65" t="s">
        <v>38</v>
      </c>
      <c r="B227" s="56">
        <v>0</v>
      </c>
      <c r="C227" s="56">
        <v>0</v>
      </c>
      <c r="D227" s="56">
        <v>1464.2489799999998</v>
      </c>
      <c r="E227" s="56">
        <v>1775.7070975888437</v>
      </c>
      <c r="F227" s="56">
        <v>282.91658999999993</v>
      </c>
      <c r="G227" s="56">
        <v>318.96224263569752</v>
      </c>
      <c r="H227" s="57">
        <v>0.21270844087516028</v>
      </c>
      <c r="I227" s="57">
        <v>0.12740734870195336</v>
      </c>
      <c r="J227" s="57">
        <v>0.19889572928371146</v>
      </c>
    </row>
    <row r="228" spans="1:10" ht="11.25" customHeight="1" x14ac:dyDescent="0.2">
      <c r="A228" s="66">
        <v>44287</v>
      </c>
      <c r="B228" s="56">
        <v>0</v>
      </c>
      <c r="C228" s="56">
        <v>0</v>
      </c>
      <c r="D228" s="56">
        <v>142.47394</v>
      </c>
      <c r="E228" s="56">
        <v>172.77934964274112</v>
      </c>
      <c r="F228" s="56">
        <v>27.528269999999999</v>
      </c>
      <c r="G228" s="56">
        <v>31.035573895051517</v>
      </c>
      <c r="H228" s="57">
        <v>0.21270844087516028</v>
      </c>
      <c r="I228" s="57">
        <v>0.12740734870195314</v>
      </c>
      <c r="J228" s="57">
        <v>0.19889572928371146</v>
      </c>
    </row>
    <row r="229" spans="1:10" ht="11.25" customHeight="1" x14ac:dyDescent="0.2">
      <c r="A229" s="66">
        <v>44317</v>
      </c>
      <c r="B229" s="56">
        <v>0</v>
      </c>
      <c r="C229" s="56">
        <v>0</v>
      </c>
      <c r="D229" s="56">
        <v>125.7123</v>
      </c>
      <c r="E229" s="56">
        <v>152.4523673318304</v>
      </c>
      <c r="F229" s="56">
        <v>24.289650000000002</v>
      </c>
      <c r="G229" s="56">
        <v>27.384329907398399</v>
      </c>
      <c r="H229" s="57">
        <v>0.21270844087516028</v>
      </c>
      <c r="I229" s="57">
        <v>0.12740734870195314</v>
      </c>
      <c r="J229" s="57">
        <v>0.19889572928371146</v>
      </c>
    </row>
    <row r="230" spans="1:10" ht="11.25" customHeight="1" x14ac:dyDescent="0.2">
      <c r="A230" s="66">
        <v>44348</v>
      </c>
      <c r="B230" s="56">
        <v>0</v>
      </c>
      <c r="C230" s="56">
        <v>0</v>
      </c>
      <c r="D230" s="56">
        <v>114.93696</v>
      </c>
      <c r="E230" s="56">
        <v>139.38502156053067</v>
      </c>
      <c r="F230" s="56">
        <v>22.207680000000003</v>
      </c>
      <c r="G230" s="56">
        <v>25.037101629621393</v>
      </c>
      <c r="H230" s="57">
        <v>0.2127084408751605</v>
      </c>
      <c r="I230" s="57">
        <v>0.12740734870195314</v>
      </c>
      <c r="J230" s="57">
        <v>0.19889572928371146</v>
      </c>
    </row>
    <row r="231" spans="1:10" ht="11.25" customHeight="1" x14ac:dyDescent="0.2">
      <c r="A231" s="66">
        <v>44378</v>
      </c>
      <c r="B231" s="56">
        <v>0</v>
      </c>
      <c r="C231" s="56">
        <v>0</v>
      </c>
      <c r="D231" s="56">
        <v>128.10682</v>
      </c>
      <c r="E231" s="56">
        <v>155.35622194767478</v>
      </c>
      <c r="F231" s="56">
        <v>24.752310000000001</v>
      </c>
      <c r="G231" s="56">
        <v>27.905936191348843</v>
      </c>
      <c r="H231" s="57">
        <v>0.21270844087516005</v>
      </c>
      <c r="I231" s="57">
        <v>0.12740734870195314</v>
      </c>
      <c r="J231" s="57">
        <v>0.19889572928371124</v>
      </c>
    </row>
    <row r="232" spans="1:10" ht="11.25" customHeight="1" x14ac:dyDescent="0.2">
      <c r="A232" s="66">
        <v>44409</v>
      </c>
      <c r="B232" s="56">
        <v>0</v>
      </c>
      <c r="C232" s="56">
        <v>0</v>
      </c>
      <c r="D232" s="56">
        <v>112.54244</v>
      </c>
      <c r="E232" s="56">
        <v>136.48116694468627</v>
      </c>
      <c r="F232" s="56">
        <v>21.74502</v>
      </c>
      <c r="G232" s="56">
        <v>24.515495345670946</v>
      </c>
      <c r="H232" s="57">
        <v>0.21270844087516028</v>
      </c>
      <c r="I232" s="57">
        <v>0.12740734870195314</v>
      </c>
      <c r="J232" s="57">
        <v>0.19889572928371124</v>
      </c>
    </row>
    <row r="233" spans="1:10" ht="11.25" customHeight="1" x14ac:dyDescent="0.2">
      <c r="A233" s="66">
        <v>44440</v>
      </c>
      <c r="B233" s="56">
        <v>0</v>
      </c>
      <c r="C233" s="56">
        <v>0</v>
      </c>
      <c r="D233" s="56">
        <v>131.6986</v>
      </c>
      <c r="E233" s="56">
        <v>159.71200387144137</v>
      </c>
      <c r="F233" s="56">
        <v>25.446300000000001</v>
      </c>
      <c r="G233" s="56">
        <v>28.688345617274514</v>
      </c>
      <c r="H233" s="57">
        <v>0.21270844087516028</v>
      </c>
      <c r="I233" s="57">
        <v>0.12740734870195336</v>
      </c>
      <c r="J233" s="57">
        <v>0.19889572928371124</v>
      </c>
    </row>
    <row r="234" spans="1:10" ht="11.25" customHeight="1" x14ac:dyDescent="0.2">
      <c r="A234" s="66">
        <v>44470</v>
      </c>
      <c r="B234" s="56">
        <v>0</v>
      </c>
      <c r="C234" s="56">
        <v>0</v>
      </c>
      <c r="D234" s="56">
        <v>104.16161999999998</v>
      </c>
      <c r="E234" s="56">
        <v>126.3176757892309</v>
      </c>
      <c r="F234" s="56">
        <v>20.125709999999998</v>
      </c>
      <c r="G234" s="56">
        <v>22.689873351844387</v>
      </c>
      <c r="H234" s="57">
        <v>0.21270844087516028</v>
      </c>
      <c r="I234" s="57">
        <v>0.12740734870195336</v>
      </c>
      <c r="J234" s="57">
        <v>0.19889572928371146</v>
      </c>
    </row>
    <row r="235" spans="1:10" ht="11.25" customHeight="1" x14ac:dyDescent="0.2">
      <c r="A235" s="66">
        <v>44501</v>
      </c>
      <c r="B235" s="56">
        <v>0</v>
      </c>
      <c r="C235" s="56">
        <v>0</v>
      </c>
      <c r="D235" s="56">
        <v>147.26298</v>
      </c>
      <c r="E235" s="56">
        <v>178.58705887442991</v>
      </c>
      <c r="F235" s="56">
        <v>28.453590000000002</v>
      </c>
      <c r="G235" s="56">
        <v>32.078786462952408</v>
      </c>
      <c r="H235" s="57">
        <v>0.21270844087516028</v>
      </c>
      <c r="I235" s="57">
        <v>0.12740734870195314</v>
      </c>
      <c r="J235" s="57">
        <v>0.19889572928371146</v>
      </c>
    </row>
    <row r="236" spans="1:10" ht="11.25" customHeight="1" x14ac:dyDescent="0.2">
      <c r="A236" s="66">
        <v>44531</v>
      </c>
      <c r="B236" s="56">
        <v>0</v>
      </c>
      <c r="C236" s="56">
        <v>0</v>
      </c>
      <c r="D236" s="56">
        <v>128.10682</v>
      </c>
      <c r="E236" s="56">
        <v>155.35622194767478</v>
      </c>
      <c r="F236" s="56">
        <v>24.752310000000001</v>
      </c>
      <c r="G236" s="56">
        <v>27.905936191348843</v>
      </c>
      <c r="H236" s="57">
        <v>0.21270844087516005</v>
      </c>
      <c r="I236" s="57">
        <v>0.12740734870195314</v>
      </c>
      <c r="J236" s="57">
        <v>0.19889572928371124</v>
      </c>
    </row>
    <row r="237" spans="1:10" ht="11.25" customHeight="1" x14ac:dyDescent="0.2">
      <c r="A237" s="66">
        <v>44562</v>
      </c>
      <c r="B237" s="56">
        <v>0</v>
      </c>
      <c r="C237" s="56">
        <v>0</v>
      </c>
      <c r="D237" s="56">
        <v>102.96435999999999</v>
      </c>
      <c r="E237" s="56">
        <v>124.8657484813087</v>
      </c>
      <c r="F237" s="56">
        <v>19.894379999999998</v>
      </c>
      <c r="G237" s="56">
        <v>22.429070209869163</v>
      </c>
      <c r="H237" s="57">
        <v>0.21270844087516028</v>
      </c>
      <c r="I237" s="57">
        <v>0.12740734870195336</v>
      </c>
      <c r="J237" s="57">
        <v>0.19889572928371124</v>
      </c>
    </row>
    <row r="238" spans="1:10" ht="11.25" customHeight="1" x14ac:dyDescent="0.2">
      <c r="A238" s="66">
        <v>44593</v>
      </c>
      <c r="B238" s="56">
        <v>0</v>
      </c>
      <c r="C238" s="56">
        <v>0</v>
      </c>
      <c r="D238" s="56">
        <v>106.55614</v>
      </c>
      <c r="E238" s="56">
        <v>129.2215304050753</v>
      </c>
      <c r="F238" s="56">
        <v>20.588370000000001</v>
      </c>
      <c r="G238" s="56">
        <v>23.211479635794831</v>
      </c>
      <c r="H238" s="57">
        <v>0.21270844087516028</v>
      </c>
      <c r="I238" s="57">
        <v>0.12740734870195314</v>
      </c>
      <c r="J238" s="57">
        <v>0.19889572928371146</v>
      </c>
    </row>
    <row r="239" spans="1:10" ht="11.25" customHeight="1" x14ac:dyDescent="0.2">
      <c r="A239" s="66">
        <v>44621</v>
      </c>
      <c r="B239" s="56">
        <v>0</v>
      </c>
      <c r="C239" s="56">
        <v>0</v>
      </c>
      <c r="D239" s="56">
        <v>119.726</v>
      </c>
      <c r="E239" s="56">
        <v>145.19273079221944</v>
      </c>
      <c r="F239" s="56">
        <v>23.133000000000003</v>
      </c>
      <c r="G239" s="56">
        <v>26.080314197522284</v>
      </c>
      <c r="H239" s="57">
        <v>0.21270844087516028</v>
      </c>
      <c r="I239" s="57">
        <v>0.12740734870195314</v>
      </c>
      <c r="J239" s="57">
        <v>0.19889572928371124</v>
      </c>
    </row>
    <row r="240" spans="1:10" ht="11.25" customHeight="1" x14ac:dyDescent="0.2">
      <c r="A240" s="65" t="s">
        <v>35</v>
      </c>
      <c r="B240" s="56">
        <v>0</v>
      </c>
      <c r="C240" s="56">
        <v>0</v>
      </c>
      <c r="D240" s="56">
        <v>4402.3155799999995</v>
      </c>
      <c r="E240" s="56">
        <v>5321.3004642936394</v>
      </c>
      <c r="F240" s="56">
        <v>535.29762000000005</v>
      </c>
      <c r="G240" s="56">
        <v>603.4984705306656</v>
      </c>
      <c r="H240" s="57">
        <v>0.20875034231272394</v>
      </c>
      <c r="I240" s="57">
        <v>0.12740734870195292</v>
      </c>
      <c r="J240" s="57">
        <v>0.19993176760470099</v>
      </c>
    </row>
    <row r="241" spans="1:10" ht="11.25" customHeight="1" x14ac:dyDescent="0.2">
      <c r="A241" s="66">
        <v>44287</v>
      </c>
      <c r="B241" s="56">
        <v>0</v>
      </c>
      <c r="C241" s="56">
        <v>0</v>
      </c>
      <c r="D241" s="56">
        <v>346.24953999999997</v>
      </c>
      <c r="E241" s="56">
        <v>418.52925000062334</v>
      </c>
      <c r="F241" s="56">
        <v>42.102060000000002</v>
      </c>
      <c r="G241" s="56">
        <v>47.466171839490556</v>
      </c>
      <c r="H241" s="57">
        <v>0.20875034231272438</v>
      </c>
      <c r="I241" s="57">
        <v>0.12740734870195314</v>
      </c>
      <c r="J241" s="57">
        <v>0.19993176760470122</v>
      </c>
    </row>
    <row r="242" spans="1:10" ht="11.25" customHeight="1" x14ac:dyDescent="0.2">
      <c r="A242" s="66">
        <v>44317</v>
      </c>
      <c r="B242" s="56">
        <v>0</v>
      </c>
      <c r="C242" s="56">
        <v>0</v>
      </c>
      <c r="D242" s="56">
        <v>317.71249</v>
      </c>
      <c r="E242" s="56">
        <v>384.035081044528</v>
      </c>
      <c r="F242" s="56">
        <v>38.632110000000004</v>
      </c>
      <c r="G242" s="56">
        <v>43.554124709862215</v>
      </c>
      <c r="H242" s="57">
        <v>0.20875034231272438</v>
      </c>
      <c r="I242" s="57">
        <v>0.12740734870195314</v>
      </c>
      <c r="J242" s="57">
        <v>0.19993176760470122</v>
      </c>
    </row>
    <row r="243" spans="1:10" ht="11.25" customHeight="1" x14ac:dyDescent="0.2">
      <c r="A243" s="66">
        <v>44348</v>
      </c>
      <c r="B243" s="56">
        <v>0</v>
      </c>
      <c r="C243" s="56">
        <v>0</v>
      </c>
      <c r="D243" s="56">
        <v>317.71249</v>
      </c>
      <c r="E243" s="56">
        <v>384.035081044528</v>
      </c>
      <c r="F243" s="56">
        <v>38.632110000000004</v>
      </c>
      <c r="G243" s="56">
        <v>43.554124709862215</v>
      </c>
      <c r="H243" s="57">
        <v>0.20875034231272438</v>
      </c>
      <c r="I243" s="57">
        <v>0.12740734870195314</v>
      </c>
      <c r="J243" s="57">
        <v>0.19993176760470122</v>
      </c>
    </row>
    <row r="244" spans="1:10" ht="11.25" customHeight="1" x14ac:dyDescent="0.2">
      <c r="A244" s="66">
        <v>44378</v>
      </c>
      <c r="B244" s="56">
        <v>0</v>
      </c>
      <c r="C244" s="56">
        <v>0</v>
      </c>
      <c r="D244" s="56">
        <v>292.98038000000003</v>
      </c>
      <c r="E244" s="56">
        <v>354.14013461591202</v>
      </c>
      <c r="F244" s="56">
        <v>35.62482</v>
      </c>
      <c r="G244" s="56">
        <v>40.163683864184314</v>
      </c>
      <c r="H244" s="57">
        <v>0.20875034231272416</v>
      </c>
      <c r="I244" s="57">
        <v>0.12740734870195314</v>
      </c>
      <c r="J244" s="57">
        <v>0.19993176760470099</v>
      </c>
    </row>
    <row r="245" spans="1:10" ht="11.25" customHeight="1" x14ac:dyDescent="0.2">
      <c r="A245" s="66">
        <v>44409</v>
      </c>
      <c r="B245" s="56">
        <v>0</v>
      </c>
      <c r="C245" s="56">
        <v>0</v>
      </c>
      <c r="D245" s="56">
        <v>308.20014000000003</v>
      </c>
      <c r="E245" s="56">
        <v>372.53702472582955</v>
      </c>
      <c r="F245" s="56">
        <v>37.475460000000005</v>
      </c>
      <c r="G245" s="56">
        <v>42.250108999986104</v>
      </c>
      <c r="H245" s="57">
        <v>0.20875034231272416</v>
      </c>
      <c r="I245" s="57">
        <v>0.12740734870195314</v>
      </c>
      <c r="J245" s="57">
        <v>0.19993176760470099</v>
      </c>
    </row>
    <row r="246" spans="1:10" ht="11.25" customHeight="1" x14ac:dyDescent="0.2">
      <c r="A246" s="66">
        <v>44440</v>
      </c>
      <c r="B246" s="56">
        <v>0</v>
      </c>
      <c r="C246" s="56">
        <v>0</v>
      </c>
      <c r="D246" s="56">
        <v>338.63965999999999</v>
      </c>
      <c r="E246" s="56">
        <v>409.33080494566457</v>
      </c>
      <c r="F246" s="56">
        <v>41.176740000000002</v>
      </c>
      <c r="G246" s="56">
        <v>46.422959271589662</v>
      </c>
      <c r="H246" s="57">
        <v>0.20875034231272438</v>
      </c>
      <c r="I246" s="57">
        <v>0.12740734870195314</v>
      </c>
      <c r="J246" s="57">
        <v>0.19993176760470122</v>
      </c>
    </row>
    <row r="247" spans="1:10" ht="11.25" customHeight="1" x14ac:dyDescent="0.2">
      <c r="A247" s="66">
        <v>44470</v>
      </c>
      <c r="B247" s="56">
        <v>0</v>
      </c>
      <c r="C247" s="56">
        <v>0</v>
      </c>
      <c r="D247" s="56">
        <v>256.83345000000003</v>
      </c>
      <c r="E247" s="56">
        <v>310.44752060485797</v>
      </c>
      <c r="F247" s="56">
        <v>31.229550000000003</v>
      </c>
      <c r="G247" s="56">
        <v>35.208424166655085</v>
      </c>
      <c r="H247" s="57">
        <v>0.20875034231272416</v>
      </c>
      <c r="I247" s="57">
        <v>0.12740734870195314</v>
      </c>
      <c r="J247" s="57">
        <v>0.19993176760470122</v>
      </c>
    </row>
    <row r="248" spans="1:10" ht="11.25" customHeight="1" x14ac:dyDescent="0.2">
      <c r="A248" s="66">
        <v>44501</v>
      </c>
      <c r="B248" s="56">
        <v>0</v>
      </c>
      <c r="C248" s="56">
        <v>0</v>
      </c>
      <c r="D248" s="56">
        <v>1071.09061</v>
      </c>
      <c r="E248" s="56">
        <v>1294.6811414854446</v>
      </c>
      <c r="F248" s="56">
        <v>130.23878999999999</v>
      </c>
      <c r="G248" s="56">
        <v>146.83216893205045</v>
      </c>
      <c r="H248" s="57">
        <v>0.20875034231272438</v>
      </c>
      <c r="I248" s="57">
        <v>0.12740734870195314</v>
      </c>
      <c r="J248" s="57">
        <v>0.19993176760470122</v>
      </c>
    </row>
    <row r="249" spans="1:10" ht="11.25" customHeight="1" x14ac:dyDescent="0.2">
      <c r="A249" s="66">
        <v>44531</v>
      </c>
      <c r="B249" s="56">
        <v>0</v>
      </c>
      <c r="C249" s="56">
        <v>0</v>
      </c>
      <c r="D249" s="56">
        <v>296.78532000000001</v>
      </c>
      <c r="E249" s="56">
        <v>358.73935714339143</v>
      </c>
      <c r="F249" s="56">
        <v>36.087480000000006</v>
      </c>
      <c r="G249" s="56">
        <v>40.685290148134769</v>
      </c>
      <c r="H249" s="57">
        <v>0.20875034231272438</v>
      </c>
      <c r="I249" s="57">
        <v>0.12740734870195314</v>
      </c>
      <c r="J249" s="57">
        <v>0.19993176760470099</v>
      </c>
    </row>
    <row r="250" spans="1:10" ht="11.25" customHeight="1" x14ac:dyDescent="0.2">
      <c r="A250" s="66">
        <v>44562</v>
      </c>
      <c r="B250" s="56">
        <v>0</v>
      </c>
      <c r="C250" s="56">
        <v>0</v>
      </c>
      <c r="D250" s="56">
        <v>300.59026</v>
      </c>
      <c r="E250" s="56">
        <v>363.33857967087079</v>
      </c>
      <c r="F250" s="56">
        <v>36.550139999999999</v>
      </c>
      <c r="G250" s="56">
        <v>41.206896432085209</v>
      </c>
      <c r="H250" s="57">
        <v>0.20875034231272416</v>
      </c>
      <c r="I250" s="57">
        <v>0.12740734870195336</v>
      </c>
      <c r="J250" s="57">
        <v>0.19993176760470122</v>
      </c>
    </row>
    <row r="251" spans="1:10" ht="11.25" customHeight="1" x14ac:dyDescent="0.2">
      <c r="A251" s="66">
        <v>44593</v>
      </c>
      <c r="B251" s="56">
        <v>0</v>
      </c>
      <c r="C251" s="56">
        <v>0</v>
      </c>
      <c r="D251" s="56">
        <v>245.41863000000001</v>
      </c>
      <c r="E251" s="56">
        <v>296.64985302241985</v>
      </c>
      <c r="F251" s="56">
        <v>29.841570000000001</v>
      </c>
      <c r="G251" s="56">
        <v>33.64360531480375</v>
      </c>
      <c r="H251" s="57">
        <v>0.20875034231272438</v>
      </c>
      <c r="I251" s="57">
        <v>0.12740734870195336</v>
      </c>
      <c r="J251" s="57">
        <v>0.19993176760470122</v>
      </c>
    </row>
    <row r="252" spans="1:10" ht="11.25" customHeight="1" x14ac:dyDescent="0.2">
      <c r="A252" s="66">
        <v>44621</v>
      </c>
      <c r="B252" s="56">
        <v>0</v>
      </c>
      <c r="C252" s="56">
        <v>0</v>
      </c>
      <c r="D252" s="56">
        <v>310.10261000000003</v>
      </c>
      <c r="E252" s="56">
        <v>374.83663598956929</v>
      </c>
      <c r="F252" s="56">
        <v>37.706790000000005</v>
      </c>
      <c r="G252" s="56">
        <v>42.510912141961327</v>
      </c>
      <c r="H252" s="57">
        <v>0.20875034231272438</v>
      </c>
      <c r="I252" s="57">
        <v>0.12740734870195314</v>
      </c>
      <c r="J252" s="57">
        <v>0.19993176760470122</v>
      </c>
    </row>
    <row r="253" spans="1:10" ht="11.25" customHeight="1" x14ac:dyDescent="0.2">
      <c r="A253" s="60" t="s">
        <v>23</v>
      </c>
      <c r="B253" s="56">
        <v>0</v>
      </c>
      <c r="C253" s="56">
        <v>0</v>
      </c>
      <c r="D253" s="56">
        <v>21541652.293680996</v>
      </c>
      <c r="E253" s="56">
        <v>26226952.482844118</v>
      </c>
      <c r="F253" s="56">
        <v>6309337.4360809987</v>
      </c>
      <c r="G253" s="56">
        <v>7113189.9831834333</v>
      </c>
      <c r="H253" s="57">
        <v>0.21749957363008465</v>
      </c>
      <c r="I253" s="57">
        <v>0.12740680859854914</v>
      </c>
      <c r="J253" s="57">
        <v>0.19709004202460312</v>
      </c>
    </row>
    <row r="254" spans="1:10" ht="11.25" customHeight="1" x14ac:dyDescent="0.2">
      <c r="A254" s="61" t="s">
        <v>24</v>
      </c>
      <c r="B254" s="56">
        <v>0</v>
      </c>
      <c r="C254" s="56">
        <v>0</v>
      </c>
      <c r="D254" s="56">
        <v>21541652.293680996</v>
      </c>
      <c r="E254" s="56">
        <v>26226952.482844118</v>
      </c>
      <c r="F254" s="56">
        <v>6309337.4360809987</v>
      </c>
      <c r="G254" s="56">
        <v>7113189.9831834333</v>
      </c>
      <c r="H254" s="57">
        <v>0.21749957363008465</v>
      </c>
      <c r="I254" s="57">
        <v>0.12740680859854914</v>
      </c>
      <c r="J254" s="57">
        <v>0.19709004202460312</v>
      </c>
    </row>
    <row r="255" spans="1:10" ht="11.25" customHeight="1" x14ac:dyDescent="0.2">
      <c r="A255" s="62" t="s">
        <v>24</v>
      </c>
      <c r="B255" s="56">
        <v>0</v>
      </c>
      <c r="C255" s="56">
        <v>0</v>
      </c>
      <c r="D255" s="56">
        <v>21006861.209310003</v>
      </c>
      <c r="E255" s="56">
        <v>25590037.613541339</v>
      </c>
      <c r="F255" s="56">
        <v>6132579.3510300005</v>
      </c>
      <c r="G255" s="56">
        <v>6913915.026849078</v>
      </c>
      <c r="H255" s="57">
        <v>0.2181752123063545</v>
      </c>
      <c r="I255" s="57">
        <v>0.12740734870195314</v>
      </c>
      <c r="J255" s="57">
        <v>0.19766479961601702</v>
      </c>
    </row>
    <row r="256" spans="1:10" ht="11.25" customHeight="1" x14ac:dyDescent="0.2">
      <c r="A256" s="63" t="s">
        <v>25</v>
      </c>
      <c r="B256" s="56">
        <v>0</v>
      </c>
      <c r="C256" s="56">
        <v>0</v>
      </c>
      <c r="D256" s="56">
        <v>21006861.209310003</v>
      </c>
      <c r="E256" s="56">
        <v>25590037.613541339</v>
      </c>
      <c r="F256" s="56">
        <v>6132579.3510300005</v>
      </c>
      <c r="G256" s="56">
        <v>6913915.026849078</v>
      </c>
      <c r="H256" s="57">
        <v>0.2181752123063545</v>
      </c>
      <c r="I256" s="57">
        <v>0.12740734870195314</v>
      </c>
      <c r="J256" s="57">
        <v>0.19766479961601702</v>
      </c>
    </row>
    <row r="257" spans="1:10" ht="11.25" customHeight="1" x14ac:dyDescent="0.2">
      <c r="A257" s="64" t="s">
        <v>25</v>
      </c>
      <c r="B257" s="56">
        <v>0</v>
      </c>
      <c r="C257" s="56">
        <v>0</v>
      </c>
      <c r="D257" s="56">
        <v>21006861.209310003</v>
      </c>
      <c r="E257" s="56">
        <v>25590037.613541339</v>
      </c>
      <c r="F257" s="56">
        <v>6132579.3510300005</v>
      </c>
      <c r="G257" s="56">
        <v>6913915.026849078</v>
      </c>
      <c r="H257" s="57">
        <v>0.2181752123063545</v>
      </c>
      <c r="I257" s="57">
        <v>0.12740734870195314</v>
      </c>
      <c r="J257" s="57">
        <v>0.19766479961601702</v>
      </c>
    </row>
    <row r="258" spans="1:10" ht="11.25" customHeight="1" x14ac:dyDescent="0.2">
      <c r="A258" s="65" t="s">
        <v>25</v>
      </c>
      <c r="B258" s="56">
        <v>0</v>
      </c>
      <c r="C258" s="56">
        <v>0</v>
      </c>
      <c r="D258" s="56">
        <v>21006861.209310003</v>
      </c>
      <c r="E258" s="56">
        <v>25590037.613541339</v>
      </c>
      <c r="F258" s="56">
        <v>6132579.3510300005</v>
      </c>
      <c r="G258" s="56">
        <v>6913915.026849078</v>
      </c>
      <c r="H258" s="57">
        <v>0.2181752123063545</v>
      </c>
      <c r="I258" s="57">
        <v>0.12740734870195314</v>
      </c>
      <c r="J258" s="57">
        <v>0.19766479961601702</v>
      </c>
    </row>
    <row r="259" spans="1:10" ht="11.25" customHeight="1" x14ac:dyDescent="0.2">
      <c r="A259" s="66">
        <v>44287</v>
      </c>
      <c r="B259" s="56">
        <v>0</v>
      </c>
      <c r="C259" s="56">
        <v>0</v>
      </c>
      <c r="D259" s="56">
        <v>1998251.9934</v>
      </c>
      <c r="E259" s="56">
        <v>2434221.0463016424</v>
      </c>
      <c r="F259" s="56">
        <v>583354.11420000007</v>
      </c>
      <c r="G259" s="56">
        <v>657677.71524459845</v>
      </c>
      <c r="H259" s="57">
        <v>0.21817521230635517</v>
      </c>
      <c r="I259" s="57">
        <v>0.12740734870195314</v>
      </c>
      <c r="J259" s="57">
        <v>0.19766479961601746</v>
      </c>
    </row>
    <row r="260" spans="1:10" ht="11.25" customHeight="1" x14ac:dyDescent="0.2">
      <c r="A260" s="66">
        <v>44317</v>
      </c>
      <c r="B260" s="56">
        <v>0</v>
      </c>
      <c r="C260" s="56">
        <v>0</v>
      </c>
      <c r="D260" s="56">
        <v>1712622.2620299999</v>
      </c>
      <c r="E260" s="56">
        <v>2086273.9876489851</v>
      </c>
      <c r="F260" s="56">
        <v>499969.59639000002</v>
      </c>
      <c r="G260" s="56">
        <v>563669.39709763555</v>
      </c>
      <c r="H260" s="57">
        <v>0.21817521230635495</v>
      </c>
      <c r="I260" s="57">
        <v>0.12740734870195314</v>
      </c>
      <c r="J260" s="57">
        <v>0.19766479961601724</v>
      </c>
    </row>
    <row r="261" spans="1:10" ht="11.25" customHeight="1" x14ac:dyDescent="0.2">
      <c r="A261" s="66">
        <v>44348</v>
      </c>
      <c r="B261" s="56">
        <v>0</v>
      </c>
      <c r="C261" s="56">
        <v>0</v>
      </c>
      <c r="D261" s="56">
        <v>1682218.2827399999</v>
      </c>
      <c r="E261" s="56">
        <v>2049236.613722431</v>
      </c>
      <c r="F261" s="56">
        <v>491093.69562000001</v>
      </c>
      <c r="G261" s="56">
        <v>553662.64134318824</v>
      </c>
      <c r="H261" s="57">
        <v>0.21817521230635473</v>
      </c>
      <c r="I261" s="57">
        <v>0.12740734870195314</v>
      </c>
      <c r="J261" s="57">
        <v>0.19766479961601702</v>
      </c>
    </row>
    <row r="262" spans="1:10" ht="11.25" customHeight="1" x14ac:dyDescent="0.2">
      <c r="A262" s="66">
        <v>44378</v>
      </c>
      <c r="B262" s="56">
        <v>0</v>
      </c>
      <c r="C262" s="56">
        <v>0</v>
      </c>
      <c r="D262" s="56">
        <v>1502295.25296</v>
      </c>
      <c r="E262" s="56">
        <v>1830058.8387213771</v>
      </c>
      <c r="F262" s="56">
        <v>438568.36848</v>
      </c>
      <c r="G262" s="56">
        <v>494445.2015325781</v>
      </c>
      <c r="H262" s="57">
        <v>0.21817521230635495</v>
      </c>
      <c r="I262" s="57">
        <v>0.12740734870195336</v>
      </c>
      <c r="J262" s="57">
        <v>0.19766479961601724</v>
      </c>
    </row>
    <row r="263" spans="1:10" ht="11.25" customHeight="1" x14ac:dyDescent="0.2">
      <c r="A263" s="66">
        <v>44409</v>
      </c>
      <c r="B263" s="56">
        <v>0</v>
      </c>
      <c r="C263" s="56">
        <v>0</v>
      </c>
      <c r="D263" s="56">
        <v>1505676.46643</v>
      </c>
      <c r="E263" s="56">
        <v>1834177.7491580474</v>
      </c>
      <c r="F263" s="56">
        <v>439555.45358999999</v>
      </c>
      <c r="G263" s="56">
        <v>495558.04853938631</v>
      </c>
      <c r="H263" s="57">
        <v>0.21817521230635473</v>
      </c>
      <c r="I263" s="57">
        <v>0.12740734870195314</v>
      </c>
      <c r="J263" s="57">
        <v>0.19766479961601724</v>
      </c>
    </row>
    <row r="264" spans="1:10" ht="11.25" customHeight="1" x14ac:dyDescent="0.2">
      <c r="A264" s="66">
        <v>44440</v>
      </c>
      <c r="B264" s="56">
        <v>0</v>
      </c>
      <c r="C264" s="56">
        <v>0</v>
      </c>
      <c r="D264" s="56">
        <v>1742596.7551000002</v>
      </c>
      <c r="E264" s="56">
        <v>2122788.1721083079</v>
      </c>
      <c r="F264" s="56">
        <v>508720.11630000005</v>
      </c>
      <c r="G264" s="56">
        <v>573534.79754913237</v>
      </c>
      <c r="H264" s="57">
        <v>0.21817521230635495</v>
      </c>
      <c r="I264" s="57">
        <v>0.12740734870195336</v>
      </c>
      <c r="J264" s="57">
        <v>0.19766479961601746</v>
      </c>
    </row>
    <row r="265" spans="1:10" ht="11.25" customHeight="1" x14ac:dyDescent="0.2">
      <c r="A265" s="66">
        <v>44470</v>
      </c>
      <c r="B265" s="56">
        <v>0</v>
      </c>
      <c r="C265" s="56">
        <v>0</v>
      </c>
      <c r="D265" s="56">
        <v>1651407.00471</v>
      </c>
      <c r="E265" s="56">
        <v>2011703.0785668059</v>
      </c>
      <c r="F265" s="56">
        <v>482098.89123000007</v>
      </c>
      <c r="G265" s="56">
        <v>543521.83277376578</v>
      </c>
      <c r="H265" s="57">
        <v>0.21817521230635495</v>
      </c>
      <c r="I265" s="57">
        <v>0.12740734870195336</v>
      </c>
      <c r="J265" s="57">
        <v>0.19766479961601746</v>
      </c>
    </row>
    <row r="266" spans="1:10" ht="11.25" customHeight="1" x14ac:dyDescent="0.2">
      <c r="A266" s="66">
        <v>44501</v>
      </c>
      <c r="B266" s="56">
        <v>0</v>
      </c>
      <c r="C266" s="56">
        <v>0</v>
      </c>
      <c r="D266" s="56">
        <v>1633554.7998199998</v>
      </c>
      <c r="E266" s="56">
        <v>1989955.9650847937</v>
      </c>
      <c r="F266" s="56">
        <v>476887.25766000006</v>
      </c>
      <c r="G266" s="56">
        <v>537646.19878820586</v>
      </c>
      <c r="H266" s="57">
        <v>0.21817521230635517</v>
      </c>
      <c r="I266" s="57">
        <v>0.12740734870195314</v>
      </c>
      <c r="J266" s="57">
        <v>0.19766479961601746</v>
      </c>
    </row>
    <row r="267" spans="1:10" ht="11.25" customHeight="1" x14ac:dyDescent="0.2">
      <c r="A267" s="66">
        <v>44531</v>
      </c>
      <c r="B267" s="56">
        <v>0</v>
      </c>
      <c r="C267" s="56">
        <v>0</v>
      </c>
      <c r="D267" s="56">
        <v>1728159.0448999999</v>
      </c>
      <c r="E267" s="56">
        <v>2105200.5114202048</v>
      </c>
      <c r="F267" s="56">
        <v>504505.28370000003</v>
      </c>
      <c r="G267" s="56">
        <v>568782.96430234378</v>
      </c>
      <c r="H267" s="57">
        <v>0.21817521230635495</v>
      </c>
      <c r="I267" s="57">
        <v>0.12740734870195314</v>
      </c>
      <c r="J267" s="57">
        <v>0.19766479961601746</v>
      </c>
    </row>
    <row r="268" spans="1:10" ht="11.25" customHeight="1" x14ac:dyDescent="0.2">
      <c r="A268" s="66">
        <v>44562</v>
      </c>
      <c r="B268" s="56">
        <v>0</v>
      </c>
      <c r="C268" s="56">
        <v>0</v>
      </c>
      <c r="D268" s="56">
        <v>1890275.0371600001</v>
      </c>
      <c r="E268" s="56">
        <v>2302686.1947097857</v>
      </c>
      <c r="F268" s="56">
        <v>551832.16308000009</v>
      </c>
      <c r="G268" s="56">
        <v>622139.63590648666</v>
      </c>
      <c r="H268" s="57">
        <v>0.21817521230635473</v>
      </c>
      <c r="I268" s="57">
        <v>0.12740734870195292</v>
      </c>
      <c r="J268" s="57">
        <v>0.19766479961601724</v>
      </c>
    </row>
    <row r="269" spans="1:10" ht="11.25" customHeight="1" x14ac:dyDescent="0.2">
      <c r="A269" s="66">
        <v>44593</v>
      </c>
      <c r="B269" s="56">
        <v>0</v>
      </c>
      <c r="C269" s="56">
        <v>0</v>
      </c>
      <c r="D269" s="56">
        <v>2027886.5425799997</v>
      </c>
      <c r="E269" s="56">
        <v>2470321.1195405913</v>
      </c>
      <c r="F269" s="56">
        <v>592005.39353999996</v>
      </c>
      <c r="G269" s="56">
        <v>667431.23114818777</v>
      </c>
      <c r="H269" s="57">
        <v>0.21817521230635495</v>
      </c>
      <c r="I269" s="57">
        <v>0.12740734870195314</v>
      </c>
      <c r="J269" s="57">
        <v>0.19766479961601724</v>
      </c>
    </row>
    <row r="270" spans="1:10" ht="11.25" customHeight="1" x14ac:dyDescent="0.2">
      <c r="A270" s="66">
        <v>44621</v>
      </c>
      <c r="B270" s="56">
        <v>0</v>
      </c>
      <c r="C270" s="56">
        <v>0</v>
      </c>
      <c r="D270" s="56">
        <v>1931917.7674799999</v>
      </c>
      <c r="E270" s="56">
        <v>2353414.3365583681</v>
      </c>
      <c r="F270" s="56">
        <v>563989.01724000007</v>
      </c>
      <c r="G270" s="56">
        <v>635845.36262356862</v>
      </c>
      <c r="H270" s="57">
        <v>0.21817521230635495</v>
      </c>
      <c r="I270" s="57">
        <v>0.12740734870195314</v>
      </c>
      <c r="J270" s="57">
        <v>0.19766479961601724</v>
      </c>
    </row>
    <row r="271" spans="1:10" ht="11.25" customHeight="1" x14ac:dyDescent="0.2">
      <c r="A271" s="62" t="s">
        <v>29</v>
      </c>
      <c r="B271" s="56">
        <v>0</v>
      </c>
      <c r="C271" s="56">
        <v>0</v>
      </c>
      <c r="D271" s="56">
        <v>54981.630231000003</v>
      </c>
      <c r="E271" s="56">
        <v>65480.839608809445</v>
      </c>
      <c r="F271" s="56">
        <v>18173.093031</v>
      </c>
      <c r="G271" s="56">
        <v>20487.339961250946</v>
      </c>
      <c r="H271" s="57">
        <v>0.19095849529557474</v>
      </c>
      <c r="I271" s="57">
        <v>0.12734469175408192</v>
      </c>
      <c r="J271" s="57">
        <v>0.17515555710831721</v>
      </c>
    </row>
    <row r="272" spans="1:10" ht="11.25" customHeight="1" x14ac:dyDescent="0.2">
      <c r="A272" s="63" t="s">
        <v>25</v>
      </c>
      <c r="B272" s="56">
        <v>0</v>
      </c>
      <c r="C272" s="56">
        <v>0</v>
      </c>
      <c r="D272" s="56">
        <v>54981.630231000003</v>
      </c>
      <c r="E272" s="56">
        <v>65480.839608809445</v>
      </c>
      <c r="F272" s="56">
        <v>18173.093031</v>
      </c>
      <c r="G272" s="56">
        <v>20487.339961250946</v>
      </c>
      <c r="H272" s="57">
        <v>0.19095849529557474</v>
      </c>
      <c r="I272" s="57">
        <v>0.12734469175408192</v>
      </c>
      <c r="J272" s="57">
        <v>0.17515555710831721</v>
      </c>
    </row>
    <row r="273" spans="1:10" ht="11.25" customHeight="1" x14ac:dyDescent="0.2">
      <c r="A273" s="64" t="s">
        <v>25</v>
      </c>
      <c r="B273" s="56">
        <v>0</v>
      </c>
      <c r="C273" s="56">
        <v>0</v>
      </c>
      <c r="D273" s="56">
        <v>54981.630231000003</v>
      </c>
      <c r="E273" s="56">
        <v>65480.839608809445</v>
      </c>
      <c r="F273" s="56">
        <v>18173.093031</v>
      </c>
      <c r="G273" s="56">
        <v>20487.339961250946</v>
      </c>
      <c r="H273" s="57">
        <v>0.19095849529557474</v>
      </c>
      <c r="I273" s="57">
        <v>0.12734469175408192</v>
      </c>
      <c r="J273" s="57">
        <v>0.17515555710831721</v>
      </c>
    </row>
    <row r="274" spans="1:10" ht="11.25" customHeight="1" x14ac:dyDescent="0.2">
      <c r="A274" s="65" t="s">
        <v>25</v>
      </c>
      <c r="B274" s="56">
        <v>0</v>
      </c>
      <c r="C274" s="56">
        <v>0</v>
      </c>
      <c r="D274" s="56">
        <v>54981.630231000003</v>
      </c>
      <c r="E274" s="56">
        <v>65480.839608809445</v>
      </c>
      <c r="F274" s="56">
        <v>18173.093031</v>
      </c>
      <c r="G274" s="56">
        <v>20487.339961250946</v>
      </c>
      <c r="H274" s="57">
        <v>0.19095849529557474</v>
      </c>
      <c r="I274" s="57">
        <v>0.12734469175408192</v>
      </c>
      <c r="J274" s="57">
        <v>0.17515555710831721</v>
      </c>
    </row>
    <row r="275" spans="1:10" ht="11.25" customHeight="1" x14ac:dyDescent="0.2">
      <c r="A275" s="66">
        <v>44287</v>
      </c>
      <c r="B275" s="56">
        <v>0</v>
      </c>
      <c r="C275" s="56">
        <v>0</v>
      </c>
      <c r="D275" s="56">
        <v>3079.2728999999999</v>
      </c>
      <c r="E275" s="56">
        <v>3667.2862195884409</v>
      </c>
      <c r="F275" s="56">
        <v>1017.7929</v>
      </c>
      <c r="G275" s="56">
        <v>1147.403423119993</v>
      </c>
      <c r="H275" s="57">
        <v>0.19095849529557474</v>
      </c>
      <c r="I275" s="57">
        <v>0.1273446917540817</v>
      </c>
      <c r="J275" s="57">
        <v>0.17515555710831721</v>
      </c>
    </row>
    <row r="276" spans="1:10" ht="11.25" customHeight="1" x14ac:dyDescent="0.2">
      <c r="A276" s="66">
        <v>44317</v>
      </c>
      <c r="B276" s="56">
        <v>0</v>
      </c>
      <c r="C276" s="56">
        <v>0</v>
      </c>
      <c r="D276" s="56">
        <v>3659.2393750000001</v>
      </c>
      <c r="E276" s="56">
        <v>4358.0022199763189</v>
      </c>
      <c r="F276" s="56">
        <v>1209.4893749999999</v>
      </c>
      <c r="G276" s="56">
        <v>1363.5114266392118</v>
      </c>
      <c r="H276" s="57">
        <v>0.19095849529557452</v>
      </c>
      <c r="I276" s="57">
        <v>0.1273446917540817</v>
      </c>
      <c r="J276" s="57">
        <v>0.17515555710831721</v>
      </c>
    </row>
    <row r="277" spans="1:10" ht="11.25" customHeight="1" x14ac:dyDescent="0.2">
      <c r="A277" s="66">
        <v>44348</v>
      </c>
      <c r="B277" s="56">
        <v>0</v>
      </c>
      <c r="C277" s="56">
        <v>0</v>
      </c>
      <c r="D277" s="56">
        <v>3067.636825</v>
      </c>
      <c r="E277" s="56">
        <v>3653.4281372152941</v>
      </c>
      <c r="F277" s="56">
        <v>1013.946825</v>
      </c>
      <c r="G277" s="56">
        <v>1143.0675708846547</v>
      </c>
      <c r="H277" s="57">
        <v>0.19095849529557474</v>
      </c>
      <c r="I277" s="57">
        <v>0.1273446917540817</v>
      </c>
      <c r="J277" s="57">
        <v>0.17515555710831721</v>
      </c>
    </row>
    <row r="278" spans="1:10" ht="11.25" customHeight="1" x14ac:dyDescent="0.2">
      <c r="A278" s="66">
        <v>44378</v>
      </c>
      <c r="B278" s="56">
        <v>0</v>
      </c>
      <c r="C278" s="56">
        <v>0</v>
      </c>
      <c r="D278" s="56">
        <v>3633.0275849999998</v>
      </c>
      <c r="E278" s="56">
        <v>4326.7850659989153</v>
      </c>
      <c r="F278" s="56">
        <v>1200.825585</v>
      </c>
      <c r="G278" s="56">
        <v>1353.7443489722398</v>
      </c>
      <c r="H278" s="57">
        <v>0.19095849529557474</v>
      </c>
      <c r="I278" s="57">
        <v>0.1273446917540817</v>
      </c>
      <c r="J278" s="57">
        <v>0.17515555710831721</v>
      </c>
    </row>
    <row r="279" spans="1:10" ht="11.25" customHeight="1" x14ac:dyDescent="0.2">
      <c r="A279" s="66">
        <v>44409</v>
      </c>
      <c r="B279" s="56">
        <v>0</v>
      </c>
      <c r="C279" s="56">
        <v>0</v>
      </c>
      <c r="D279" s="56">
        <v>3757.9622850000001</v>
      </c>
      <c r="E279" s="56">
        <v>4475.5771083211193</v>
      </c>
      <c r="F279" s="56">
        <v>1242.120285</v>
      </c>
      <c r="G279" s="56">
        <v>1400.2977098148169</v>
      </c>
      <c r="H279" s="57">
        <v>0.19095849529557452</v>
      </c>
      <c r="I279" s="57">
        <v>0.12734469175408147</v>
      </c>
      <c r="J279" s="57">
        <v>0.17515555710831698</v>
      </c>
    </row>
    <row r="280" spans="1:10" ht="11.25" customHeight="1" x14ac:dyDescent="0.2">
      <c r="A280" s="66">
        <v>44440</v>
      </c>
      <c r="B280" s="56">
        <v>0</v>
      </c>
      <c r="C280" s="56">
        <v>0</v>
      </c>
      <c r="D280" s="56">
        <v>3787.3586849999997</v>
      </c>
      <c r="E280" s="56">
        <v>4510.5870006322266</v>
      </c>
      <c r="F280" s="56">
        <v>1251.836685</v>
      </c>
      <c r="G280" s="56">
        <v>1411.2514417777763</v>
      </c>
      <c r="H280" s="57">
        <v>0.19095849529557474</v>
      </c>
      <c r="I280" s="57">
        <v>0.1273446917540817</v>
      </c>
      <c r="J280" s="57">
        <v>0.17515555710831743</v>
      </c>
    </row>
    <row r="281" spans="1:10" ht="11.25" customHeight="1" x14ac:dyDescent="0.2">
      <c r="A281" s="66">
        <v>44470</v>
      </c>
      <c r="B281" s="56">
        <v>0</v>
      </c>
      <c r="C281" s="56">
        <v>0</v>
      </c>
      <c r="D281" s="56">
        <v>4184.2100849999997</v>
      </c>
      <c r="E281" s="56">
        <v>4983.220546832169</v>
      </c>
      <c r="F281" s="56">
        <v>1383.0080849999999</v>
      </c>
      <c r="G281" s="56">
        <v>1559.1268232777277</v>
      </c>
      <c r="H281" s="57">
        <v>0.19095849529557496</v>
      </c>
      <c r="I281" s="57">
        <v>0.1273446917540817</v>
      </c>
      <c r="J281" s="57">
        <v>0.17515555710831721</v>
      </c>
    </row>
    <row r="282" spans="1:10" ht="11.25" customHeight="1" x14ac:dyDescent="0.2">
      <c r="A282" s="66">
        <v>44501</v>
      </c>
      <c r="B282" s="56">
        <v>0</v>
      </c>
      <c r="C282" s="56">
        <v>0</v>
      </c>
      <c r="D282" s="56">
        <v>4423.17832</v>
      </c>
      <c r="E282" s="56">
        <v>5267.8217964112082</v>
      </c>
      <c r="F282" s="56">
        <v>1461.99432</v>
      </c>
      <c r="G282" s="56">
        <v>1648.1715360266182</v>
      </c>
      <c r="H282" s="57">
        <v>0.19095849529557474</v>
      </c>
      <c r="I282" s="57">
        <v>0.1273446917540817</v>
      </c>
      <c r="J282" s="57">
        <v>0.17515555710831721</v>
      </c>
    </row>
    <row r="283" spans="1:10" ht="11.25" customHeight="1" x14ac:dyDescent="0.2">
      <c r="A283" s="66">
        <v>44531</v>
      </c>
      <c r="B283" s="56">
        <v>0</v>
      </c>
      <c r="C283" s="56">
        <v>0</v>
      </c>
      <c r="D283" s="56">
        <v>4605.6809700000003</v>
      </c>
      <c r="E283" s="56">
        <v>5485.1748778426627</v>
      </c>
      <c r="F283" s="56">
        <v>1522.3169700000001</v>
      </c>
      <c r="G283" s="56">
        <v>1716.1759552966578</v>
      </c>
      <c r="H283" s="57">
        <v>0.19095849529557452</v>
      </c>
      <c r="I283" s="57">
        <v>0.1273446917540817</v>
      </c>
      <c r="J283" s="57">
        <v>0.17515555710831721</v>
      </c>
    </row>
    <row r="284" spans="1:10" ht="11.25" customHeight="1" x14ac:dyDescent="0.2">
      <c r="A284" s="66">
        <v>44562</v>
      </c>
      <c r="B284" s="56">
        <v>0</v>
      </c>
      <c r="C284" s="56">
        <v>0</v>
      </c>
      <c r="D284" s="56">
        <v>4796.7575699999998</v>
      </c>
      <c r="E284" s="56">
        <v>5712.7391778648571</v>
      </c>
      <c r="F284" s="56">
        <v>1585.4735699999999</v>
      </c>
      <c r="G284" s="56">
        <v>1787.3752130558935</v>
      </c>
      <c r="H284" s="57">
        <v>0.19095849529557474</v>
      </c>
      <c r="I284" s="57">
        <v>0.1273446917540817</v>
      </c>
      <c r="J284" s="57">
        <v>0.17515555710831721</v>
      </c>
    </row>
    <row r="285" spans="1:10" ht="11.25" customHeight="1" x14ac:dyDescent="0.2">
      <c r="A285" s="66">
        <v>44593</v>
      </c>
      <c r="B285" s="56">
        <v>0</v>
      </c>
      <c r="C285" s="56">
        <v>0</v>
      </c>
      <c r="D285" s="56">
        <v>5039.277869999999</v>
      </c>
      <c r="E285" s="56">
        <v>6001.5707894314883</v>
      </c>
      <c r="F285" s="56">
        <v>1665.6338699999999</v>
      </c>
      <c r="G285" s="56">
        <v>1877.743501750308</v>
      </c>
      <c r="H285" s="57">
        <v>0.19095849529557496</v>
      </c>
      <c r="I285" s="57">
        <v>0.1273446917540817</v>
      </c>
      <c r="J285" s="57">
        <v>0.17515555710831743</v>
      </c>
    </row>
    <row r="286" spans="1:10" ht="11.25" customHeight="1" x14ac:dyDescent="0.2">
      <c r="A286" s="66">
        <v>44621</v>
      </c>
      <c r="B286" s="56">
        <v>0</v>
      </c>
      <c r="C286" s="56">
        <v>0</v>
      </c>
      <c r="D286" s="56">
        <v>10948.027761000001</v>
      </c>
      <c r="E286" s="56">
        <v>13038.646668694741</v>
      </c>
      <c r="F286" s="56">
        <v>3618.6545610000003</v>
      </c>
      <c r="G286" s="56">
        <v>4079.4710106350472</v>
      </c>
      <c r="H286" s="57">
        <v>0.19095849529557474</v>
      </c>
      <c r="I286" s="57">
        <v>0.1273446917540817</v>
      </c>
      <c r="J286" s="57">
        <v>0.17515555710831743</v>
      </c>
    </row>
    <row r="287" spans="1:10" ht="11.25" customHeight="1" x14ac:dyDescent="0.2">
      <c r="A287" s="62" t="s">
        <v>30</v>
      </c>
      <c r="B287" s="56">
        <v>0</v>
      </c>
      <c r="C287" s="56">
        <v>0</v>
      </c>
      <c r="D287" s="56">
        <v>192090.50535999998</v>
      </c>
      <c r="E287" s="56">
        <v>228771.04099602636</v>
      </c>
      <c r="F287" s="56">
        <v>63488.896639999999</v>
      </c>
      <c r="G287" s="56">
        <v>71576.817251810528</v>
      </c>
      <c r="H287" s="57">
        <v>0.19095444393403382</v>
      </c>
      <c r="I287" s="57">
        <v>0.12739110363929163</v>
      </c>
      <c r="J287" s="57">
        <v>0.1751645707655145</v>
      </c>
    </row>
    <row r="288" spans="1:10" ht="11.25" customHeight="1" x14ac:dyDescent="0.2">
      <c r="A288" s="63" t="s">
        <v>25</v>
      </c>
      <c r="B288" s="56">
        <v>0</v>
      </c>
      <c r="C288" s="56">
        <v>0</v>
      </c>
      <c r="D288" s="56">
        <v>192090.50535999998</v>
      </c>
      <c r="E288" s="56">
        <v>228771.04099602636</v>
      </c>
      <c r="F288" s="56">
        <v>63488.896639999999</v>
      </c>
      <c r="G288" s="56">
        <v>71576.817251810528</v>
      </c>
      <c r="H288" s="57">
        <v>0.19095444393403382</v>
      </c>
      <c r="I288" s="57">
        <v>0.12739110363929163</v>
      </c>
      <c r="J288" s="57">
        <v>0.1751645707655145</v>
      </c>
    </row>
    <row r="289" spans="1:10" ht="11.25" customHeight="1" x14ac:dyDescent="0.2">
      <c r="A289" s="64" t="s">
        <v>25</v>
      </c>
      <c r="B289" s="56">
        <v>0</v>
      </c>
      <c r="C289" s="56">
        <v>0</v>
      </c>
      <c r="D289" s="56">
        <v>192090.50535999998</v>
      </c>
      <c r="E289" s="56">
        <v>228771.04099602636</v>
      </c>
      <c r="F289" s="56">
        <v>63488.896639999999</v>
      </c>
      <c r="G289" s="56">
        <v>71576.817251810528</v>
      </c>
      <c r="H289" s="57">
        <v>0.19095444393403382</v>
      </c>
      <c r="I289" s="57">
        <v>0.12739110363929163</v>
      </c>
      <c r="J289" s="57">
        <v>0.1751645707655145</v>
      </c>
    </row>
    <row r="290" spans="1:10" ht="11.25" customHeight="1" x14ac:dyDescent="0.2">
      <c r="A290" s="65" t="s">
        <v>25</v>
      </c>
      <c r="B290" s="56">
        <v>0</v>
      </c>
      <c r="C290" s="56">
        <v>0</v>
      </c>
      <c r="D290" s="56">
        <v>192090.50535999998</v>
      </c>
      <c r="E290" s="56">
        <v>228771.04099602636</v>
      </c>
      <c r="F290" s="56">
        <v>63488.896639999999</v>
      </c>
      <c r="G290" s="56">
        <v>71576.817251810528</v>
      </c>
      <c r="H290" s="57">
        <v>0.19095444393403382</v>
      </c>
      <c r="I290" s="57">
        <v>0.12739110363929163</v>
      </c>
      <c r="J290" s="57">
        <v>0.1751645707655145</v>
      </c>
    </row>
    <row r="291" spans="1:10" ht="11.25" customHeight="1" x14ac:dyDescent="0.2">
      <c r="A291" s="66">
        <v>44287</v>
      </c>
      <c r="B291" s="56">
        <v>0</v>
      </c>
      <c r="C291" s="56">
        <v>0</v>
      </c>
      <c r="D291" s="56">
        <v>11220.644050000001</v>
      </c>
      <c r="E291" s="56">
        <v>13363.27589514948</v>
      </c>
      <c r="F291" s="56">
        <v>3708.5972000000006</v>
      </c>
      <c r="G291" s="56">
        <v>4181.0394902615881</v>
      </c>
      <c r="H291" s="57">
        <v>0.19095444393403405</v>
      </c>
      <c r="I291" s="57">
        <v>0.12739110363929185</v>
      </c>
      <c r="J291" s="57">
        <v>0.17516457076551473</v>
      </c>
    </row>
    <row r="292" spans="1:10" ht="11.25" customHeight="1" x14ac:dyDescent="0.2">
      <c r="A292" s="66">
        <v>44317</v>
      </c>
      <c r="B292" s="56">
        <v>0</v>
      </c>
      <c r="C292" s="56">
        <v>0</v>
      </c>
      <c r="D292" s="56">
        <v>11089.619649999999</v>
      </c>
      <c r="E292" s="56">
        <v>13207.231803705687</v>
      </c>
      <c r="F292" s="56">
        <v>3665.2916</v>
      </c>
      <c r="G292" s="56">
        <v>4132.2171420838258</v>
      </c>
      <c r="H292" s="57">
        <v>0.19095444393403405</v>
      </c>
      <c r="I292" s="57">
        <v>0.12739110363929185</v>
      </c>
      <c r="J292" s="57">
        <v>0.1751645707655145</v>
      </c>
    </row>
    <row r="293" spans="1:10" ht="11.25" customHeight="1" x14ac:dyDescent="0.2">
      <c r="A293" s="66">
        <v>44348</v>
      </c>
      <c r="B293" s="56">
        <v>0</v>
      </c>
      <c r="C293" s="56">
        <v>0</v>
      </c>
      <c r="D293" s="56">
        <v>12298.235749999998</v>
      </c>
      <c r="E293" s="56">
        <v>14646.638519010909</v>
      </c>
      <c r="F293" s="56">
        <v>4064.7580000000003</v>
      </c>
      <c r="G293" s="56">
        <v>4582.5720076466396</v>
      </c>
      <c r="H293" s="57">
        <v>0.19095444393403427</v>
      </c>
      <c r="I293" s="57">
        <v>0.1273911036392914</v>
      </c>
      <c r="J293" s="57">
        <v>0.17516457076551473</v>
      </c>
    </row>
    <row r="294" spans="1:10" ht="11.25" customHeight="1" x14ac:dyDescent="0.2">
      <c r="A294" s="66">
        <v>44378</v>
      </c>
      <c r="B294" s="56">
        <v>0</v>
      </c>
      <c r="C294" s="56">
        <v>0</v>
      </c>
      <c r="D294" s="56">
        <v>11936.658799999999</v>
      </c>
      <c r="E294" s="56">
        <v>14216.016843584295</v>
      </c>
      <c r="F294" s="56">
        <v>3945.2512000000002</v>
      </c>
      <c r="G294" s="56">
        <v>4447.8411045022403</v>
      </c>
      <c r="H294" s="57">
        <v>0.19095444393403427</v>
      </c>
      <c r="I294" s="57">
        <v>0.12739110363929185</v>
      </c>
      <c r="J294" s="57">
        <v>0.17516457076551473</v>
      </c>
    </row>
    <row r="295" spans="1:10" ht="11.25" customHeight="1" x14ac:dyDescent="0.2">
      <c r="A295" s="66">
        <v>44409</v>
      </c>
      <c r="B295" s="56">
        <v>0</v>
      </c>
      <c r="C295" s="56">
        <v>0</v>
      </c>
      <c r="D295" s="56">
        <v>12303.695099999999</v>
      </c>
      <c r="E295" s="56">
        <v>14653.140356154399</v>
      </c>
      <c r="F295" s="56">
        <v>4066.5624000000003</v>
      </c>
      <c r="G295" s="56">
        <v>4584.6062721540475</v>
      </c>
      <c r="H295" s="57">
        <v>0.19095444393403405</v>
      </c>
      <c r="I295" s="57">
        <v>0.12739110363929185</v>
      </c>
      <c r="J295" s="57">
        <v>0.17516457076551473</v>
      </c>
    </row>
    <row r="296" spans="1:10" ht="11.25" customHeight="1" x14ac:dyDescent="0.2">
      <c r="A296" s="66">
        <v>44440</v>
      </c>
      <c r="B296" s="56">
        <v>0</v>
      </c>
      <c r="C296" s="56">
        <v>0</v>
      </c>
      <c r="D296" s="56">
        <v>13367.008499999998</v>
      </c>
      <c r="E296" s="56">
        <v>15919.498175179007</v>
      </c>
      <c r="F296" s="56">
        <v>4418.0039999999999</v>
      </c>
      <c r="G296" s="56">
        <v>4980.8184054428057</v>
      </c>
      <c r="H296" s="57">
        <v>0.19095444393403427</v>
      </c>
      <c r="I296" s="57">
        <v>0.12739110363929185</v>
      </c>
      <c r="J296" s="57">
        <v>0.17516457076551495</v>
      </c>
    </row>
    <row r="297" spans="1:10" ht="11.25" customHeight="1" x14ac:dyDescent="0.2">
      <c r="A297" s="66">
        <v>44470</v>
      </c>
      <c r="B297" s="56">
        <v>0</v>
      </c>
      <c r="C297" s="56">
        <v>0</v>
      </c>
      <c r="D297" s="56">
        <v>14638.19715</v>
      </c>
      <c r="E297" s="56">
        <v>17433.425946975014</v>
      </c>
      <c r="F297" s="56">
        <v>4838.1516000000001</v>
      </c>
      <c r="G297" s="56">
        <v>5454.4890718982051</v>
      </c>
      <c r="H297" s="57">
        <v>0.19095444393403427</v>
      </c>
      <c r="I297" s="57">
        <v>0.12739110363929163</v>
      </c>
      <c r="J297" s="57">
        <v>0.17516457076551473</v>
      </c>
    </row>
    <row r="298" spans="1:10" ht="11.25" customHeight="1" x14ac:dyDescent="0.2">
      <c r="A298" s="66">
        <v>44501</v>
      </c>
      <c r="B298" s="56">
        <v>0</v>
      </c>
      <c r="C298" s="56">
        <v>0</v>
      </c>
      <c r="D298" s="56">
        <v>15326.831159999998</v>
      </c>
      <c r="E298" s="56">
        <v>18253.557681428625</v>
      </c>
      <c r="F298" s="56">
        <v>5065.7558399999998</v>
      </c>
      <c r="G298" s="56">
        <v>5711.0880672247877</v>
      </c>
      <c r="H298" s="57">
        <v>0.19095444393403405</v>
      </c>
      <c r="I298" s="57">
        <v>0.12739110363929185</v>
      </c>
      <c r="J298" s="57">
        <v>0.1751645707655145</v>
      </c>
    </row>
    <row r="299" spans="1:10" ht="11.25" customHeight="1" x14ac:dyDescent="0.2">
      <c r="A299" s="66">
        <v>44531</v>
      </c>
      <c r="B299" s="56">
        <v>0</v>
      </c>
      <c r="C299" s="56">
        <v>0</v>
      </c>
      <c r="D299" s="56">
        <v>16487.237000000001</v>
      </c>
      <c r="E299" s="56">
        <v>19635.548173343632</v>
      </c>
      <c r="F299" s="56">
        <v>5449.2880000000005</v>
      </c>
      <c r="G299" s="56">
        <v>6143.4788123683484</v>
      </c>
      <c r="H299" s="57">
        <v>0.19095444393403405</v>
      </c>
      <c r="I299" s="57">
        <v>0.12739110363929163</v>
      </c>
      <c r="J299" s="57">
        <v>0.1751645707655145</v>
      </c>
    </row>
    <row r="300" spans="1:10" ht="11.25" customHeight="1" x14ac:dyDescent="0.2">
      <c r="A300" s="66">
        <v>44562</v>
      </c>
      <c r="B300" s="56">
        <v>0</v>
      </c>
      <c r="C300" s="56">
        <v>0</v>
      </c>
      <c r="D300" s="56">
        <v>17423.7255</v>
      </c>
      <c r="E300" s="56">
        <v>20750.86331411175</v>
      </c>
      <c r="F300" s="56">
        <v>5758.8120000000008</v>
      </c>
      <c r="G300" s="56">
        <v>6492.4334163311978</v>
      </c>
      <c r="H300" s="57">
        <v>0.19095444393403405</v>
      </c>
      <c r="I300" s="57">
        <v>0.12739110363929163</v>
      </c>
      <c r="J300" s="57">
        <v>0.1751645707655145</v>
      </c>
    </row>
    <row r="301" spans="1:10" ht="11.25" customHeight="1" x14ac:dyDescent="0.2">
      <c r="A301" s="66">
        <v>44593</v>
      </c>
      <c r="B301" s="56">
        <v>0</v>
      </c>
      <c r="C301" s="56">
        <v>0</v>
      </c>
      <c r="D301" s="56">
        <v>18503.836899999998</v>
      </c>
      <c r="E301" s="56">
        <v>22037.226785885559</v>
      </c>
      <c r="F301" s="56">
        <v>6115.8056000000006</v>
      </c>
      <c r="G301" s="56">
        <v>6894.9048250273609</v>
      </c>
      <c r="H301" s="57">
        <v>0.19095444393403405</v>
      </c>
      <c r="I301" s="57">
        <v>0.12739110363929163</v>
      </c>
      <c r="J301" s="57">
        <v>0.1751645707655145</v>
      </c>
    </row>
    <row r="302" spans="1:10" ht="11.25" customHeight="1" x14ac:dyDescent="0.2">
      <c r="A302" s="66">
        <v>44621</v>
      </c>
      <c r="B302" s="56">
        <v>0</v>
      </c>
      <c r="C302" s="56">
        <v>0</v>
      </c>
      <c r="D302" s="56">
        <v>37494.815800000004</v>
      </c>
      <c r="E302" s="56">
        <v>44654.617501498033</v>
      </c>
      <c r="F302" s="56">
        <v>12392.619200000001</v>
      </c>
      <c r="G302" s="56">
        <v>13971.328636869479</v>
      </c>
      <c r="H302" s="57">
        <v>0.19095444393403382</v>
      </c>
      <c r="I302" s="57">
        <v>0.12739110363929185</v>
      </c>
      <c r="J302" s="57">
        <v>0.1751645707655145</v>
      </c>
    </row>
    <row r="303" spans="1:10" ht="11.25" customHeight="1" x14ac:dyDescent="0.2">
      <c r="A303" s="62" t="s">
        <v>31</v>
      </c>
      <c r="B303" s="56">
        <v>0</v>
      </c>
      <c r="C303" s="56">
        <v>0</v>
      </c>
      <c r="D303" s="56">
        <v>230504.10592</v>
      </c>
      <c r="E303" s="56">
        <v>274522.06829644454</v>
      </c>
      <c r="F303" s="56">
        <v>76185.793199999986</v>
      </c>
      <c r="G303" s="56">
        <v>85891.185477382853</v>
      </c>
      <c r="H303" s="57">
        <v>0.19096389715383943</v>
      </c>
      <c r="I303" s="57">
        <v>0.12739110363929185</v>
      </c>
      <c r="J303" s="57">
        <v>0.17517158148337608</v>
      </c>
    </row>
    <row r="304" spans="1:10" ht="11.25" customHeight="1" x14ac:dyDescent="0.2">
      <c r="A304" s="63" t="s">
        <v>25</v>
      </c>
      <c r="B304" s="56">
        <v>0</v>
      </c>
      <c r="C304" s="56">
        <v>0</v>
      </c>
      <c r="D304" s="56">
        <v>230504.10592</v>
      </c>
      <c r="E304" s="56">
        <v>274522.06829644454</v>
      </c>
      <c r="F304" s="56">
        <v>76185.793199999986</v>
      </c>
      <c r="G304" s="56">
        <v>85891.185477382853</v>
      </c>
      <c r="H304" s="57">
        <v>0.19096389715383943</v>
      </c>
      <c r="I304" s="57">
        <v>0.12739110363929185</v>
      </c>
      <c r="J304" s="57">
        <v>0.17517158148337608</v>
      </c>
    </row>
    <row r="305" spans="1:10" ht="11.25" customHeight="1" x14ac:dyDescent="0.2">
      <c r="A305" s="64" t="s">
        <v>25</v>
      </c>
      <c r="B305" s="56">
        <v>0</v>
      </c>
      <c r="C305" s="56">
        <v>0</v>
      </c>
      <c r="D305" s="56">
        <v>230504.10592</v>
      </c>
      <c r="E305" s="56">
        <v>274522.06829644454</v>
      </c>
      <c r="F305" s="56">
        <v>76185.793199999986</v>
      </c>
      <c r="G305" s="56">
        <v>85891.185477382853</v>
      </c>
      <c r="H305" s="57">
        <v>0.19096389715383943</v>
      </c>
      <c r="I305" s="57">
        <v>0.12739110363929185</v>
      </c>
      <c r="J305" s="57">
        <v>0.17517158148337608</v>
      </c>
    </row>
    <row r="306" spans="1:10" ht="11.25" customHeight="1" x14ac:dyDescent="0.2">
      <c r="A306" s="65" t="s">
        <v>25</v>
      </c>
      <c r="B306" s="56">
        <v>0</v>
      </c>
      <c r="C306" s="56">
        <v>0</v>
      </c>
      <c r="D306" s="56">
        <v>230504.10592</v>
      </c>
      <c r="E306" s="56">
        <v>274522.06829644454</v>
      </c>
      <c r="F306" s="56">
        <v>76185.793199999986</v>
      </c>
      <c r="G306" s="56">
        <v>85891.185477382853</v>
      </c>
      <c r="H306" s="57">
        <v>0.19096389715383943</v>
      </c>
      <c r="I306" s="57">
        <v>0.12739110363929185</v>
      </c>
      <c r="J306" s="57">
        <v>0.17517158148337608</v>
      </c>
    </row>
    <row r="307" spans="1:10" ht="11.25" customHeight="1" x14ac:dyDescent="0.2">
      <c r="A307" s="66">
        <v>44287</v>
      </c>
      <c r="B307" s="56">
        <v>0</v>
      </c>
      <c r="C307" s="56">
        <v>0</v>
      </c>
      <c r="D307" s="56">
        <v>15867.05488</v>
      </c>
      <c r="E307" s="56">
        <v>18897.089516238648</v>
      </c>
      <c r="F307" s="56">
        <v>5244.3498</v>
      </c>
      <c r="G307" s="56">
        <v>5912.4333088924996</v>
      </c>
      <c r="H307" s="57">
        <v>0.19096389715383966</v>
      </c>
      <c r="I307" s="57">
        <v>0.12739110363929185</v>
      </c>
      <c r="J307" s="57">
        <v>0.1751715814833763</v>
      </c>
    </row>
    <row r="308" spans="1:10" ht="11.25" customHeight="1" x14ac:dyDescent="0.2">
      <c r="A308" s="66">
        <v>44317</v>
      </c>
      <c r="B308" s="56">
        <v>0</v>
      </c>
      <c r="C308" s="56">
        <v>0</v>
      </c>
      <c r="D308" s="56">
        <v>12680.919519999999</v>
      </c>
      <c r="E308" s="56">
        <v>15102.517331033394</v>
      </c>
      <c r="F308" s="56">
        <v>4191.2741999999998</v>
      </c>
      <c r="G308" s="56">
        <v>4725.2052459928891</v>
      </c>
      <c r="H308" s="57">
        <v>0.19096389715383943</v>
      </c>
      <c r="I308" s="57">
        <v>0.12739110363929163</v>
      </c>
      <c r="J308" s="57">
        <v>0.17517158148337586</v>
      </c>
    </row>
    <row r="309" spans="1:10" ht="11.25" customHeight="1" x14ac:dyDescent="0.2">
      <c r="A309" s="66">
        <v>44348</v>
      </c>
      <c r="B309" s="56">
        <v>0</v>
      </c>
      <c r="C309" s="56">
        <v>0</v>
      </c>
      <c r="D309" s="56">
        <v>13380.130720000001</v>
      </c>
      <c r="E309" s="56">
        <v>15935.252626719008</v>
      </c>
      <c r="F309" s="56">
        <v>4422.3761999999997</v>
      </c>
      <c r="G309" s="56">
        <v>4985.7475848261374</v>
      </c>
      <c r="H309" s="57">
        <v>0.19096389715383943</v>
      </c>
      <c r="I309" s="57">
        <v>0.12739110363929185</v>
      </c>
      <c r="J309" s="57">
        <v>0.17517158148337608</v>
      </c>
    </row>
    <row r="310" spans="1:10" ht="11.25" customHeight="1" x14ac:dyDescent="0.2">
      <c r="A310" s="66">
        <v>44378</v>
      </c>
      <c r="B310" s="56">
        <v>0</v>
      </c>
      <c r="C310" s="56">
        <v>0</v>
      </c>
      <c r="D310" s="56">
        <v>10380.451679999998</v>
      </c>
      <c r="E310" s="56">
        <v>12362.743187029919</v>
      </c>
      <c r="F310" s="56">
        <v>3430.9277999999995</v>
      </c>
      <c r="G310" s="56">
        <v>3867.9974789487273</v>
      </c>
      <c r="H310" s="57">
        <v>0.19096389715383943</v>
      </c>
      <c r="I310" s="57">
        <v>0.12739110363929185</v>
      </c>
      <c r="J310" s="57">
        <v>0.17517158148337608</v>
      </c>
    </row>
    <row r="311" spans="1:10" ht="11.25" customHeight="1" x14ac:dyDescent="0.2">
      <c r="A311" s="66">
        <v>44409</v>
      </c>
      <c r="B311" s="56">
        <v>0</v>
      </c>
      <c r="C311" s="56">
        <v>0</v>
      </c>
      <c r="D311" s="56">
        <v>10781.710719999999</v>
      </c>
      <c r="E311" s="56">
        <v>12840.628217076526</v>
      </c>
      <c r="F311" s="56">
        <v>3563.5511999999994</v>
      </c>
      <c r="G311" s="56">
        <v>4017.5159202431228</v>
      </c>
      <c r="H311" s="57">
        <v>0.19096389715383943</v>
      </c>
      <c r="I311" s="57">
        <v>0.12739110363929207</v>
      </c>
      <c r="J311" s="57">
        <v>0.17517158148337608</v>
      </c>
    </row>
    <row r="312" spans="1:10" ht="11.25" customHeight="1" x14ac:dyDescent="0.2">
      <c r="A312" s="66">
        <v>44440</v>
      </c>
      <c r="B312" s="56">
        <v>0</v>
      </c>
      <c r="C312" s="56">
        <v>0</v>
      </c>
      <c r="D312" s="56">
        <v>15778.866079999998</v>
      </c>
      <c r="E312" s="56">
        <v>18792.059839305322</v>
      </c>
      <c r="F312" s="56">
        <v>5215.2017999999998</v>
      </c>
      <c r="G312" s="56">
        <v>5879.5721130036209</v>
      </c>
      <c r="H312" s="57">
        <v>0.19096389715383943</v>
      </c>
      <c r="I312" s="57">
        <v>0.12739110363929185</v>
      </c>
      <c r="J312" s="57">
        <v>0.17517158148337586</v>
      </c>
    </row>
    <row r="313" spans="1:10" ht="11.25" customHeight="1" x14ac:dyDescent="0.2">
      <c r="A313" s="66">
        <v>44470</v>
      </c>
      <c r="B313" s="56">
        <v>0</v>
      </c>
      <c r="C313" s="56">
        <v>0</v>
      </c>
      <c r="D313" s="56">
        <v>16083.747359999999</v>
      </c>
      <c r="E313" s="56">
        <v>19155.162436703376</v>
      </c>
      <c r="F313" s="56">
        <v>5315.9705999999996</v>
      </c>
      <c r="G313" s="56">
        <v>5993.1779616480289</v>
      </c>
      <c r="H313" s="57">
        <v>0.19096389715383943</v>
      </c>
      <c r="I313" s="57">
        <v>0.12739110363929207</v>
      </c>
      <c r="J313" s="57">
        <v>0.1751715814833763</v>
      </c>
    </row>
    <row r="314" spans="1:10" ht="11.25" customHeight="1" x14ac:dyDescent="0.2">
      <c r="A314" s="66">
        <v>44501</v>
      </c>
      <c r="B314" s="56">
        <v>0</v>
      </c>
      <c r="C314" s="56">
        <v>0</v>
      </c>
      <c r="D314" s="56">
        <v>16958.07632</v>
      </c>
      <c r="E314" s="56">
        <v>20196.456662299439</v>
      </c>
      <c r="F314" s="56">
        <v>5604.9521999999997</v>
      </c>
      <c r="G314" s="56">
        <v>6318.9732466034766</v>
      </c>
      <c r="H314" s="57">
        <v>0.19096389715383943</v>
      </c>
      <c r="I314" s="57">
        <v>0.12739110363929185</v>
      </c>
      <c r="J314" s="57">
        <v>0.17517158148337586</v>
      </c>
    </row>
    <row r="315" spans="1:10" ht="11.25" customHeight="1" x14ac:dyDescent="0.2">
      <c r="A315" s="66">
        <v>44531</v>
      </c>
      <c r="B315" s="56">
        <v>0</v>
      </c>
      <c r="C315" s="56">
        <v>0</v>
      </c>
      <c r="D315" s="56">
        <v>19089.725599999998</v>
      </c>
      <c r="E315" s="56">
        <v>22735.173996173413</v>
      </c>
      <c r="F315" s="56">
        <v>6309.5009999999993</v>
      </c>
      <c r="G315" s="56">
        <v>7113.2752958032152</v>
      </c>
      <c r="H315" s="57">
        <v>0.19096389715383943</v>
      </c>
      <c r="I315" s="57">
        <v>0.12739110363929185</v>
      </c>
      <c r="J315" s="57">
        <v>0.17517158148337586</v>
      </c>
    </row>
    <row r="316" spans="1:10" ht="11.25" customHeight="1" x14ac:dyDescent="0.2">
      <c r="A316" s="66">
        <v>44562</v>
      </c>
      <c r="B316" s="56">
        <v>0</v>
      </c>
      <c r="C316" s="56">
        <v>0</v>
      </c>
      <c r="D316" s="56">
        <v>23982.944159999999</v>
      </c>
      <c r="E316" s="56">
        <v>28562.820642016512</v>
      </c>
      <c r="F316" s="56">
        <v>7926.7986000000001</v>
      </c>
      <c r="G316" s="56">
        <v>8936.6022219803926</v>
      </c>
      <c r="H316" s="57">
        <v>0.19096389715383943</v>
      </c>
      <c r="I316" s="57">
        <v>0.12739110363929163</v>
      </c>
      <c r="J316" s="57">
        <v>0.17517158148337608</v>
      </c>
    </row>
    <row r="317" spans="1:10" ht="11.25" customHeight="1" x14ac:dyDescent="0.2">
      <c r="A317" s="66">
        <v>44593</v>
      </c>
      <c r="B317" s="56">
        <v>0</v>
      </c>
      <c r="C317" s="56">
        <v>0</v>
      </c>
      <c r="D317" s="56">
        <v>27768.133439999998</v>
      </c>
      <c r="E317" s="56">
        <v>33070.844418390247</v>
      </c>
      <c r="F317" s="56">
        <v>9177.8724000000002</v>
      </c>
      <c r="G317" s="56">
        <v>10347.051694096595</v>
      </c>
      <c r="H317" s="57">
        <v>0.19096389715383943</v>
      </c>
      <c r="I317" s="57">
        <v>0.12739110363929163</v>
      </c>
      <c r="J317" s="57">
        <v>0.17517158148337608</v>
      </c>
    </row>
    <row r="318" spans="1:10" ht="11.25" customHeight="1" x14ac:dyDescent="0.2">
      <c r="A318" s="66">
        <v>44621</v>
      </c>
      <c r="B318" s="56">
        <v>0</v>
      </c>
      <c r="C318" s="56">
        <v>0</v>
      </c>
      <c r="D318" s="56">
        <v>47752.34543999999</v>
      </c>
      <c r="E318" s="56">
        <v>56871.319423458765</v>
      </c>
      <c r="F318" s="56">
        <v>15783.017399999997</v>
      </c>
      <c r="G318" s="56">
        <v>17793.633405344146</v>
      </c>
      <c r="H318" s="57">
        <v>0.19096389715383943</v>
      </c>
      <c r="I318" s="57">
        <v>0.12739110363929207</v>
      </c>
      <c r="J318" s="57">
        <v>0.17517158148337608</v>
      </c>
    </row>
    <row r="319" spans="1:10" ht="11.25" customHeight="1" x14ac:dyDescent="0.2">
      <c r="A319" s="62" t="s">
        <v>32</v>
      </c>
      <c r="B319" s="56">
        <v>0</v>
      </c>
      <c r="C319" s="56">
        <v>0</v>
      </c>
      <c r="D319" s="56">
        <v>57214.84285999999</v>
      </c>
      <c r="E319" s="56">
        <v>68140.920401517607</v>
      </c>
      <c r="F319" s="56">
        <v>18910.302179999999</v>
      </c>
      <c r="G319" s="56">
        <v>21319.613643906567</v>
      </c>
      <c r="H319" s="57">
        <v>0.19096578781580886</v>
      </c>
      <c r="I319" s="57">
        <v>0.12740734870195336</v>
      </c>
      <c r="J319" s="57">
        <v>0.17517719011789201</v>
      </c>
    </row>
    <row r="320" spans="1:10" ht="11.25" customHeight="1" x14ac:dyDescent="0.2">
      <c r="A320" s="63" t="s">
        <v>25</v>
      </c>
      <c r="B320" s="56">
        <v>0</v>
      </c>
      <c r="C320" s="56">
        <v>0</v>
      </c>
      <c r="D320" s="56">
        <v>57214.84285999999</v>
      </c>
      <c r="E320" s="56">
        <v>68140.920401517607</v>
      </c>
      <c r="F320" s="56">
        <v>18910.302179999999</v>
      </c>
      <c r="G320" s="56">
        <v>21319.613643906567</v>
      </c>
      <c r="H320" s="57">
        <v>0.19096578781580886</v>
      </c>
      <c r="I320" s="57">
        <v>0.12740734870195336</v>
      </c>
      <c r="J320" s="57">
        <v>0.17517719011789201</v>
      </c>
    </row>
    <row r="321" spans="1:10" ht="11.25" customHeight="1" x14ac:dyDescent="0.2">
      <c r="A321" s="64" t="s">
        <v>25</v>
      </c>
      <c r="B321" s="56">
        <v>0</v>
      </c>
      <c r="C321" s="56">
        <v>0</v>
      </c>
      <c r="D321" s="56">
        <v>57214.84285999999</v>
      </c>
      <c r="E321" s="56">
        <v>68140.920401517607</v>
      </c>
      <c r="F321" s="56">
        <v>18910.302179999999</v>
      </c>
      <c r="G321" s="56">
        <v>21319.613643906567</v>
      </c>
      <c r="H321" s="57">
        <v>0.19096578781580886</v>
      </c>
      <c r="I321" s="57">
        <v>0.12740734870195336</v>
      </c>
      <c r="J321" s="57">
        <v>0.17517719011789201</v>
      </c>
    </row>
    <row r="322" spans="1:10" ht="11.25" customHeight="1" x14ac:dyDescent="0.2">
      <c r="A322" s="65" t="s">
        <v>25</v>
      </c>
      <c r="B322" s="56">
        <v>0</v>
      </c>
      <c r="C322" s="56">
        <v>0</v>
      </c>
      <c r="D322" s="56">
        <v>57214.84285999999</v>
      </c>
      <c r="E322" s="56">
        <v>68140.920401517607</v>
      </c>
      <c r="F322" s="56">
        <v>18910.302179999999</v>
      </c>
      <c r="G322" s="56">
        <v>21319.613643906567</v>
      </c>
      <c r="H322" s="57">
        <v>0.19096578781580886</v>
      </c>
      <c r="I322" s="57">
        <v>0.12740734870195336</v>
      </c>
      <c r="J322" s="57">
        <v>0.17517719011789201</v>
      </c>
    </row>
    <row r="323" spans="1:10" ht="11.25" customHeight="1" x14ac:dyDescent="0.2">
      <c r="A323" s="66">
        <v>44287</v>
      </c>
      <c r="B323" s="56">
        <v>0</v>
      </c>
      <c r="C323" s="56">
        <v>0</v>
      </c>
      <c r="D323" s="56">
        <v>5071.5478599999997</v>
      </c>
      <c r="E323" s="56">
        <v>6040.03999253048</v>
      </c>
      <c r="F323" s="56">
        <v>1676.2171800000001</v>
      </c>
      <c r="G323" s="56">
        <v>1889.7795667524649</v>
      </c>
      <c r="H323" s="57">
        <v>0.19096578781580908</v>
      </c>
      <c r="I323" s="57">
        <v>0.12740734870195336</v>
      </c>
      <c r="J323" s="57">
        <v>0.17517719011789201</v>
      </c>
    </row>
    <row r="324" spans="1:10" ht="11.25" customHeight="1" x14ac:dyDescent="0.2">
      <c r="A324" s="66">
        <v>44317</v>
      </c>
      <c r="B324" s="56">
        <v>0</v>
      </c>
      <c r="C324" s="56">
        <v>0</v>
      </c>
      <c r="D324" s="56">
        <v>2468.58257</v>
      </c>
      <c r="E324" s="56">
        <v>2939.9973852684243</v>
      </c>
      <c r="F324" s="56">
        <v>815.90091000000007</v>
      </c>
      <c r="G324" s="56">
        <v>919.85268174661098</v>
      </c>
      <c r="H324" s="57">
        <v>0.19096578781580886</v>
      </c>
      <c r="I324" s="57">
        <v>0.12740734870195314</v>
      </c>
      <c r="J324" s="57">
        <v>0.17517719011789201</v>
      </c>
    </row>
    <row r="325" spans="1:10" ht="11.25" customHeight="1" x14ac:dyDescent="0.2">
      <c r="A325" s="66">
        <v>44348</v>
      </c>
      <c r="B325" s="56">
        <v>0</v>
      </c>
      <c r="C325" s="56">
        <v>0</v>
      </c>
      <c r="D325" s="56">
        <v>2357.2968799999999</v>
      </c>
      <c r="E325" s="56">
        <v>2807.4599358049481</v>
      </c>
      <c r="F325" s="56">
        <v>779.11943999999994</v>
      </c>
      <c r="G325" s="56">
        <v>878.38498217255051</v>
      </c>
      <c r="H325" s="57">
        <v>0.19096578781580886</v>
      </c>
      <c r="I325" s="57">
        <v>0.12740734870195336</v>
      </c>
      <c r="J325" s="57">
        <v>0.17517719011789201</v>
      </c>
    </row>
    <row r="326" spans="1:10" ht="11.25" customHeight="1" x14ac:dyDescent="0.2">
      <c r="A326" s="66">
        <v>44378</v>
      </c>
      <c r="B326" s="56">
        <v>0</v>
      </c>
      <c r="C326" s="56">
        <v>0</v>
      </c>
      <c r="D326" s="56">
        <v>1404.71937</v>
      </c>
      <c r="E326" s="56">
        <v>1672.9727111521768</v>
      </c>
      <c r="F326" s="56">
        <v>464.27931000000007</v>
      </c>
      <c r="G326" s="56">
        <v>523.43190594427233</v>
      </c>
      <c r="H326" s="57">
        <v>0.19096578781580886</v>
      </c>
      <c r="I326" s="57">
        <v>0.12740734870195336</v>
      </c>
      <c r="J326" s="57">
        <v>0.17517719011789201</v>
      </c>
    </row>
    <row r="327" spans="1:10" ht="11.25" customHeight="1" x14ac:dyDescent="0.2">
      <c r="A327" s="66">
        <v>44409</v>
      </c>
      <c r="B327" s="56">
        <v>0</v>
      </c>
      <c r="C327" s="56">
        <v>0</v>
      </c>
      <c r="D327" s="56">
        <v>1397.02036</v>
      </c>
      <c r="E327" s="56">
        <v>1663.8034536421249</v>
      </c>
      <c r="F327" s="56">
        <v>461.73468000000003</v>
      </c>
      <c r="G327" s="56">
        <v>520.56307138254476</v>
      </c>
      <c r="H327" s="57">
        <v>0.19096578781580886</v>
      </c>
      <c r="I327" s="57">
        <v>0.12740734870195314</v>
      </c>
      <c r="J327" s="57">
        <v>0.17517719011789179</v>
      </c>
    </row>
    <row r="328" spans="1:10" ht="11.25" customHeight="1" x14ac:dyDescent="0.2">
      <c r="A328" s="66">
        <v>44440</v>
      </c>
      <c r="B328" s="56">
        <v>0</v>
      </c>
      <c r="C328" s="56">
        <v>0</v>
      </c>
      <c r="D328" s="56">
        <v>3272.0792499999998</v>
      </c>
      <c r="E328" s="56">
        <v>3896.9344417720108</v>
      </c>
      <c r="F328" s="56">
        <v>1081.46775</v>
      </c>
      <c r="G328" s="56">
        <v>1219.2546887341668</v>
      </c>
      <c r="H328" s="57">
        <v>0.19096578781580886</v>
      </c>
      <c r="I328" s="57">
        <v>0.12740734870195336</v>
      </c>
      <c r="J328" s="57">
        <v>0.17517719011789201</v>
      </c>
    </row>
    <row r="329" spans="1:10" ht="11.25" customHeight="1" x14ac:dyDescent="0.2">
      <c r="A329" s="66">
        <v>44470</v>
      </c>
      <c r="B329" s="56">
        <v>0</v>
      </c>
      <c r="C329" s="56">
        <v>0</v>
      </c>
      <c r="D329" s="56">
        <v>2843.03442</v>
      </c>
      <c r="E329" s="56">
        <v>3385.9567278027612</v>
      </c>
      <c r="F329" s="56">
        <v>939.66246000000012</v>
      </c>
      <c r="G329" s="56">
        <v>1059.3823627033553</v>
      </c>
      <c r="H329" s="57">
        <v>0.19096578781580886</v>
      </c>
      <c r="I329" s="57">
        <v>0.12740734870195314</v>
      </c>
      <c r="J329" s="57">
        <v>0.17517719011789201</v>
      </c>
    </row>
    <row r="330" spans="1:10" ht="11.25" customHeight="1" x14ac:dyDescent="0.2">
      <c r="A330" s="66">
        <v>44501</v>
      </c>
      <c r="B330" s="56">
        <v>0</v>
      </c>
      <c r="C330" s="56">
        <v>0</v>
      </c>
      <c r="D330" s="56">
        <v>3152.3946399999995</v>
      </c>
      <c r="E330" s="56">
        <v>3754.3941659339325</v>
      </c>
      <c r="F330" s="56">
        <v>1041.91032</v>
      </c>
      <c r="G330" s="56">
        <v>1174.6573514564036</v>
      </c>
      <c r="H330" s="57">
        <v>0.19096578781580886</v>
      </c>
      <c r="I330" s="57">
        <v>0.12740734870195314</v>
      </c>
      <c r="J330" s="57">
        <v>0.17517719011789179</v>
      </c>
    </row>
    <row r="331" spans="1:10" ht="11.25" customHeight="1" x14ac:dyDescent="0.2">
      <c r="A331" s="66">
        <v>44531</v>
      </c>
      <c r="B331" s="56">
        <v>0</v>
      </c>
      <c r="C331" s="56">
        <v>0</v>
      </c>
      <c r="D331" s="56">
        <v>3610.1357800000001</v>
      </c>
      <c r="E331" s="56">
        <v>4299.5482033497401</v>
      </c>
      <c r="F331" s="56">
        <v>1193.2001400000001</v>
      </c>
      <c r="G331" s="56">
        <v>1345.2226063081996</v>
      </c>
      <c r="H331" s="57">
        <v>0.19096578781580886</v>
      </c>
      <c r="I331" s="57">
        <v>0.12740734870195336</v>
      </c>
      <c r="J331" s="57">
        <v>0.17517719011789201</v>
      </c>
    </row>
    <row r="332" spans="1:10" ht="11.25" customHeight="1" x14ac:dyDescent="0.2">
      <c r="A332" s="66">
        <v>44562</v>
      </c>
      <c r="B332" s="56">
        <v>0</v>
      </c>
      <c r="C332" s="56">
        <v>0</v>
      </c>
      <c r="D332" s="56">
        <v>6885.0146699999996</v>
      </c>
      <c r="E332" s="56">
        <v>8199.8169205799513</v>
      </c>
      <c r="F332" s="56">
        <v>2275.59321</v>
      </c>
      <c r="G332" s="56">
        <v>2565.520507610267</v>
      </c>
      <c r="H332" s="57">
        <v>0.19096578781580886</v>
      </c>
      <c r="I332" s="57">
        <v>0.12740734870195314</v>
      </c>
      <c r="J332" s="57">
        <v>0.17517719011789179</v>
      </c>
    </row>
    <row r="333" spans="1:10" ht="11.25" customHeight="1" x14ac:dyDescent="0.2">
      <c r="A333" s="66">
        <v>44593</v>
      </c>
      <c r="B333" s="56">
        <v>0</v>
      </c>
      <c r="C333" s="56">
        <v>0</v>
      </c>
      <c r="D333" s="56">
        <v>10039.509039999999</v>
      </c>
      <c r="E333" s="56">
        <v>11956.711793107534</v>
      </c>
      <c r="F333" s="56">
        <v>3318.1975200000002</v>
      </c>
      <c r="G333" s="56">
        <v>3740.9602684925962</v>
      </c>
      <c r="H333" s="57">
        <v>0.19096578781580886</v>
      </c>
      <c r="I333" s="57">
        <v>0.12740734870195314</v>
      </c>
      <c r="J333" s="57">
        <v>0.17517719011789179</v>
      </c>
    </row>
    <row r="334" spans="1:10" ht="11.25" customHeight="1" x14ac:dyDescent="0.2">
      <c r="A334" s="66">
        <v>44621</v>
      </c>
      <c r="B334" s="56">
        <v>0</v>
      </c>
      <c r="C334" s="56">
        <v>0</v>
      </c>
      <c r="D334" s="56">
        <v>14713.508019999997</v>
      </c>
      <c r="E334" s="56">
        <v>17523.284670573521</v>
      </c>
      <c r="F334" s="56">
        <v>4863.01926</v>
      </c>
      <c r="G334" s="56">
        <v>5482.6036506031342</v>
      </c>
      <c r="H334" s="57">
        <v>0.19096578781580908</v>
      </c>
      <c r="I334" s="57">
        <v>0.12740734870195314</v>
      </c>
      <c r="J334" s="57">
        <v>0.17517719011789179</v>
      </c>
    </row>
    <row r="335" spans="1:10" ht="11.25" customHeight="1" x14ac:dyDescent="0.2">
      <c r="A335" s="59" t="s">
        <v>43</v>
      </c>
      <c r="B335" s="56">
        <v>0</v>
      </c>
      <c r="C335" s="56">
        <v>0</v>
      </c>
      <c r="D335" s="56">
        <v>2294562.0026160004</v>
      </c>
      <c r="E335" s="56">
        <v>2985762.336098542</v>
      </c>
      <c r="F335" s="56">
        <v>669856.00136599992</v>
      </c>
      <c r="G335" s="56">
        <v>806693.11213626375</v>
      </c>
      <c r="H335" s="57">
        <v>0.3012341059838497</v>
      </c>
      <c r="I335" s="57">
        <v>0.20427839788136515</v>
      </c>
      <c r="J335" s="57">
        <v>0.27932546730607233</v>
      </c>
    </row>
    <row r="336" spans="1:10" ht="11.25" customHeight="1" x14ac:dyDescent="0.2">
      <c r="A336" s="60" t="s">
        <v>23</v>
      </c>
      <c r="B336" s="56">
        <v>0</v>
      </c>
      <c r="C336" s="56">
        <v>0</v>
      </c>
      <c r="D336" s="56">
        <v>2294562.0026160004</v>
      </c>
      <c r="E336" s="56">
        <v>2985762.336098542</v>
      </c>
      <c r="F336" s="56">
        <v>669856.00136599992</v>
      </c>
      <c r="G336" s="56">
        <v>806693.11213626375</v>
      </c>
      <c r="H336" s="57">
        <v>0.3012341059838497</v>
      </c>
      <c r="I336" s="57">
        <v>0.20427839788136515</v>
      </c>
      <c r="J336" s="57">
        <v>0.27932546730607233</v>
      </c>
    </row>
    <row r="337" spans="1:10" ht="11.25" customHeight="1" x14ac:dyDescent="0.2">
      <c r="A337" s="61" t="s">
        <v>44</v>
      </c>
      <c r="B337" s="56">
        <v>0</v>
      </c>
      <c r="C337" s="56">
        <v>0</v>
      </c>
      <c r="D337" s="56">
        <v>2294562.0026160004</v>
      </c>
      <c r="E337" s="56">
        <v>2985762.336098542</v>
      </c>
      <c r="F337" s="56">
        <v>669856.00136599992</v>
      </c>
      <c r="G337" s="56">
        <v>806693.11213626375</v>
      </c>
      <c r="H337" s="57">
        <v>0.3012341059838497</v>
      </c>
      <c r="I337" s="57">
        <v>0.20427839788136515</v>
      </c>
      <c r="J337" s="57">
        <v>0.27932546730607233</v>
      </c>
    </row>
    <row r="338" spans="1:10" ht="11.25" customHeight="1" x14ac:dyDescent="0.2">
      <c r="A338" s="62" t="s">
        <v>52</v>
      </c>
      <c r="B338" s="56">
        <v>0</v>
      </c>
      <c r="C338" s="56">
        <v>0</v>
      </c>
      <c r="D338" s="56">
        <v>20796.732216000004</v>
      </c>
      <c r="E338" s="56">
        <v>27061.417252472285</v>
      </c>
      <c r="F338" s="56">
        <v>6071.2309659999983</v>
      </c>
      <c r="G338" s="56">
        <v>7311.4523009022096</v>
      </c>
      <c r="H338" s="57">
        <v>0.30123410598384948</v>
      </c>
      <c r="I338" s="57">
        <v>0.20427839788136493</v>
      </c>
      <c r="J338" s="57">
        <v>0.27932546730607233</v>
      </c>
    </row>
    <row r="339" spans="1:10" ht="11.25" customHeight="1" x14ac:dyDescent="0.2">
      <c r="A339" s="63" t="s">
        <v>53</v>
      </c>
      <c r="B339" s="56">
        <v>0</v>
      </c>
      <c r="C339" s="56">
        <v>0</v>
      </c>
      <c r="D339" s="56">
        <v>10169.01756</v>
      </c>
      <c r="E339" s="56">
        <v>13232.272473420668</v>
      </c>
      <c r="F339" s="56">
        <v>2968.66131</v>
      </c>
      <c r="G339" s="56">
        <v>3575.0946862591932</v>
      </c>
      <c r="H339" s="57">
        <v>0.30123410598384948</v>
      </c>
      <c r="I339" s="57">
        <v>0.2042783978813647</v>
      </c>
      <c r="J339" s="57">
        <v>0.27932546730607211</v>
      </c>
    </row>
    <row r="340" spans="1:10" ht="11.25" customHeight="1" x14ac:dyDescent="0.2">
      <c r="A340" s="64" t="s">
        <v>25</v>
      </c>
      <c r="B340" s="56">
        <v>0</v>
      </c>
      <c r="C340" s="56">
        <v>0</v>
      </c>
      <c r="D340" s="56">
        <v>10169.01756</v>
      </c>
      <c r="E340" s="56">
        <v>13232.272473420668</v>
      </c>
      <c r="F340" s="56">
        <v>2968.66131</v>
      </c>
      <c r="G340" s="56">
        <v>3575.0946862591932</v>
      </c>
      <c r="H340" s="57">
        <v>0.30123410598384948</v>
      </c>
      <c r="I340" s="57">
        <v>0.2042783978813647</v>
      </c>
      <c r="J340" s="57">
        <v>0.27932546730607211</v>
      </c>
    </row>
    <row r="341" spans="1:10" ht="11.25" customHeight="1" x14ac:dyDescent="0.2">
      <c r="A341" s="65" t="s">
        <v>25</v>
      </c>
      <c r="B341" s="56">
        <v>0</v>
      </c>
      <c r="C341" s="56">
        <v>0</v>
      </c>
      <c r="D341" s="56">
        <v>10169.01756</v>
      </c>
      <c r="E341" s="56">
        <v>13232.272473420668</v>
      </c>
      <c r="F341" s="56">
        <v>2968.66131</v>
      </c>
      <c r="G341" s="56">
        <v>3575.0946862591932</v>
      </c>
      <c r="H341" s="57">
        <v>0.30123410598384948</v>
      </c>
      <c r="I341" s="57">
        <v>0.2042783978813647</v>
      </c>
      <c r="J341" s="57">
        <v>0.27932546730607211</v>
      </c>
    </row>
    <row r="342" spans="1:10" ht="11.25" customHeight="1" x14ac:dyDescent="0.2">
      <c r="A342" s="66">
        <v>44287</v>
      </c>
      <c r="B342" s="56">
        <v>0</v>
      </c>
      <c r="C342" s="56">
        <v>0</v>
      </c>
      <c r="D342" s="56">
        <v>4160.9084400000002</v>
      </c>
      <c r="E342" s="56">
        <v>5414.3159740040537</v>
      </c>
      <c r="F342" s="56">
        <v>1214.70219</v>
      </c>
      <c r="G342" s="56">
        <v>1462.8396072761852</v>
      </c>
      <c r="H342" s="57">
        <v>0.30123410598384948</v>
      </c>
      <c r="I342" s="57">
        <v>0.20427839788136493</v>
      </c>
      <c r="J342" s="57">
        <v>0.27932546730607211</v>
      </c>
    </row>
    <row r="343" spans="1:10" ht="11.25" customHeight="1" x14ac:dyDescent="0.2">
      <c r="A343" s="66">
        <v>44317</v>
      </c>
      <c r="B343" s="56">
        <v>0</v>
      </c>
      <c r="C343" s="56">
        <v>0</v>
      </c>
      <c r="D343" s="56">
        <v>69.732000000000014</v>
      </c>
      <c r="E343" s="56">
        <v>90.737656678465797</v>
      </c>
      <c r="F343" s="56">
        <v>20.356999999999999</v>
      </c>
      <c r="G343" s="56">
        <v>24.515495345670946</v>
      </c>
      <c r="H343" s="57">
        <v>0.30123410598384925</v>
      </c>
      <c r="I343" s="57">
        <v>0.20427839788136493</v>
      </c>
      <c r="J343" s="57">
        <v>0.27932546730607211</v>
      </c>
    </row>
    <row r="344" spans="1:10" ht="11.25" customHeight="1" x14ac:dyDescent="0.2">
      <c r="A344" s="66">
        <v>44348</v>
      </c>
      <c r="B344" s="56">
        <v>0</v>
      </c>
      <c r="C344" s="56">
        <v>0</v>
      </c>
      <c r="D344" s="56">
        <v>1144.3021200000001</v>
      </c>
      <c r="E344" s="56">
        <v>1489.0049460936236</v>
      </c>
      <c r="F344" s="56">
        <v>334.05836999999997</v>
      </c>
      <c r="G344" s="56">
        <v>402.29927862246024</v>
      </c>
      <c r="H344" s="57">
        <v>0.30123410598384948</v>
      </c>
      <c r="I344" s="57">
        <v>0.20427839788136515</v>
      </c>
      <c r="J344" s="57">
        <v>0.27932546730607211</v>
      </c>
    </row>
    <row r="345" spans="1:10" ht="11.25" customHeight="1" x14ac:dyDescent="0.2">
      <c r="A345" s="66">
        <v>44378</v>
      </c>
      <c r="B345" s="56">
        <v>0</v>
      </c>
      <c r="C345" s="56">
        <v>0</v>
      </c>
      <c r="D345" s="56">
        <v>1873.00152</v>
      </c>
      <c r="E345" s="56">
        <v>2437.2134583835914</v>
      </c>
      <c r="F345" s="56">
        <v>546.78901999999994</v>
      </c>
      <c r="G345" s="56">
        <v>658.48620498472155</v>
      </c>
      <c r="H345" s="57">
        <v>0.30123410598384948</v>
      </c>
      <c r="I345" s="57">
        <v>0.20427839788136493</v>
      </c>
      <c r="J345" s="57">
        <v>0.27932546730607233</v>
      </c>
    </row>
    <row r="346" spans="1:10" ht="11.25" customHeight="1" x14ac:dyDescent="0.2">
      <c r="A346" s="66">
        <v>44409</v>
      </c>
      <c r="B346" s="56">
        <v>0</v>
      </c>
      <c r="C346" s="56">
        <v>0</v>
      </c>
      <c r="D346" s="56">
        <v>2059.1859600000003</v>
      </c>
      <c r="E346" s="56">
        <v>2679.4830017150948</v>
      </c>
      <c r="F346" s="56">
        <v>601.14220999999998</v>
      </c>
      <c r="G346" s="56">
        <v>723.94257755766296</v>
      </c>
      <c r="H346" s="57">
        <v>0.30123410598384925</v>
      </c>
      <c r="I346" s="57">
        <v>0.20427839788136493</v>
      </c>
      <c r="J346" s="57">
        <v>0.27932546730607211</v>
      </c>
    </row>
    <row r="347" spans="1:10" ht="11.25" customHeight="1" x14ac:dyDescent="0.2">
      <c r="A347" s="66">
        <v>44470</v>
      </c>
      <c r="B347" s="56">
        <v>0</v>
      </c>
      <c r="C347" s="56">
        <v>0</v>
      </c>
      <c r="D347" s="56">
        <v>241.97004000000001</v>
      </c>
      <c r="E347" s="56">
        <v>314.85966867427629</v>
      </c>
      <c r="F347" s="56">
        <v>70.638789999999986</v>
      </c>
      <c r="G347" s="56">
        <v>85.068768849478175</v>
      </c>
      <c r="H347" s="57">
        <v>0.30123410598384948</v>
      </c>
      <c r="I347" s="57">
        <v>0.20427839788136515</v>
      </c>
      <c r="J347" s="57">
        <v>0.27932546730607211</v>
      </c>
    </row>
    <row r="348" spans="1:10" ht="11.25" customHeight="1" x14ac:dyDescent="0.2">
      <c r="A348" s="66">
        <v>44562</v>
      </c>
      <c r="B348" s="56">
        <v>0</v>
      </c>
      <c r="C348" s="56">
        <v>0</v>
      </c>
      <c r="D348" s="56">
        <v>550.1854800000001</v>
      </c>
      <c r="E348" s="56">
        <v>715.92011119309518</v>
      </c>
      <c r="F348" s="56">
        <v>160.61672999999999</v>
      </c>
      <c r="G348" s="56">
        <v>193.42725827734375</v>
      </c>
      <c r="H348" s="57">
        <v>0.30123410598384948</v>
      </c>
      <c r="I348" s="57">
        <v>0.20427839788136493</v>
      </c>
      <c r="J348" s="57">
        <v>0.27932546730607211</v>
      </c>
    </row>
    <row r="349" spans="1:10" ht="11.25" customHeight="1" x14ac:dyDescent="0.2">
      <c r="A349" s="66">
        <v>44621</v>
      </c>
      <c r="B349" s="56">
        <v>0</v>
      </c>
      <c r="C349" s="56">
        <v>0</v>
      </c>
      <c r="D349" s="56">
        <v>69.732000000000014</v>
      </c>
      <c r="E349" s="56">
        <v>90.737656678465797</v>
      </c>
      <c r="F349" s="56">
        <v>20.356999999999999</v>
      </c>
      <c r="G349" s="56">
        <v>24.515495345670946</v>
      </c>
      <c r="H349" s="57">
        <v>0.30123410598384925</v>
      </c>
      <c r="I349" s="57">
        <v>0.20427839788136493</v>
      </c>
      <c r="J349" s="57">
        <v>0.27932546730607211</v>
      </c>
    </row>
    <row r="350" spans="1:10" ht="11.25" customHeight="1" x14ac:dyDescent="0.2">
      <c r="A350" s="63" t="s">
        <v>54</v>
      </c>
      <c r="B350" s="56">
        <v>0</v>
      </c>
      <c r="C350" s="56">
        <v>0</v>
      </c>
      <c r="D350" s="56">
        <v>10627.714656000002</v>
      </c>
      <c r="E350" s="56">
        <v>13829.144779051614</v>
      </c>
      <c r="F350" s="56">
        <v>3102.5696560000006</v>
      </c>
      <c r="G350" s="56">
        <v>3736.3576146430178</v>
      </c>
      <c r="H350" s="57">
        <v>0.30123410598384925</v>
      </c>
      <c r="I350" s="57">
        <v>0.2042783978813647</v>
      </c>
      <c r="J350" s="57">
        <v>0.27932546730607188</v>
      </c>
    </row>
    <row r="351" spans="1:10" ht="11.25" customHeight="1" x14ac:dyDescent="0.2">
      <c r="A351" s="64" t="s">
        <v>25</v>
      </c>
      <c r="B351" s="56">
        <v>0</v>
      </c>
      <c r="C351" s="56">
        <v>0</v>
      </c>
      <c r="D351" s="56">
        <v>10627.714656000002</v>
      </c>
      <c r="E351" s="56">
        <v>13829.144779051614</v>
      </c>
      <c r="F351" s="56">
        <v>3102.5696560000006</v>
      </c>
      <c r="G351" s="56">
        <v>3736.3576146430178</v>
      </c>
      <c r="H351" s="57">
        <v>0.30123410598384925</v>
      </c>
      <c r="I351" s="57">
        <v>0.2042783978813647</v>
      </c>
      <c r="J351" s="57">
        <v>0.27932546730607188</v>
      </c>
    </row>
    <row r="352" spans="1:10" ht="11.25" customHeight="1" x14ac:dyDescent="0.2">
      <c r="A352" s="65" t="s">
        <v>25</v>
      </c>
      <c r="B352" s="56">
        <v>0</v>
      </c>
      <c r="C352" s="56">
        <v>0</v>
      </c>
      <c r="D352" s="56">
        <v>10627.714656000002</v>
      </c>
      <c r="E352" s="56">
        <v>13829.144779051614</v>
      </c>
      <c r="F352" s="56">
        <v>3102.5696560000006</v>
      </c>
      <c r="G352" s="56">
        <v>3736.3576146430178</v>
      </c>
      <c r="H352" s="57">
        <v>0.30123410598384925</v>
      </c>
      <c r="I352" s="57">
        <v>0.2042783978813647</v>
      </c>
      <c r="J352" s="57">
        <v>0.27932546730607188</v>
      </c>
    </row>
    <row r="353" spans="1:10" ht="11.25" customHeight="1" x14ac:dyDescent="0.2">
      <c r="A353" s="66">
        <v>44287</v>
      </c>
      <c r="B353" s="56">
        <v>0</v>
      </c>
      <c r="C353" s="56">
        <v>0</v>
      </c>
      <c r="D353" s="56">
        <v>2600.7246720000003</v>
      </c>
      <c r="E353" s="56">
        <v>3384.1516434800601</v>
      </c>
      <c r="F353" s="56">
        <v>759.23467199999993</v>
      </c>
      <c r="G353" s="56">
        <v>914.32991441214358</v>
      </c>
      <c r="H353" s="57">
        <v>0.30123410598384925</v>
      </c>
      <c r="I353" s="57">
        <v>0.20427839788136493</v>
      </c>
      <c r="J353" s="57">
        <v>0.27932546730607188</v>
      </c>
    </row>
    <row r="354" spans="1:10" ht="11.25" customHeight="1" x14ac:dyDescent="0.2">
      <c r="A354" s="66">
        <v>44348</v>
      </c>
      <c r="B354" s="56">
        <v>0</v>
      </c>
      <c r="C354" s="56">
        <v>0</v>
      </c>
      <c r="D354" s="56">
        <v>1199.669328</v>
      </c>
      <c r="E354" s="56">
        <v>1561.0506454963254</v>
      </c>
      <c r="F354" s="56">
        <v>350.22182799999996</v>
      </c>
      <c r="G354" s="56">
        <v>421.76458192692292</v>
      </c>
      <c r="H354" s="57">
        <v>0.30123410598384948</v>
      </c>
      <c r="I354" s="57">
        <v>0.20427839788136493</v>
      </c>
      <c r="J354" s="57">
        <v>0.27932546730607233</v>
      </c>
    </row>
    <row r="355" spans="1:10" ht="11.25" customHeight="1" x14ac:dyDescent="0.2">
      <c r="A355" s="66">
        <v>44378</v>
      </c>
      <c r="B355" s="56">
        <v>0</v>
      </c>
      <c r="C355" s="56">
        <v>0</v>
      </c>
      <c r="D355" s="56">
        <v>1028.9653920000001</v>
      </c>
      <c r="E355" s="56">
        <v>1338.9248619474413</v>
      </c>
      <c r="F355" s="56">
        <v>300.38789200000002</v>
      </c>
      <c r="G355" s="56">
        <v>361.75064932072047</v>
      </c>
      <c r="H355" s="57">
        <v>0.30123410598384948</v>
      </c>
      <c r="I355" s="57">
        <v>0.20427839788136493</v>
      </c>
      <c r="J355" s="57">
        <v>0.27932546730607211</v>
      </c>
    </row>
    <row r="356" spans="1:10" ht="11.25" customHeight="1" x14ac:dyDescent="0.2">
      <c r="A356" s="66">
        <v>44409</v>
      </c>
      <c r="B356" s="56">
        <v>0</v>
      </c>
      <c r="C356" s="56">
        <v>0</v>
      </c>
      <c r="D356" s="56">
        <v>1277.769168</v>
      </c>
      <c r="E356" s="56">
        <v>1662.6768209762072</v>
      </c>
      <c r="F356" s="56">
        <v>373.02166799999998</v>
      </c>
      <c r="G356" s="56">
        <v>449.22193671407439</v>
      </c>
      <c r="H356" s="57">
        <v>0.30123410598384948</v>
      </c>
      <c r="I356" s="57">
        <v>0.20427839788136493</v>
      </c>
      <c r="J356" s="57">
        <v>0.27932546730607188</v>
      </c>
    </row>
    <row r="357" spans="1:10" ht="11.25" customHeight="1" x14ac:dyDescent="0.2">
      <c r="A357" s="66">
        <v>44440</v>
      </c>
      <c r="B357" s="56">
        <v>0</v>
      </c>
      <c r="C357" s="56">
        <v>0</v>
      </c>
      <c r="D357" s="56">
        <v>1208.8739520000001</v>
      </c>
      <c r="E357" s="56">
        <v>1573.028016177883</v>
      </c>
      <c r="F357" s="56">
        <v>352.908952</v>
      </c>
      <c r="G357" s="56">
        <v>425.0006273125515</v>
      </c>
      <c r="H357" s="57">
        <v>0.30123410598384948</v>
      </c>
      <c r="I357" s="57">
        <v>0.20427839788136493</v>
      </c>
      <c r="J357" s="57">
        <v>0.27932546730607211</v>
      </c>
    </row>
    <row r="358" spans="1:10" ht="11.25" customHeight="1" x14ac:dyDescent="0.2">
      <c r="A358" s="66">
        <v>44470</v>
      </c>
      <c r="B358" s="56">
        <v>0</v>
      </c>
      <c r="C358" s="56">
        <v>0</v>
      </c>
      <c r="D358" s="56">
        <v>818.37475200000006</v>
      </c>
      <c r="E358" s="56">
        <v>1064.8971387784745</v>
      </c>
      <c r="F358" s="56">
        <v>238.909752</v>
      </c>
      <c r="G358" s="56">
        <v>287.71385337679419</v>
      </c>
      <c r="H358" s="57">
        <v>0.30123410598384948</v>
      </c>
      <c r="I358" s="57">
        <v>0.20427839788136493</v>
      </c>
      <c r="J358" s="57">
        <v>0.27932546730607233</v>
      </c>
    </row>
    <row r="359" spans="1:10" ht="11.25" customHeight="1" x14ac:dyDescent="0.2">
      <c r="A359" s="66">
        <v>44501</v>
      </c>
      <c r="B359" s="56">
        <v>0</v>
      </c>
      <c r="C359" s="56">
        <v>0</v>
      </c>
      <c r="D359" s="56">
        <v>132.211872</v>
      </c>
      <c r="E359" s="56">
        <v>172.03859706237114</v>
      </c>
      <c r="F359" s="56">
        <v>38.596871999999998</v>
      </c>
      <c r="G359" s="56">
        <v>46.481379175392107</v>
      </c>
      <c r="H359" s="57">
        <v>0.30123410598384948</v>
      </c>
      <c r="I359" s="57">
        <v>0.20427839788136493</v>
      </c>
      <c r="J359" s="57">
        <v>0.27932546730607211</v>
      </c>
    </row>
    <row r="360" spans="1:10" ht="11.25" customHeight="1" x14ac:dyDescent="0.2">
      <c r="A360" s="66">
        <v>44531</v>
      </c>
      <c r="B360" s="56">
        <v>0</v>
      </c>
      <c r="C360" s="56">
        <v>0</v>
      </c>
      <c r="D360" s="56">
        <v>220.07419200000001</v>
      </c>
      <c r="E360" s="56">
        <v>286.36804447723802</v>
      </c>
      <c r="F360" s="56">
        <v>64.246691999999996</v>
      </c>
      <c r="G360" s="56">
        <v>77.370903310937507</v>
      </c>
      <c r="H360" s="57">
        <v>0.30123410598384925</v>
      </c>
      <c r="I360" s="57">
        <v>0.20427839788136493</v>
      </c>
      <c r="J360" s="57">
        <v>0.27932546730607233</v>
      </c>
    </row>
    <row r="361" spans="1:10" ht="11.25" customHeight="1" x14ac:dyDescent="0.2">
      <c r="A361" s="66">
        <v>44562</v>
      </c>
      <c r="B361" s="56">
        <v>0</v>
      </c>
      <c r="C361" s="56">
        <v>0</v>
      </c>
      <c r="D361" s="56">
        <v>1044.864288</v>
      </c>
      <c r="E361" s="56">
        <v>1359.6130476701314</v>
      </c>
      <c r="F361" s="56">
        <v>305.02928800000001</v>
      </c>
      <c r="G361" s="56">
        <v>367.34018225953344</v>
      </c>
      <c r="H361" s="57">
        <v>0.30123410598384948</v>
      </c>
      <c r="I361" s="57">
        <v>0.20427839788136493</v>
      </c>
      <c r="J361" s="57">
        <v>0.27932546730607211</v>
      </c>
    </row>
    <row r="362" spans="1:10" ht="11.25" customHeight="1" x14ac:dyDescent="0.2">
      <c r="A362" s="66">
        <v>44593</v>
      </c>
      <c r="B362" s="56">
        <v>0</v>
      </c>
      <c r="C362" s="56">
        <v>0</v>
      </c>
      <c r="D362" s="56">
        <v>1096.18704</v>
      </c>
      <c r="E362" s="56">
        <v>1426.3959629854824</v>
      </c>
      <c r="F362" s="56">
        <v>320.01204000000001</v>
      </c>
      <c r="G362" s="56">
        <v>385.38358683394728</v>
      </c>
      <c r="H362" s="57">
        <v>0.30123410598384948</v>
      </c>
      <c r="I362" s="57">
        <v>0.20427839788136493</v>
      </c>
      <c r="J362" s="57">
        <v>0.27932546730607211</v>
      </c>
    </row>
    <row r="363" spans="1:10" ht="11.25" customHeight="1" x14ac:dyDescent="0.2">
      <c r="A363" s="62" t="s">
        <v>25</v>
      </c>
      <c r="B363" s="56">
        <v>0</v>
      </c>
      <c r="C363" s="56">
        <v>0</v>
      </c>
      <c r="D363" s="56">
        <v>2273765.2704000003</v>
      </c>
      <c r="E363" s="56">
        <v>2958700.9188460698</v>
      </c>
      <c r="F363" s="56">
        <v>663784.77039999992</v>
      </c>
      <c r="G363" s="56">
        <v>799381.65983536176</v>
      </c>
      <c r="H363" s="57">
        <v>0.30123410598384925</v>
      </c>
      <c r="I363" s="57">
        <v>0.20427839788136515</v>
      </c>
      <c r="J363" s="57">
        <v>0.27932546730607233</v>
      </c>
    </row>
    <row r="364" spans="1:10" ht="11.25" customHeight="1" x14ac:dyDescent="0.2">
      <c r="A364" s="63" t="s">
        <v>25</v>
      </c>
      <c r="B364" s="56">
        <v>0</v>
      </c>
      <c r="C364" s="56">
        <v>0</v>
      </c>
      <c r="D364" s="56">
        <v>2273765.2704000003</v>
      </c>
      <c r="E364" s="56">
        <v>2958700.9188460698</v>
      </c>
      <c r="F364" s="56">
        <v>663784.77039999992</v>
      </c>
      <c r="G364" s="56">
        <v>799381.65983536176</v>
      </c>
      <c r="H364" s="57">
        <v>0.30123410598384925</v>
      </c>
      <c r="I364" s="57">
        <v>0.20427839788136515</v>
      </c>
      <c r="J364" s="57">
        <v>0.27932546730607233</v>
      </c>
    </row>
    <row r="365" spans="1:10" ht="11.25" customHeight="1" x14ac:dyDescent="0.2">
      <c r="A365" s="64" t="s">
        <v>25</v>
      </c>
      <c r="B365" s="56">
        <v>0</v>
      </c>
      <c r="C365" s="56">
        <v>0</v>
      </c>
      <c r="D365" s="56">
        <v>2273765.2704000003</v>
      </c>
      <c r="E365" s="56">
        <v>2958700.9188460698</v>
      </c>
      <c r="F365" s="56">
        <v>663784.77039999992</v>
      </c>
      <c r="G365" s="56">
        <v>799381.65983536176</v>
      </c>
      <c r="H365" s="57">
        <v>0.30123410598384925</v>
      </c>
      <c r="I365" s="57">
        <v>0.20427839788136515</v>
      </c>
      <c r="J365" s="57">
        <v>0.27932546730607233</v>
      </c>
    </row>
    <row r="366" spans="1:10" ht="11.25" customHeight="1" x14ac:dyDescent="0.2">
      <c r="A366" s="65" t="s">
        <v>25</v>
      </c>
      <c r="B366" s="56">
        <v>0</v>
      </c>
      <c r="C366" s="56">
        <v>0</v>
      </c>
      <c r="D366" s="56">
        <v>2273765.2704000003</v>
      </c>
      <c r="E366" s="56">
        <v>2958700.9188460698</v>
      </c>
      <c r="F366" s="56">
        <v>663784.77039999992</v>
      </c>
      <c r="G366" s="56">
        <v>799381.65983536176</v>
      </c>
      <c r="H366" s="57">
        <v>0.30123410598384925</v>
      </c>
      <c r="I366" s="57">
        <v>0.20427839788136515</v>
      </c>
      <c r="J366" s="57">
        <v>0.27932546730607233</v>
      </c>
    </row>
    <row r="367" spans="1:10" ht="11.25" customHeight="1" x14ac:dyDescent="0.2">
      <c r="A367" s="66">
        <v>44287</v>
      </c>
      <c r="B367" s="56">
        <v>0</v>
      </c>
      <c r="C367" s="56">
        <v>0</v>
      </c>
      <c r="D367" s="56">
        <v>233444.60567999998</v>
      </c>
      <c r="E367" s="56">
        <v>303766.08276876702</v>
      </c>
      <c r="F367" s="56">
        <v>68149.943179999987</v>
      </c>
      <c r="G367" s="56">
        <v>82071.504388516449</v>
      </c>
      <c r="H367" s="57">
        <v>0.30123410598384948</v>
      </c>
      <c r="I367" s="57">
        <v>0.20427839788136515</v>
      </c>
      <c r="J367" s="57">
        <v>0.27932546730607211</v>
      </c>
    </row>
    <row r="368" spans="1:10" ht="11.25" customHeight="1" x14ac:dyDescent="0.2">
      <c r="A368" s="66">
        <v>44317</v>
      </c>
      <c r="B368" s="56">
        <v>0</v>
      </c>
      <c r="C368" s="56">
        <v>0</v>
      </c>
      <c r="D368" s="56">
        <v>197468.47224000003</v>
      </c>
      <c r="E368" s="56">
        <v>256952.71093521299</v>
      </c>
      <c r="F368" s="56">
        <v>57647.35974</v>
      </c>
      <c r="G368" s="56">
        <v>69423.470029777905</v>
      </c>
      <c r="H368" s="57">
        <v>0.30123410598384925</v>
      </c>
      <c r="I368" s="57">
        <v>0.20427839788136515</v>
      </c>
      <c r="J368" s="57">
        <v>0.27932546730607188</v>
      </c>
    </row>
    <row r="369" spans="1:10" ht="11.25" customHeight="1" x14ac:dyDescent="0.2">
      <c r="A369" s="66">
        <v>44348</v>
      </c>
      <c r="B369" s="56">
        <v>0</v>
      </c>
      <c r="C369" s="56">
        <v>0</v>
      </c>
      <c r="D369" s="56">
        <v>187388.01432000002</v>
      </c>
      <c r="E369" s="56">
        <v>243835.67528577396</v>
      </c>
      <c r="F369" s="56">
        <v>54704.551819999993</v>
      </c>
      <c r="G369" s="56">
        <v>65879.510022607705</v>
      </c>
      <c r="H369" s="57">
        <v>0.30123410598384925</v>
      </c>
      <c r="I369" s="57">
        <v>0.20427839788136515</v>
      </c>
      <c r="J369" s="57">
        <v>0.27932546730607211</v>
      </c>
    </row>
    <row r="370" spans="1:10" ht="11.25" customHeight="1" x14ac:dyDescent="0.2">
      <c r="A370" s="66">
        <v>44378</v>
      </c>
      <c r="B370" s="56">
        <v>0</v>
      </c>
      <c r="C370" s="56">
        <v>0</v>
      </c>
      <c r="D370" s="56">
        <v>179345.82276000004</v>
      </c>
      <c r="E370" s="56">
        <v>233370.90134104653</v>
      </c>
      <c r="F370" s="56">
        <v>52356.779010000006</v>
      </c>
      <c r="G370" s="56">
        <v>63052.137944391478</v>
      </c>
      <c r="H370" s="57">
        <v>0.30123410598384925</v>
      </c>
      <c r="I370" s="57">
        <v>0.20427839788136493</v>
      </c>
      <c r="J370" s="57">
        <v>0.27932546730607211</v>
      </c>
    </row>
    <row r="371" spans="1:10" ht="11.25" customHeight="1" x14ac:dyDescent="0.2">
      <c r="A371" s="66">
        <v>44409</v>
      </c>
      <c r="B371" s="56">
        <v>0</v>
      </c>
      <c r="C371" s="56">
        <v>0</v>
      </c>
      <c r="D371" s="56">
        <v>170527.51404000001</v>
      </c>
      <c r="E371" s="56">
        <v>221896.21727748774</v>
      </c>
      <c r="F371" s="56">
        <v>49782.432789999999</v>
      </c>
      <c r="G371" s="56">
        <v>59951.908402977926</v>
      </c>
      <c r="H371" s="57">
        <v>0.30123410598384948</v>
      </c>
      <c r="I371" s="57">
        <v>0.20427839788136493</v>
      </c>
      <c r="J371" s="57">
        <v>0.27932546730607211</v>
      </c>
    </row>
    <row r="372" spans="1:10" ht="11.25" customHeight="1" x14ac:dyDescent="0.2">
      <c r="A372" s="66">
        <v>44440</v>
      </c>
      <c r="B372" s="56">
        <v>0</v>
      </c>
      <c r="C372" s="56">
        <v>0</v>
      </c>
      <c r="D372" s="56">
        <v>191977.07724000001</v>
      </c>
      <c r="E372" s="56">
        <v>249807.12047178383</v>
      </c>
      <c r="F372" s="56">
        <v>56044.245989999989</v>
      </c>
      <c r="G372" s="56">
        <v>67492.874771306306</v>
      </c>
      <c r="H372" s="57">
        <v>0.30123410598384948</v>
      </c>
      <c r="I372" s="57">
        <v>0.20427839788136515</v>
      </c>
      <c r="J372" s="57">
        <v>0.27932546730607233</v>
      </c>
    </row>
    <row r="373" spans="1:10" ht="11.25" customHeight="1" x14ac:dyDescent="0.2">
      <c r="A373" s="66">
        <v>44470</v>
      </c>
      <c r="B373" s="56">
        <v>0</v>
      </c>
      <c r="C373" s="56">
        <v>0</v>
      </c>
      <c r="D373" s="56">
        <v>185224.92768000002</v>
      </c>
      <c r="E373" s="56">
        <v>241020.99317560799</v>
      </c>
      <c r="F373" s="56">
        <v>54073.077680000002</v>
      </c>
      <c r="G373" s="56">
        <v>65119.039356984984</v>
      </c>
      <c r="H373" s="57">
        <v>0.30123410598384948</v>
      </c>
      <c r="I373" s="57">
        <v>0.2042783978813647</v>
      </c>
      <c r="J373" s="57">
        <v>0.27932546730607233</v>
      </c>
    </row>
    <row r="374" spans="1:10" ht="11.25" customHeight="1" x14ac:dyDescent="0.2">
      <c r="A374" s="66">
        <v>44501</v>
      </c>
      <c r="B374" s="56">
        <v>0</v>
      </c>
      <c r="C374" s="56">
        <v>0</v>
      </c>
      <c r="D374" s="56">
        <v>179601.04188000003</v>
      </c>
      <c r="E374" s="56">
        <v>233703.00116448972</v>
      </c>
      <c r="F374" s="56">
        <v>52431.285630000006</v>
      </c>
      <c r="G374" s="56">
        <v>63141.864657356637</v>
      </c>
      <c r="H374" s="57">
        <v>0.30123410598384925</v>
      </c>
      <c r="I374" s="57">
        <v>0.20427839788136493</v>
      </c>
      <c r="J374" s="57">
        <v>0.27932546730607211</v>
      </c>
    </row>
    <row r="375" spans="1:10" ht="11.25" customHeight="1" x14ac:dyDescent="0.2">
      <c r="A375" s="66">
        <v>44531</v>
      </c>
      <c r="B375" s="56">
        <v>0</v>
      </c>
      <c r="C375" s="56">
        <v>0</v>
      </c>
      <c r="D375" s="56">
        <v>177428.89008000001</v>
      </c>
      <c r="E375" s="56">
        <v>230876.5231589555</v>
      </c>
      <c r="F375" s="56">
        <v>51797.165079999992</v>
      </c>
      <c r="G375" s="56">
        <v>62378.206977338981</v>
      </c>
      <c r="H375" s="57">
        <v>0.30123410598384948</v>
      </c>
      <c r="I375" s="57">
        <v>0.20427839788136515</v>
      </c>
      <c r="J375" s="57">
        <v>0.27932546730607233</v>
      </c>
    </row>
    <row r="376" spans="1:10" ht="11.25" customHeight="1" x14ac:dyDescent="0.2">
      <c r="A376" s="66">
        <v>44562</v>
      </c>
      <c r="B376" s="56">
        <v>0</v>
      </c>
      <c r="C376" s="56">
        <v>0</v>
      </c>
      <c r="D376" s="56">
        <v>193909.35095999998</v>
      </c>
      <c r="E376" s="56">
        <v>252321.4609383441</v>
      </c>
      <c r="F376" s="56">
        <v>56608.338459999992</v>
      </c>
      <c r="G376" s="56">
        <v>68172.199147334846</v>
      </c>
      <c r="H376" s="57">
        <v>0.30123410598384948</v>
      </c>
      <c r="I376" s="57">
        <v>0.20427839788136493</v>
      </c>
      <c r="J376" s="57">
        <v>0.27932546730607211</v>
      </c>
    </row>
    <row r="377" spans="1:10" ht="11.25" customHeight="1" x14ac:dyDescent="0.2">
      <c r="A377" s="66">
        <v>44593</v>
      </c>
      <c r="B377" s="56">
        <v>0</v>
      </c>
      <c r="C377" s="56">
        <v>0</v>
      </c>
      <c r="D377" s="56">
        <v>189113.18400000001</v>
      </c>
      <c r="E377" s="56">
        <v>246080.52491199924</v>
      </c>
      <c r="F377" s="56">
        <v>55208.184000000001</v>
      </c>
      <c r="G377" s="56">
        <v>66486.023377459598</v>
      </c>
      <c r="H377" s="57">
        <v>0.30123410598384948</v>
      </c>
      <c r="I377" s="57">
        <v>0.2042783978813647</v>
      </c>
      <c r="J377" s="57">
        <v>0.27932546730607211</v>
      </c>
    </row>
    <row r="378" spans="1:10" ht="11.25" customHeight="1" x14ac:dyDescent="0.2">
      <c r="A378" s="66">
        <v>44621</v>
      </c>
      <c r="B378" s="56">
        <v>0</v>
      </c>
      <c r="C378" s="56">
        <v>0</v>
      </c>
      <c r="D378" s="56">
        <v>188336.36952000004</v>
      </c>
      <c r="E378" s="56">
        <v>245069.70741660116</v>
      </c>
      <c r="F378" s="56">
        <v>54981.407019999999</v>
      </c>
      <c r="G378" s="56">
        <v>66212.920759308836</v>
      </c>
      <c r="H378" s="57">
        <v>0.30123410598384948</v>
      </c>
      <c r="I378" s="57">
        <v>0.20427839788136515</v>
      </c>
      <c r="J378" s="57">
        <v>0.27932546730607211</v>
      </c>
    </row>
    <row r="379" spans="1:10" ht="11.25" customHeight="1" x14ac:dyDescent="0.2">
      <c r="A379" s="59" t="s">
        <v>39</v>
      </c>
      <c r="B379" s="56">
        <v>0</v>
      </c>
      <c r="C379" s="56">
        <v>0</v>
      </c>
      <c r="D379" s="56">
        <v>3652811.3160274015</v>
      </c>
      <c r="E379" s="56">
        <v>4449764.2004167344</v>
      </c>
      <c r="F379" s="56">
        <v>1066373.2685561995</v>
      </c>
      <c r="G379" s="56">
        <v>1202237.0594295808</v>
      </c>
      <c r="H379" s="57">
        <v>0.21817521230635428</v>
      </c>
      <c r="I379" s="57">
        <v>0.12740734870195292</v>
      </c>
      <c r="J379" s="57">
        <v>0.1976647996160168</v>
      </c>
    </row>
    <row r="380" spans="1:10" ht="11.25" customHeight="1" x14ac:dyDescent="0.2">
      <c r="A380" s="60" t="s">
        <v>23</v>
      </c>
      <c r="B380" s="56">
        <v>0</v>
      </c>
      <c r="C380" s="56">
        <v>0</v>
      </c>
      <c r="D380" s="56">
        <v>3652811.3160274015</v>
      </c>
      <c r="E380" s="56">
        <v>4449764.2004167344</v>
      </c>
      <c r="F380" s="56">
        <v>1066373.2685561995</v>
      </c>
      <c r="G380" s="56">
        <v>1202237.0594295808</v>
      </c>
      <c r="H380" s="57">
        <v>0.21817521230635428</v>
      </c>
      <c r="I380" s="57">
        <v>0.12740734870195292</v>
      </c>
      <c r="J380" s="57">
        <v>0.1976647996160168</v>
      </c>
    </row>
    <row r="381" spans="1:10" ht="11.25" customHeight="1" x14ac:dyDescent="0.2">
      <c r="A381" s="61" t="s">
        <v>42</v>
      </c>
      <c r="B381" s="56">
        <v>0</v>
      </c>
      <c r="C381" s="56">
        <v>0</v>
      </c>
      <c r="D381" s="56">
        <v>2669744.9818600002</v>
      </c>
      <c r="E381" s="56">
        <v>3252217.1600811314</v>
      </c>
      <c r="F381" s="56">
        <v>779384.54417999997</v>
      </c>
      <c r="G381" s="56">
        <v>878683.86257325404</v>
      </c>
      <c r="H381" s="57">
        <v>0.21817521230635495</v>
      </c>
      <c r="I381" s="57">
        <v>0.12740734870195314</v>
      </c>
      <c r="J381" s="57">
        <v>0.19766479961601724</v>
      </c>
    </row>
    <row r="382" spans="1:10" ht="11.25" customHeight="1" x14ac:dyDescent="0.2">
      <c r="A382" s="62" t="s">
        <v>25</v>
      </c>
      <c r="B382" s="56">
        <v>0</v>
      </c>
      <c r="C382" s="56">
        <v>0</v>
      </c>
      <c r="D382" s="56">
        <v>2669744.9818600002</v>
      </c>
      <c r="E382" s="56">
        <v>3252217.1600811314</v>
      </c>
      <c r="F382" s="56">
        <v>779384.54417999997</v>
      </c>
      <c r="G382" s="56">
        <v>878683.86257325404</v>
      </c>
      <c r="H382" s="57">
        <v>0.21817521230635495</v>
      </c>
      <c r="I382" s="57">
        <v>0.12740734870195314</v>
      </c>
      <c r="J382" s="57">
        <v>0.19766479961601724</v>
      </c>
    </row>
    <row r="383" spans="1:10" ht="11.25" customHeight="1" x14ac:dyDescent="0.2">
      <c r="A383" s="63" t="s">
        <v>25</v>
      </c>
      <c r="B383" s="56">
        <v>0</v>
      </c>
      <c r="C383" s="56">
        <v>0</v>
      </c>
      <c r="D383" s="56">
        <v>2669744.9818600002</v>
      </c>
      <c r="E383" s="56">
        <v>3252217.1600811314</v>
      </c>
      <c r="F383" s="56">
        <v>779384.54417999997</v>
      </c>
      <c r="G383" s="56">
        <v>878683.86257325404</v>
      </c>
      <c r="H383" s="57">
        <v>0.21817521230635495</v>
      </c>
      <c r="I383" s="57">
        <v>0.12740734870195314</v>
      </c>
      <c r="J383" s="57">
        <v>0.19766479961601724</v>
      </c>
    </row>
    <row r="384" spans="1:10" ht="11.25" customHeight="1" x14ac:dyDescent="0.2">
      <c r="A384" s="64" t="s">
        <v>25</v>
      </c>
      <c r="B384" s="56">
        <v>0</v>
      </c>
      <c r="C384" s="56">
        <v>0</v>
      </c>
      <c r="D384" s="56">
        <v>2669744.9818600002</v>
      </c>
      <c r="E384" s="56">
        <v>3252217.1600811314</v>
      </c>
      <c r="F384" s="56">
        <v>779384.54417999997</v>
      </c>
      <c r="G384" s="56">
        <v>878683.86257325404</v>
      </c>
      <c r="H384" s="57">
        <v>0.21817521230635495</v>
      </c>
      <c r="I384" s="57">
        <v>0.12740734870195314</v>
      </c>
      <c r="J384" s="57">
        <v>0.19766479961601724</v>
      </c>
    </row>
    <row r="385" spans="1:10" ht="11.25" customHeight="1" x14ac:dyDescent="0.2">
      <c r="A385" s="65" t="s">
        <v>25</v>
      </c>
      <c r="B385" s="56">
        <v>0</v>
      </c>
      <c r="C385" s="56">
        <v>0</v>
      </c>
      <c r="D385" s="56">
        <v>2669744.9818600002</v>
      </c>
      <c r="E385" s="56">
        <v>3252217.1600811314</v>
      </c>
      <c r="F385" s="56">
        <v>779384.54417999997</v>
      </c>
      <c r="G385" s="56">
        <v>878683.86257325404</v>
      </c>
      <c r="H385" s="57">
        <v>0.21817521230635495</v>
      </c>
      <c r="I385" s="57">
        <v>0.12740734870195314</v>
      </c>
      <c r="J385" s="57">
        <v>0.19766479961601724</v>
      </c>
    </row>
    <row r="386" spans="1:10" ht="11.25" customHeight="1" x14ac:dyDescent="0.2">
      <c r="A386" s="66">
        <v>44287</v>
      </c>
      <c r="B386" s="56">
        <v>0</v>
      </c>
      <c r="C386" s="56">
        <v>0</v>
      </c>
      <c r="D386" s="56">
        <v>229538.19711000001</v>
      </c>
      <c r="E386" s="56">
        <v>279617.7419968922</v>
      </c>
      <c r="F386" s="56">
        <v>67009.592430000004</v>
      </c>
      <c r="G386" s="56">
        <v>75547.106939104764</v>
      </c>
      <c r="H386" s="57">
        <v>0.21817521230635495</v>
      </c>
      <c r="I386" s="57">
        <v>0.12740734870195292</v>
      </c>
      <c r="J386" s="57">
        <v>0.19766479961601724</v>
      </c>
    </row>
    <row r="387" spans="1:10" ht="11.25" customHeight="1" x14ac:dyDescent="0.2">
      <c r="A387" s="66">
        <v>44317</v>
      </c>
      <c r="B387" s="56">
        <v>0</v>
      </c>
      <c r="C387" s="56">
        <v>0</v>
      </c>
      <c r="D387" s="56">
        <v>205947.359</v>
      </c>
      <c r="E387" s="56">
        <v>250879.96777375808</v>
      </c>
      <c r="F387" s="56">
        <v>60122.667000000001</v>
      </c>
      <c r="G387" s="56">
        <v>67782.736599360418</v>
      </c>
      <c r="H387" s="57">
        <v>0.21817521230635495</v>
      </c>
      <c r="I387" s="57">
        <v>0.12740734870195314</v>
      </c>
      <c r="J387" s="57">
        <v>0.19766479961601702</v>
      </c>
    </row>
    <row r="388" spans="1:10" ht="11.25" customHeight="1" x14ac:dyDescent="0.2">
      <c r="A388" s="66">
        <v>44348</v>
      </c>
      <c r="B388" s="56">
        <v>0</v>
      </c>
      <c r="C388" s="56">
        <v>0</v>
      </c>
      <c r="D388" s="56">
        <v>210620.20077</v>
      </c>
      <c r="E388" s="56">
        <v>256572.30778900179</v>
      </c>
      <c r="F388" s="56">
        <v>61486.820009999996</v>
      </c>
      <c r="G388" s="56">
        <v>69320.692727588306</v>
      </c>
      <c r="H388" s="57">
        <v>0.21817521230635473</v>
      </c>
      <c r="I388" s="57">
        <v>0.12740734870195336</v>
      </c>
      <c r="J388" s="57">
        <v>0.19766479961601702</v>
      </c>
    </row>
    <row r="389" spans="1:10" ht="11.25" customHeight="1" x14ac:dyDescent="0.2">
      <c r="A389" s="66">
        <v>44378</v>
      </c>
      <c r="B389" s="56">
        <v>0</v>
      </c>
      <c r="C389" s="56">
        <v>0</v>
      </c>
      <c r="D389" s="56">
        <v>191154.64911999999</v>
      </c>
      <c r="E389" s="56">
        <v>232859.85527510277</v>
      </c>
      <c r="F389" s="56">
        <v>55804.198560000004</v>
      </c>
      <c r="G389" s="56">
        <v>62914.063544966957</v>
      </c>
      <c r="H389" s="57">
        <v>0.21817521230635495</v>
      </c>
      <c r="I389" s="57">
        <v>0.12740734870195314</v>
      </c>
      <c r="J389" s="57">
        <v>0.19766479961601724</v>
      </c>
    </row>
    <row r="390" spans="1:10" ht="11.25" customHeight="1" x14ac:dyDescent="0.2">
      <c r="A390" s="66">
        <v>44409</v>
      </c>
      <c r="B390" s="56">
        <v>0</v>
      </c>
      <c r="C390" s="56">
        <v>0</v>
      </c>
      <c r="D390" s="56">
        <v>204131.15528000001</v>
      </c>
      <c r="E390" s="56">
        <v>248667.51342155549</v>
      </c>
      <c r="F390" s="56">
        <v>59592.458640000004</v>
      </c>
      <c r="G390" s="56">
        <v>67184.975797953215</v>
      </c>
      <c r="H390" s="57">
        <v>0.21817521230635473</v>
      </c>
      <c r="I390" s="57">
        <v>0.12740734870195336</v>
      </c>
      <c r="J390" s="57">
        <v>0.19766479961601724</v>
      </c>
    </row>
    <row r="391" spans="1:10" ht="11.25" customHeight="1" x14ac:dyDescent="0.2">
      <c r="A391" s="66">
        <v>44440</v>
      </c>
      <c r="B391" s="56">
        <v>0</v>
      </c>
      <c r="C391" s="56">
        <v>0</v>
      </c>
      <c r="D391" s="56">
        <v>226144.30507999999</v>
      </c>
      <c r="E391" s="56">
        <v>275483.38685270213</v>
      </c>
      <c r="F391" s="56">
        <v>66018.80604000001</v>
      </c>
      <c r="G391" s="56">
        <v>74430.087082024897</v>
      </c>
      <c r="H391" s="57">
        <v>0.21817521230635517</v>
      </c>
      <c r="I391" s="57">
        <v>0.12740734870195314</v>
      </c>
      <c r="J391" s="57">
        <v>0.19766479961601724</v>
      </c>
    </row>
    <row r="392" spans="1:10" ht="11.25" customHeight="1" x14ac:dyDescent="0.2">
      <c r="A392" s="66">
        <v>44470</v>
      </c>
      <c r="B392" s="56">
        <v>0</v>
      </c>
      <c r="C392" s="56">
        <v>0</v>
      </c>
      <c r="D392" s="56">
        <v>219153.66406000001</v>
      </c>
      <c r="E392" s="56">
        <v>266967.56124400604</v>
      </c>
      <c r="F392" s="56">
        <v>63978.012779999997</v>
      </c>
      <c r="G392" s="56">
        <v>72129.281763519481</v>
      </c>
      <c r="H392" s="57">
        <v>0.21817521230635473</v>
      </c>
      <c r="I392" s="57">
        <v>0.12740734870195336</v>
      </c>
      <c r="J392" s="57">
        <v>0.19766479961601702</v>
      </c>
    </row>
    <row r="393" spans="1:10" ht="11.25" customHeight="1" x14ac:dyDescent="0.2">
      <c r="A393" s="66">
        <v>44501</v>
      </c>
      <c r="B393" s="56">
        <v>0</v>
      </c>
      <c r="C393" s="56">
        <v>0</v>
      </c>
      <c r="D393" s="56">
        <v>219146.53236999997</v>
      </c>
      <c r="E393" s="56">
        <v>266958.87359602621</v>
      </c>
      <c r="F393" s="56">
        <v>63975.930809999998</v>
      </c>
      <c r="G393" s="56">
        <v>72126.9345352417</v>
      </c>
      <c r="H393" s="57">
        <v>0.21817521230635495</v>
      </c>
      <c r="I393" s="57">
        <v>0.12740734870195314</v>
      </c>
      <c r="J393" s="57">
        <v>0.19766479961601724</v>
      </c>
    </row>
    <row r="394" spans="1:10" ht="11.25" customHeight="1" x14ac:dyDescent="0.2">
      <c r="A394" s="66">
        <v>44531</v>
      </c>
      <c r="B394" s="56">
        <v>0</v>
      </c>
      <c r="C394" s="56">
        <v>0</v>
      </c>
      <c r="D394" s="56">
        <v>225170.43318999998</v>
      </c>
      <c r="E394" s="56">
        <v>274297.04025634215</v>
      </c>
      <c r="F394" s="56">
        <v>65734.501470000003</v>
      </c>
      <c r="G394" s="56">
        <v>74109.560020537348</v>
      </c>
      <c r="H394" s="57">
        <v>0.21817521230635495</v>
      </c>
      <c r="I394" s="57">
        <v>0.12740734870195314</v>
      </c>
      <c r="J394" s="57">
        <v>0.19766479961601746</v>
      </c>
    </row>
    <row r="395" spans="1:10" ht="11.25" customHeight="1" x14ac:dyDescent="0.2">
      <c r="A395" s="66">
        <v>44562</v>
      </c>
      <c r="B395" s="56">
        <v>0</v>
      </c>
      <c r="C395" s="56">
        <v>0</v>
      </c>
      <c r="D395" s="56">
        <v>234930.54715999996</v>
      </c>
      <c r="E395" s="56">
        <v>286186.56916388113</v>
      </c>
      <c r="F395" s="56">
        <v>68583.793080000003</v>
      </c>
      <c r="G395" s="56">
        <v>77321.87232024617</v>
      </c>
      <c r="H395" s="57">
        <v>0.21817521230635517</v>
      </c>
      <c r="I395" s="57">
        <v>0.12740734870195314</v>
      </c>
      <c r="J395" s="57">
        <v>0.19766479961601768</v>
      </c>
    </row>
    <row r="396" spans="1:10" ht="11.25" customHeight="1" x14ac:dyDescent="0.2">
      <c r="A396" s="66">
        <v>44593</v>
      </c>
      <c r="B396" s="56">
        <v>0</v>
      </c>
      <c r="C396" s="56">
        <v>0</v>
      </c>
      <c r="D396" s="56">
        <v>253497.50586999999</v>
      </c>
      <c r="E396" s="56">
        <v>308804.37803231872</v>
      </c>
      <c r="F396" s="56">
        <v>74004.086309999999</v>
      </c>
      <c r="G396" s="56">
        <v>83432.75073986761</v>
      </c>
      <c r="H396" s="57">
        <v>0.21817521230635495</v>
      </c>
      <c r="I396" s="57">
        <v>0.12740734870195314</v>
      </c>
      <c r="J396" s="57">
        <v>0.19766479961601746</v>
      </c>
    </row>
    <row r="397" spans="1:10" ht="11.25" customHeight="1" x14ac:dyDescent="0.2">
      <c r="A397" s="66">
        <v>44621</v>
      </c>
      <c r="B397" s="56">
        <v>0</v>
      </c>
      <c r="C397" s="56">
        <v>0</v>
      </c>
      <c r="D397" s="56">
        <v>250310.43285000001</v>
      </c>
      <c r="E397" s="56">
        <v>304921.96467954433</v>
      </c>
      <c r="F397" s="56">
        <v>73073.677049999998</v>
      </c>
      <c r="G397" s="56">
        <v>82383.800502843267</v>
      </c>
      <c r="H397" s="57">
        <v>0.21817521230635473</v>
      </c>
      <c r="I397" s="57">
        <v>0.12740734870195336</v>
      </c>
      <c r="J397" s="57">
        <v>0.19766479961601702</v>
      </c>
    </row>
    <row r="398" spans="1:10" ht="11.25" customHeight="1" x14ac:dyDescent="0.2">
      <c r="A398" s="61" t="s">
        <v>51</v>
      </c>
      <c r="B398" s="56">
        <v>0</v>
      </c>
      <c r="C398" s="56">
        <v>0</v>
      </c>
      <c r="D398" s="56">
        <v>26004.518969999997</v>
      </c>
      <c r="E398" s="56">
        <v>31678.060417204379</v>
      </c>
      <c r="F398" s="56">
        <v>7591.5566100000005</v>
      </c>
      <c r="G398" s="56">
        <v>8558.7767102008893</v>
      </c>
      <c r="H398" s="57">
        <v>0.2181752123063545</v>
      </c>
      <c r="I398" s="57">
        <v>0.12740734870195336</v>
      </c>
      <c r="J398" s="57">
        <v>0.1976647996160168</v>
      </c>
    </row>
    <row r="399" spans="1:10" ht="11.25" customHeight="1" x14ac:dyDescent="0.2">
      <c r="A399" s="62" t="s">
        <v>25</v>
      </c>
      <c r="B399" s="56">
        <v>0</v>
      </c>
      <c r="C399" s="56">
        <v>0</v>
      </c>
      <c r="D399" s="56">
        <v>26004.518969999997</v>
      </c>
      <c r="E399" s="56">
        <v>31678.060417204379</v>
      </c>
      <c r="F399" s="56">
        <v>7591.5566100000005</v>
      </c>
      <c r="G399" s="56">
        <v>8558.7767102008893</v>
      </c>
      <c r="H399" s="57">
        <v>0.2181752123063545</v>
      </c>
      <c r="I399" s="57">
        <v>0.12740734870195336</v>
      </c>
      <c r="J399" s="57">
        <v>0.1976647996160168</v>
      </c>
    </row>
    <row r="400" spans="1:10" ht="11.25" customHeight="1" x14ac:dyDescent="0.2">
      <c r="A400" s="63" t="s">
        <v>25</v>
      </c>
      <c r="B400" s="56">
        <v>0</v>
      </c>
      <c r="C400" s="56">
        <v>0</v>
      </c>
      <c r="D400" s="56">
        <v>26004.518969999997</v>
      </c>
      <c r="E400" s="56">
        <v>31678.060417204379</v>
      </c>
      <c r="F400" s="56">
        <v>7591.5566100000005</v>
      </c>
      <c r="G400" s="56">
        <v>8558.7767102008893</v>
      </c>
      <c r="H400" s="57">
        <v>0.2181752123063545</v>
      </c>
      <c r="I400" s="57">
        <v>0.12740734870195336</v>
      </c>
      <c r="J400" s="57">
        <v>0.1976647996160168</v>
      </c>
    </row>
    <row r="401" spans="1:10" ht="11.25" customHeight="1" x14ac:dyDescent="0.2">
      <c r="A401" s="64" t="s">
        <v>25</v>
      </c>
      <c r="B401" s="56">
        <v>0</v>
      </c>
      <c r="C401" s="56">
        <v>0</v>
      </c>
      <c r="D401" s="56">
        <v>26004.518969999997</v>
      </c>
      <c r="E401" s="56">
        <v>31678.060417204379</v>
      </c>
      <c r="F401" s="56">
        <v>7591.5566100000005</v>
      </c>
      <c r="G401" s="56">
        <v>8558.7767102008893</v>
      </c>
      <c r="H401" s="57">
        <v>0.2181752123063545</v>
      </c>
      <c r="I401" s="57">
        <v>0.12740734870195336</v>
      </c>
      <c r="J401" s="57">
        <v>0.1976647996160168</v>
      </c>
    </row>
    <row r="402" spans="1:10" ht="11.25" customHeight="1" x14ac:dyDescent="0.2">
      <c r="A402" s="65" t="s">
        <v>25</v>
      </c>
      <c r="B402" s="56">
        <v>0</v>
      </c>
      <c r="C402" s="56">
        <v>0</v>
      </c>
      <c r="D402" s="56">
        <v>26004.518969999997</v>
      </c>
      <c r="E402" s="56">
        <v>31678.060417204379</v>
      </c>
      <c r="F402" s="56">
        <v>7591.5566100000005</v>
      </c>
      <c r="G402" s="56">
        <v>8558.7767102008893</v>
      </c>
      <c r="H402" s="57">
        <v>0.2181752123063545</v>
      </c>
      <c r="I402" s="57">
        <v>0.12740734870195336</v>
      </c>
      <c r="J402" s="57">
        <v>0.1976647996160168</v>
      </c>
    </row>
    <row r="403" spans="1:10" ht="11.25" customHeight="1" x14ac:dyDescent="0.2">
      <c r="A403" s="66">
        <v>44287</v>
      </c>
      <c r="B403" s="56">
        <v>0</v>
      </c>
      <c r="C403" s="56">
        <v>0</v>
      </c>
      <c r="D403" s="56">
        <v>2453.3013599999999</v>
      </c>
      <c r="E403" s="56">
        <v>2988.5509050694691</v>
      </c>
      <c r="F403" s="56">
        <v>716.1976800000001</v>
      </c>
      <c r="G403" s="56">
        <v>807.44652755528989</v>
      </c>
      <c r="H403" s="57">
        <v>0.21817521230635495</v>
      </c>
      <c r="I403" s="57">
        <v>0.12740734870195314</v>
      </c>
      <c r="J403" s="57">
        <v>0.19766479961601724</v>
      </c>
    </row>
    <row r="404" spans="1:10" ht="11.25" customHeight="1" x14ac:dyDescent="0.2">
      <c r="A404" s="66">
        <v>44317</v>
      </c>
      <c r="B404" s="56">
        <v>0</v>
      </c>
      <c r="C404" s="56">
        <v>0</v>
      </c>
      <c r="D404" s="56">
        <v>2002.4200699999999</v>
      </c>
      <c r="E404" s="56">
        <v>2439.2984938987561</v>
      </c>
      <c r="F404" s="56">
        <v>584.57091000000003</v>
      </c>
      <c r="G404" s="56">
        <v>659.04953977138814</v>
      </c>
      <c r="H404" s="57">
        <v>0.21817521230635495</v>
      </c>
      <c r="I404" s="57">
        <v>0.12740734870195314</v>
      </c>
      <c r="J404" s="57">
        <v>0.19766479961601724</v>
      </c>
    </row>
    <row r="405" spans="1:10" ht="11.25" customHeight="1" x14ac:dyDescent="0.2">
      <c r="A405" s="66">
        <v>44348</v>
      </c>
      <c r="B405" s="56">
        <v>0</v>
      </c>
      <c r="C405" s="56">
        <v>0</v>
      </c>
      <c r="D405" s="56">
        <v>1698.92704</v>
      </c>
      <c r="E405" s="56">
        <v>2069.5908076450069</v>
      </c>
      <c r="F405" s="56">
        <v>495.97152</v>
      </c>
      <c r="G405" s="56">
        <v>559.16193639487778</v>
      </c>
      <c r="H405" s="57">
        <v>0.21817521230635473</v>
      </c>
      <c r="I405" s="57">
        <v>0.12740734870195336</v>
      </c>
      <c r="J405" s="57">
        <v>0.19766479961601702</v>
      </c>
    </row>
    <row r="406" spans="1:10" ht="11.25" customHeight="1" x14ac:dyDescent="0.2">
      <c r="A406" s="66">
        <v>44378</v>
      </c>
      <c r="B406" s="56">
        <v>0</v>
      </c>
      <c r="C406" s="56">
        <v>0</v>
      </c>
      <c r="D406" s="56">
        <v>1362.1527900000001</v>
      </c>
      <c r="E406" s="56">
        <v>1659.3407641519436</v>
      </c>
      <c r="F406" s="56">
        <v>397.65627000000001</v>
      </c>
      <c r="G406" s="56">
        <v>448.32060105540813</v>
      </c>
      <c r="H406" s="57">
        <v>0.21817521230635473</v>
      </c>
      <c r="I406" s="57">
        <v>0.12740734870195336</v>
      </c>
      <c r="J406" s="57">
        <v>0.19766479961601746</v>
      </c>
    </row>
    <row r="407" spans="1:10" ht="11.25" customHeight="1" x14ac:dyDescent="0.2">
      <c r="A407" s="66">
        <v>44409</v>
      </c>
      <c r="B407" s="56">
        <v>0</v>
      </c>
      <c r="C407" s="56">
        <v>0</v>
      </c>
      <c r="D407" s="56">
        <v>1275.7801000000002</v>
      </c>
      <c r="E407" s="56">
        <v>1554.1236941737227</v>
      </c>
      <c r="F407" s="56">
        <v>372.44130000000001</v>
      </c>
      <c r="G407" s="56">
        <v>419.8930585801088</v>
      </c>
      <c r="H407" s="57">
        <v>0.21817521230635473</v>
      </c>
      <c r="I407" s="57">
        <v>0.12740734870195336</v>
      </c>
      <c r="J407" s="57">
        <v>0.19766479961601724</v>
      </c>
    </row>
    <row r="408" spans="1:10" ht="11.25" customHeight="1" x14ac:dyDescent="0.2">
      <c r="A408" s="66">
        <v>44440</v>
      </c>
      <c r="B408" s="56">
        <v>0</v>
      </c>
      <c r="C408" s="56">
        <v>0</v>
      </c>
      <c r="D408" s="56">
        <v>1823.3354099999999</v>
      </c>
      <c r="E408" s="56">
        <v>2221.1420001824449</v>
      </c>
      <c r="F408" s="56">
        <v>532.29033000000004</v>
      </c>
      <c r="G408" s="56">
        <v>600.10802968498774</v>
      </c>
      <c r="H408" s="57">
        <v>0.21817521230635517</v>
      </c>
      <c r="I408" s="57">
        <v>0.12740734870195314</v>
      </c>
      <c r="J408" s="57">
        <v>0.19766479961601746</v>
      </c>
    </row>
    <row r="409" spans="1:10" ht="11.25" customHeight="1" x14ac:dyDescent="0.2">
      <c r="A409" s="66">
        <v>44470</v>
      </c>
      <c r="B409" s="56">
        <v>0</v>
      </c>
      <c r="C409" s="56">
        <v>0</v>
      </c>
      <c r="D409" s="56">
        <v>2009.5517599999998</v>
      </c>
      <c r="E409" s="56">
        <v>2447.986141878609</v>
      </c>
      <c r="F409" s="56">
        <v>586.6528800000001</v>
      </c>
      <c r="G409" s="56">
        <v>661.39676804916508</v>
      </c>
      <c r="H409" s="57">
        <v>0.21817521230635495</v>
      </c>
      <c r="I409" s="57">
        <v>0.12740734870195292</v>
      </c>
      <c r="J409" s="57">
        <v>0.19766479961601724</v>
      </c>
    </row>
    <row r="410" spans="1:10" ht="11.25" customHeight="1" x14ac:dyDescent="0.2">
      <c r="A410" s="66">
        <v>44501</v>
      </c>
      <c r="B410" s="56">
        <v>0</v>
      </c>
      <c r="C410" s="56">
        <v>0</v>
      </c>
      <c r="D410" s="56">
        <v>1909.7081000000001</v>
      </c>
      <c r="E410" s="56">
        <v>2326.3590701606659</v>
      </c>
      <c r="F410" s="56">
        <v>557.50530000000003</v>
      </c>
      <c r="G410" s="56">
        <v>628.53557216028707</v>
      </c>
      <c r="H410" s="57">
        <v>0.21817521230635495</v>
      </c>
      <c r="I410" s="57">
        <v>0.12740734870195314</v>
      </c>
      <c r="J410" s="57">
        <v>0.19766479961601724</v>
      </c>
    </row>
    <row r="411" spans="1:10" ht="11.25" customHeight="1" x14ac:dyDescent="0.2">
      <c r="A411" s="66">
        <v>44531</v>
      </c>
      <c r="B411" s="56">
        <v>0</v>
      </c>
      <c r="C411" s="56">
        <v>0</v>
      </c>
      <c r="D411" s="56">
        <v>2300.3662300000001</v>
      </c>
      <c r="E411" s="56">
        <v>2802.2491206126192</v>
      </c>
      <c r="F411" s="56">
        <v>671.55099000000007</v>
      </c>
      <c r="G411" s="56">
        <v>757.11152115407208</v>
      </c>
      <c r="H411" s="57">
        <v>0.21817521230635495</v>
      </c>
      <c r="I411" s="57">
        <v>0.12740734870195336</v>
      </c>
      <c r="J411" s="57">
        <v>0.19766479961601724</v>
      </c>
    </row>
    <row r="412" spans="1:10" ht="11.25" customHeight="1" x14ac:dyDescent="0.2">
      <c r="A412" s="66">
        <v>44562</v>
      </c>
      <c r="B412" s="56">
        <v>0</v>
      </c>
      <c r="C412" s="56">
        <v>0</v>
      </c>
      <c r="D412" s="56">
        <v>2832.0733399999995</v>
      </c>
      <c r="E412" s="56">
        <v>3449.9615422216671</v>
      </c>
      <c r="F412" s="56">
        <v>826.77341999999999</v>
      </c>
      <c r="G412" s="56">
        <v>932.1104294194464</v>
      </c>
      <c r="H412" s="57">
        <v>0.21817521230635495</v>
      </c>
      <c r="I412" s="57">
        <v>0.12740734870195314</v>
      </c>
      <c r="J412" s="57">
        <v>0.19766479961601724</v>
      </c>
    </row>
    <row r="413" spans="1:10" ht="11.25" customHeight="1" x14ac:dyDescent="0.2">
      <c r="A413" s="66">
        <v>44593</v>
      </c>
      <c r="B413" s="56">
        <v>0</v>
      </c>
      <c r="C413" s="56">
        <v>0</v>
      </c>
      <c r="D413" s="56">
        <v>3267.8988399999998</v>
      </c>
      <c r="E413" s="56">
        <v>3980.8733632126905</v>
      </c>
      <c r="F413" s="56">
        <v>954.00491999999997</v>
      </c>
      <c r="G413" s="56">
        <v>1075.552157505819</v>
      </c>
      <c r="H413" s="57">
        <v>0.21817521230635473</v>
      </c>
      <c r="I413" s="57">
        <v>0.12740734870195314</v>
      </c>
      <c r="J413" s="57">
        <v>0.19766479961601724</v>
      </c>
    </row>
    <row r="414" spans="1:10" ht="11.25" customHeight="1" x14ac:dyDescent="0.2">
      <c r="A414" s="66">
        <v>44621</v>
      </c>
      <c r="B414" s="56">
        <v>0</v>
      </c>
      <c r="C414" s="56">
        <v>0</v>
      </c>
      <c r="D414" s="56">
        <v>3069.0039299999999</v>
      </c>
      <c r="E414" s="56">
        <v>3738.5845139967873</v>
      </c>
      <c r="F414" s="56">
        <v>895.94109000000003</v>
      </c>
      <c r="G414" s="56">
        <v>1010.0905688700381</v>
      </c>
      <c r="H414" s="57">
        <v>0.21817521230635495</v>
      </c>
      <c r="I414" s="57">
        <v>0.12740734870195314</v>
      </c>
      <c r="J414" s="57">
        <v>0.19766479961601724</v>
      </c>
    </row>
    <row r="415" spans="1:10" ht="11.25" customHeight="1" x14ac:dyDescent="0.2">
      <c r="A415" s="61" t="s">
        <v>40</v>
      </c>
      <c r="B415" s="56">
        <v>0</v>
      </c>
      <c r="C415" s="56">
        <v>0</v>
      </c>
      <c r="D415" s="56">
        <v>383240.37998999999</v>
      </c>
      <c r="E415" s="56">
        <v>466853.93125868629</v>
      </c>
      <c r="F415" s="56">
        <v>111880.20987000001</v>
      </c>
      <c r="G415" s="56">
        <v>126134.5707817548</v>
      </c>
      <c r="H415" s="57">
        <v>0.21817521230635473</v>
      </c>
      <c r="I415" s="57">
        <v>0.12740734870195314</v>
      </c>
      <c r="J415" s="57">
        <v>0.19766479961601724</v>
      </c>
    </row>
    <row r="416" spans="1:10" ht="11.25" customHeight="1" x14ac:dyDescent="0.2">
      <c r="A416" s="62" t="s">
        <v>25</v>
      </c>
      <c r="B416" s="56">
        <v>0</v>
      </c>
      <c r="C416" s="56">
        <v>0</v>
      </c>
      <c r="D416" s="56">
        <v>383240.37998999999</v>
      </c>
      <c r="E416" s="56">
        <v>466853.93125868629</v>
      </c>
      <c r="F416" s="56">
        <v>111880.20987000001</v>
      </c>
      <c r="G416" s="56">
        <v>126134.5707817548</v>
      </c>
      <c r="H416" s="57">
        <v>0.21817521230635473</v>
      </c>
      <c r="I416" s="57">
        <v>0.12740734870195314</v>
      </c>
      <c r="J416" s="57">
        <v>0.19766479961601724</v>
      </c>
    </row>
    <row r="417" spans="1:10" ht="11.25" customHeight="1" x14ac:dyDescent="0.2">
      <c r="A417" s="63" t="s">
        <v>25</v>
      </c>
      <c r="B417" s="56">
        <v>0</v>
      </c>
      <c r="C417" s="56">
        <v>0</v>
      </c>
      <c r="D417" s="56">
        <v>383240.37998999999</v>
      </c>
      <c r="E417" s="56">
        <v>466853.93125868629</v>
      </c>
      <c r="F417" s="56">
        <v>111880.20987000001</v>
      </c>
      <c r="G417" s="56">
        <v>126134.5707817548</v>
      </c>
      <c r="H417" s="57">
        <v>0.21817521230635473</v>
      </c>
      <c r="I417" s="57">
        <v>0.12740734870195314</v>
      </c>
      <c r="J417" s="57">
        <v>0.19766479961601724</v>
      </c>
    </row>
    <row r="418" spans="1:10" ht="11.25" customHeight="1" x14ac:dyDescent="0.2">
      <c r="A418" s="64" t="s">
        <v>25</v>
      </c>
      <c r="B418" s="56">
        <v>0</v>
      </c>
      <c r="C418" s="56">
        <v>0</v>
      </c>
      <c r="D418" s="56">
        <v>383240.37998999999</v>
      </c>
      <c r="E418" s="56">
        <v>466853.93125868629</v>
      </c>
      <c r="F418" s="56">
        <v>111880.20987000001</v>
      </c>
      <c r="G418" s="56">
        <v>126134.5707817548</v>
      </c>
      <c r="H418" s="57">
        <v>0.21817521230635473</v>
      </c>
      <c r="I418" s="57">
        <v>0.12740734870195314</v>
      </c>
      <c r="J418" s="57">
        <v>0.19766479961601724</v>
      </c>
    </row>
    <row r="419" spans="1:10" ht="11.25" customHeight="1" x14ac:dyDescent="0.2">
      <c r="A419" s="65" t="s">
        <v>25</v>
      </c>
      <c r="B419" s="56">
        <v>0</v>
      </c>
      <c r="C419" s="56">
        <v>0</v>
      </c>
      <c r="D419" s="56">
        <v>383240.37998999999</v>
      </c>
      <c r="E419" s="56">
        <v>466853.93125868629</v>
      </c>
      <c r="F419" s="56">
        <v>111880.20987000001</v>
      </c>
      <c r="G419" s="56">
        <v>126134.5707817548</v>
      </c>
      <c r="H419" s="57">
        <v>0.21817521230635473</v>
      </c>
      <c r="I419" s="57">
        <v>0.12740734870195314</v>
      </c>
      <c r="J419" s="57">
        <v>0.19766479961601724</v>
      </c>
    </row>
    <row r="420" spans="1:10" ht="11.25" customHeight="1" x14ac:dyDescent="0.2">
      <c r="A420" s="66">
        <v>44287</v>
      </c>
      <c r="B420" s="56">
        <v>0</v>
      </c>
      <c r="C420" s="56">
        <v>0</v>
      </c>
      <c r="D420" s="56">
        <v>32917.503809999995</v>
      </c>
      <c r="E420" s="56">
        <v>40099.287192341995</v>
      </c>
      <c r="F420" s="56">
        <v>9609.6795299999994</v>
      </c>
      <c r="G420" s="56">
        <v>10834.023320792732</v>
      </c>
      <c r="H420" s="57">
        <v>0.21817521230635517</v>
      </c>
      <c r="I420" s="57">
        <v>0.12740734870195336</v>
      </c>
      <c r="J420" s="57">
        <v>0.19766479961601724</v>
      </c>
    </row>
    <row r="421" spans="1:10" ht="11.25" customHeight="1" x14ac:dyDescent="0.2">
      <c r="A421" s="66">
        <v>44317</v>
      </c>
      <c r="B421" s="56">
        <v>0</v>
      </c>
      <c r="C421" s="56">
        <v>0</v>
      </c>
      <c r="D421" s="56">
        <v>34179.020530000002</v>
      </c>
      <c r="E421" s="56">
        <v>41636.035590556014</v>
      </c>
      <c r="F421" s="56">
        <v>9977.9568900000013</v>
      </c>
      <c r="G421" s="56">
        <v>11249.221922817287</v>
      </c>
      <c r="H421" s="57">
        <v>0.21817521230635495</v>
      </c>
      <c r="I421" s="57">
        <v>0.12740734870195314</v>
      </c>
      <c r="J421" s="57">
        <v>0.19766479961601724</v>
      </c>
    </row>
    <row r="422" spans="1:10" ht="11.25" customHeight="1" x14ac:dyDescent="0.2">
      <c r="A422" s="66">
        <v>44348</v>
      </c>
      <c r="B422" s="56">
        <v>0</v>
      </c>
      <c r="C422" s="56">
        <v>0</v>
      </c>
      <c r="D422" s="56">
        <v>30376.24494</v>
      </c>
      <c r="E422" s="56">
        <v>37003.588628854341</v>
      </c>
      <c r="F422" s="56">
        <v>8867.8042200000018</v>
      </c>
      <c r="G422" s="56">
        <v>9997.6276444781925</v>
      </c>
      <c r="H422" s="57">
        <v>0.21817521230635495</v>
      </c>
      <c r="I422" s="57">
        <v>0.12740734870195292</v>
      </c>
      <c r="J422" s="57">
        <v>0.19766479961601724</v>
      </c>
    </row>
    <row r="423" spans="1:10" ht="11.25" customHeight="1" x14ac:dyDescent="0.2">
      <c r="A423" s="66">
        <v>44378</v>
      </c>
      <c r="B423" s="56">
        <v>0</v>
      </c>
      <c r="C423" s="56">
        <v>0</v>
      </c>
      <c r="D423" s="56">
        <v>29167.819689999997</v>
      </c>
      <c r="E423" s="56">
        <v>35531.514943379225</v>
      </c>
      <c r="F423" s="56">
        <v>8515.0259700000006</v>
      </c>
      <c r="G423" s="56">
        <v>9599.9028529659772</v>
      </c>
      <c r="H423" s="57">
        <v>0.21817521230635495</v>
      </c>
      <c r="I423" s="57">
        <v>0.12740734870195314</v>
      </c>
      <c r="J423" s="57">
        <v>0.19766479961601724</v>
      </c>
    </row>
    <row r="424" spans="1:10" ht="11.25" customHeight="1" x14ac:dyDescent="0.2">
      <c r="A424" s="66">
        <v>44409</v>
      </c>
      <c r="B424" s="56">
        <v>0</v>
      </c>
      <c r="C424" s="56">
        <v>0</v>
      </c>
      <c r="D424" s="56">
        <v>25405.457009999998</v>
      </c>
      <c r="E424" s="56">
        <v>30948.297986896723</v>
      </c>
      <c r="F424" s="56">
        <v>7416.6711300000006</v>
      </c>
      <c r="G424" s="56">
        <v>8361.609534867619</v>
      </c>
      <c r="H424" s="57">
        <v>0.21817521230635495</v>
      </c>
      <c r="I424" s="57">
        <v>0.12740734870195314</v>
      </c>
      <c r="J424" s="57">
        <v>0.19766479961601724</v>
      </c>
    </row>
    <row r="425" spans="1:10" ht="11.25" customHeight="1" x14ac:dyDescent="0.2">
      <c r="A425" s="66">
        <v>44440</v>
      </c>
      <c r="B425" s="56">
        <v>0</v>
      </c>
      <c r="C425" s="56">
        <v>0</v>
      </c>
      <c r="D425" s="56">
        <v>30422.99713</v>
      </c>
      <c r="E425" s="56">
        <v>37060.540987833374</v>
      </c>
      <c r="F425" s="56">
        <v>8881.4526900000001</v>
      </c>
      <c r="G425" s="56">
        <v>10013.015029854731</v>
      </c>
      <c r="H425" s="57">
        <v>0.21817521230635495</v>
      </c>
      <c r="I425" s="57">
        <v>0.12740734870195314</v>
      </c>
      <c r="J425" s="57">
        <v>0.19766479961601724</v>
      </c>
    </row>
    <row r="426" spans="1:10" ht="11.25" customHeight="1" x14ac:dyDescent="0.2">
      <c r="A426" s="66">
        <v>44470</v>
      </c>
      <c r="B426" s="56">
        <v>0</v>
      </c>
      <c r="C426" s="56">
        <v>0</v>
      </c>
      <c r="D426" s="56">
        <v>27901.548509999997</v>
      </c>
      <c r="E426" s="56">
        <v>33988.97477984531</v>
      </c>
      <c r="F426" s="56">
        <v>8145.3606300000001</v>
      </c>
      <c r="G426" s="56">
        <v>9183.1394320895706</v>
      </c>
      <c r="H426" s="57">
        <v>0.21817521230635495</v>
      </c>
      <c r="I426" s="57">
        <v>0.12740734870195314</v>
      </c>
      <c r="J426" s="57">
        <v>0.19766479961601746</v>
      </c>
    </row>
    <row r="427" spans="1:10" ht="11.25" customHeight="1" x14ac:dyDescent="0.2">
      <c r="A427" s="66">
        <v>44501</v>
      </c>
      <c r="B427" s="56">
        <v>0</v>
      </c>
      <c r="C427" s="56">
        <v>0</v>
      </c>
      <c r="D427" s="56">
        <v>30522.04838</v>
      </c>
      <c r="E427" s="56">
        <v>37181.202765331334</v>
      </c>
      <c r="F427" s="56">
        <v>8910.3689400000003</v>
      </c>
      <c r="G427" s="56">
        <v>10045.615422601633</v>
      </c>
      <c r="H427" s="57">
        <v>0.21817521230635495</v>
      </c>
      <c r="I427" s="57">
        <v>0.12740734870195314</v>
      </c>
      <c r="J427" s="57">
        <v>0.19766479961601724</v>
      </c>
    </row>
    <row r="428" spans="1:10" ht="11.25" customHeight="1" x14ac:dyDescent="0.2">
      <c r="A428" s="66">
        <v>44531</v>
      </c>
      <c r="B428" s="56">
        <v>0</v>
      </c>
      <c r="C428" s="56">
        <v>0</v>
      </c>
      <c r="D428" s="56">
        <v>32457.906009999999</v>
      </c>
      <c r="E428" s="56">
        <v>39539.416544751461</v>
      </c>
      <c r="F428" s="56">
        <v>9475.5081300000002</v>
      </c>
      <c r="G428" s="56">
        <v>10682.757498447103</v>
      </c>
      <c r="H428" s="57">
        <v>0.21817521230635495</v>
      </c>
      <c r="I428" s="57">
        <v>0.12740734870195314</v>
      </c>
      <c r="J428" s="57">
        <v>0.19766479961601724</v>
      </c>
    </row>
    <row r="429" spans="1:10" ht="11.25" customHeight="1" x14ac:dyDescent="0.2">
      <c r="A429" s="66">
        <v>44562</v>
      </c>
      <c r="B429" s="56">
        <v>0</v>
      </c>
      <c r="C429" s="56">
        <v>0</v>
      </c>
      <c r="D429" s="56">
        <v>31015.719809999999</v>
      </c>
      <c r="E429" s="56">
        <v>37782.581064381164</v>
      </c>
      <c r="F429" s="56">
        <v>9054.4875300000003</v>
      </c>
      <c r="G429" s="56">
        <v>10208.095780052197</v>
      </c>
      <c r="H429" s="57">
        <v>0.21817521230635473</v>
      </c>
      <c r="I429" s="57">
        <v>0.12740734870195314</v>
      </c>
      <c r="J429" s="57">
        <v>0.19766479961601702</v>
      </c>
    </row>
    <row r="430" spans="1:10" ht="11.25" customHeight="1" x14ac:dyDescent="0.2">
      <c r="A430" s="66">
        <v>44593</v>
      </c>
      <c r="B430" s="56">
        <v>0</v>
      </c>
      <c r="C430" s="56">
        <v>0</v>
      </c>
      <c r="D430" s="56">
        <v>39087.208070000001</v>
      </c>
      <c r="E430" s="56">
        <v>47615.067989134914</v>
      </c>
      <c r="F430" s="56">
        <v>11410.814910000001</v>
      </c>
      <c r="G430" s="56">
        <v>12864.636584211818</v>
      </c>
      <c r="H430" s="57">
        <v>0.21817521230635473</v>
      </c>
      <c r="I430" s="57">
        <v>0.12740734870195314</v>
      </c>
      <c r="J430" s="57">
        <v>0.19766479961601724</v>
      </c>
    </row>
    <row r="431" spans="1:10" ht="11.25" customHeight="1" x14ac:dyDescent="0.2">
      <c r="A431" s="66">
        <v>44621</v>
      </c>
      <c r="B431" s="56">
        <v>0</v>
      </c>
      <c r="C431" s="56">
        <v>0</v>
      </c>
      <c r="D431" s="56">
        <v>39786.9061</v>
      </c>
      <c r="E431" s="56">
        <v>48467.422785380506</v>
      </c>
      <c r="F431" s="56">
        <v>11615.079300000001</v>
      </c>
      <c r="G431" s="56">
        <v>13094.925758575939</v>
      </c>
      <c r="H431" s="57">
        <v>0.21817521230635495</v>
      </c>
      <c r="I431" s="57">
        <v>0.12740734870195314</v>
      </c>
      <c r="J431" s="57">
        <v>0.19766479961601724</v>
      </c>
    </row>
    <row r="432" spans="1:10" ht="11.25" customHeight="1" x14ac:dyDescent="0.2">
      <c r="A432" s="61" t="s">
        <v>45</v>
      </c>
      <c r="B432" s="56">
        <v>0</v>
      </c>
      <c r="C432" s="56">
        <v>0</v>
      </c>
      <c r="D432" s="56">
        <v>418456.66521000001</v>
      </c>
      <c r="E432" s="56">
        <v>509753.53698320099</v>
      </c>
      <c r="F432" s="56">
        <v>122160.97773000001</v>
      </c>
      <c r="G432" s="56">
        <v>137725.18401741766</v>
      </c>
      <c r="H432" s="57">
        <v>0.21817521230635473</v>
      </c>
      <c r="I432" s="57">
        <v>0.12740734870195314</v>
      </c>
      <c r="J432" s="57">
        <v>0.19766479961601702</v>
      </c>
    </row>
    <row r="433" spans="1:10" ht="11.25" customHeight="1" x14ac:dyDescent="0.2">
      <c r="A433" s="62" t="s">
        <v>25</v>
      </c>
      <c r="B433" s="56">
        <v>0</v>
      </c>
      <c r="C433" s="56">
        <v>0</v>
      </c>
      <c r="D433" s="56">
        <v>418456.66521000001</v>
      </c>
      <c r="E433" s="56">
        <v>509753.53698320099</v>
      </c>
      <c r="F433" s="56">
        <v>122160.97773000001</v>
      </c>
      <c r="G433" s="56">
        <v>137725.18401741766</v>
      </c>
      <c r="H433" s="57">
        <v>0.21817521230635473</v>
      </c>
      <c r="I433" s="57">
        <v>0.12740734870195314</v>
      </c>
      <c r="J433" s="57">
        <v>0.19766479961601702</v>
      </c>
    </row>
    <row r="434" spans="1:10" ht="11.25" customHeight="1" x14ac:dyDescent="0.2">
      <c r="A434" s="63" t="s">
        <v>25</v>
      </c>
      <c r="B434" s="56">
        <v>0</v>
      </c>
      <c r="C434" s="56">
        <v>0</v>
      </c>
      <c r="D434" s="56">
        <v>418456.66521000001</v>
      </c>
      <c r="E434" s="56">
        <v>509753.53698320099</v>
      </c>
      <c r="F434" s="56">
        <v>122160.97773000001</v>
      </c>
      <c r="G434" s="56">
        <v>137725.18401741766</v>
      </c>
      <c r="H434" s="57">
        <v>0.21817521230635473</v>
      </c>
      <c r="I434" s="57">
        <v>0.12740734870195314</v>
      </c>
      <c r="J434" s="57">
        <v>0.19766479961601702</v>
      </c>
    </row>
    <row r="435" spans="1:10" ht="11.25" customHeight="1" x14ac:dyDescent="0.2">
      <c r="A435" s="64" t="s">
        <v>25</v>
      </c>
      <c r="B435" s="56">
        <v>0</v>
      </c>
      <c r="C435" s="56">
        <v>0</v>
      </c>
      <c r="D435" s="56">
        <v>418456.66521000001</v>
      </c>
      <c r="E435" s="56">
        <v>509753.53698320099</v>
      </c>
      <c r="F435" s="56">
        <v>122160.97773000001</v>
      </c>
      <c r="G435" s="56">
        <v>137725.18401741766</v>
      </c>
      <c r="H435" s="57">
        <v>0.21817521230635473</v>
      </c>
      <c r="I435" s="57">
        <v>0.12740734870195314</v>
      </c>
      <c r="J435" s="57">
        <v>0.19766479961601702</v>
      </c>
    </row>
    <row r="436" spans="1:10" ht="11.25" customHeight="1" x14ac:dyDescent="0.2">
      <c r="A436" s="65" t="s">
        <v>25</v>
      </c>
      <c r="B436" s="56">
        <v>0</v>
      </c>
      <c r="C436" s="56">
        <v>0</v>
      </c>
      <c r="D436" s="56">
        <v>418456.66521000001</v>
      </c>
      <c r="E436" s="56">
        <v>509753.53698320099</v>
      </c>
      <c r="F436" s="56">
        <v>122160.97773000001</v>
      </c>
      <c r="G436" s="56">
        <v>137725.18401741766</v>
      </c>
      <c r="H436" s="57">
        <v>0.21817521230635473</v>
      </c>
      <c r="I436" s="57">
        <v>0.12740734870195314</v>
      </c>
      <c r="J436" s="57">
        <v>0.19766479961601702</v>
      </c>
    </row>
    <row r="437" spans="1:10" ht="11.25" customHeight="1" x14ac:dyDescent="0.2">
      <c r="A437" s="66">
        <v>44287</v>
      </c>
      <c r="B437" s="56">
        <v>0</v>
      </c>
      <c r="C437" s="56">
        <v>0</v>
      </c>
      <c r="D437" s="56">
        <v>35087.122390000004</v>
      </c>
      <c r="E437" s="56">
        <v>42742.26276665731</v>
      </c>
      <c r="F437" s="56">
        <v>10243.061070000002</v>
      </c>
      <c r="G437" s="56">
        <v>11548.102323520894</v>
      </c>
      <c r="H437" s="57">
        <v>0.21817521230635473</v>
      </c>
      <c r="I437" s="57">
        <v>0.12740734870195314</v>
      </c>
      <c r="J437" s="57">
        <v>0.19766479961601702</v>
      </c>
    </row>
    <row r="438" spans="1:10" ht="11.25" customHeight="1" x14ac:dyDescent="0.2">
      <c r="A438" s="66">
        <v>44317</v>
      </c>
      <c r="B438" s="56">
        <v>0</v>
      </c>
      <c r="C438" s="56">
        <v>0</v>
      </c>
      <c r="D438" s="56">
        <v>29994.303319999995</v>
      </c>
      <c r="E438" s="56">
        <v>36538.316814822203</v>
      </c>
      <c r="F438" s="56">
        <v>8756.3031599999995</v>
      </c>
      <c r="G438" s="56">
        <v>9871.9205300461344</v>
      </c>
      <c r="H438" s="57">
        <v>0.21817521230635495</v>
      </c>
      <c r="I438" s="57">
        <v>0.12740734870195314</v>
      </c>
      <c r="J438" s="57">
        <v>0.19766479961601724</v>
      </c>
    </row>
    <row r="439" spans="1:10" ht="11.25" customHeight="1" x14ac:dyDescent="0.2">
      <c r="A439" s="66">
        <v>44348</v>
      </c>
      <c r="B439" s="56">
        <v>0</v>
      </c>
      <c r="C439" s="56">
        <v>0</v>
      </c>
      <c r="D439" s="56">
        <v>30540.273809999995</v>
      </c>
      <c r="E439" s="56">
        <v>37203.40453239096</v>
      </c>
      <c r="F439" s="56">
        <v>8915.6895299999996</v>
      </c>
      <c r="G439" s="56">
        <v>10051.613894867063</v>
      </c>
      <c r="H439" s="57">
        <v>0.21817521230635517</v>
      </c>
      <c r="I439" s="57">
        <v>0.12740734870195314</v>
      </c>
      <c r="J439" s="57">
        <v>0.19766479961601746</v>
      </c>
    </row>
    <row r="440" spans="1:10" ht="11.25" customHeight="1" x14ac:dyDescent="0.2">
      <c r="A440" s="66">
        <v>44378</v>
      </c>
      <c r="B440" s="56">
        <v>0</v>
      </c>
      <c r="C440" s="56">
        <v>0</v>
      </c>
      <c r="D440" s="56">
        <v>28057.653279999999</v>
      </c>
      <c r="E440" s="56">
        <v>34179.137741182094</v>
      </c>
      <c r="F440" s="56">
        <v>8190.9326400000009</v>
      </c>
      <c r="G440" s="56">
        <v>9234.5176510586916</v>
      </c>
      <c r="H440" s="57">
        <v>0.21817521230635495</v>
      </c>
      <c r="I440" s="57">
        <v>0.12740734870195336</v>
      </c>
      <c r="J440" s="57">
        <v>0.19766479961601724</v>
      </c>
    </row>
    <row r="441" spans="1:10" ht="11.25" customHeight="1" x14ac:dyDescent="0.2">
      <c r="A441" s="66">
        <v>44409</v>
      </c>
      <c r="B441" s="56">
        <v>0</v>
      </c>
      <c r="C441" s="56">
        <v>0</v>
      </c>
      <c r="D441" s="56">
        <v>29728.845970000002</v>
      </c>
      <c r="E441" s="56">
        <v>36214.943251127675</v>
      </c>
      <c r="F441" s="56">
        <v>8678.8076100000017</v>
      </c>
      <c r="G441" s="56">
        <v>9784.551477484436</v>
      </c>
      <c r="H441" s="57">
        <v>0.21817521230635495</v>
      </c>
      <c r="I441" s="57">
        <v>0.12740734870195314</v>
      </c>
      <c r="J441" s="57">
        <v>0.19766479961601724</v>
      </c>
    </row>
    <row r="442" spans="1:10" ht="11.25" customHeight="1" x14ac:dyDescent="0.2">
      <c r="A442" s="66">
        <v>44440</v>
      </c>
      <c r="B442" s="56">
        <v>0</v>
      </c>
      <c r="C442" s="56">
        <v>0</v>
      </c>
      <c r="D442" s="56">
        <v>33480.114909999997</v>
      </c>
      <c r="E442" s="56">
        <v>40784.646088530404</v>
      </c>
      <c r="F442" s="56">
        <v>9773.9238299999997</v>
      </c>
      <c r="G442" s="56">
        <v>11019.193551595139</v>
      </c>
      <c r="H442" s="57">
        <v>0.21817521230635495</v>
      </c>
      <c r="I442" s="57">
        <v>0.12740734870195314</v>
      </c>
      <c r="J442" s="57">
        <v>0.19766479961601724</v>
      </c>
    </row>
    <row r="443" spans="1:10" ht="11.25" customHeight="1" x14ac:dyDescent="0.2">
      <c r="A443" s="66">
        <v>44470</v>
      </c>
      <c r="B443" s="56">
        <v>0</v>
      </c>
      <c r="C443" s="56">
        <v>0</v>
      </c>
      <c r="D443" s="56">
        <v>33465.851529999993</v>
      </c>
      <c r="E443" s="56">
        <v>40767.2707925707</v>
      </c>
      <c r="F443" s="56">
        <v>9769.7598899999994</v>
      </c>
      <c r="G443" s="56">
        <v>11014.499095039586</v>
      </c>
      <c r="H443" s="57">
        <v>0.21817521230635517</v>
      </c>
      <c r="I443" s="57">
        <v>0.12740734870195336</v>
      </c>
      <c r="J443" s="57">
        <v>0.19766479961601746</v>
      </c>
    </row>
    <row r="444" spans="1:10" ht="11.25" customHeight="1" x14ac:dyDescent="0.2">
      <c r="A444" s="66">
        <v>44501</v>
      </c>
      <c r="B444" s="56">
        <v>0</v>
      </c>
      <c r="C444" s="56">
        <v>0</v>
      </c>
      <c r="D444" s="56">
        <v>32652.83887</v>
      </c>
      <c r="E444" s="56">
        <v>39776.87892286745</v>
      </c>
      <c r="F444" s="56">
        <v>9532.4153100000003</v>
      </c>
      <c r="G444" s="56">
        <v>10746.915071373009</v>
      </c>
      <c r="H444" s="57">
        <v>0.21817521230635495</v>
      </c>
      <c r="I444" s="57">
        <v>0.12740734870195336</v>
      </c>
      <c r="J444" s="57">
        <v>0.19766479961601746</v>
      </c>
    </row>
    <row r="445" spans="1:10" ht="11.25" customHeight="1" x14ac:dyDescent="0.2">
      <c r="A445" s="66">
        <v>44531</v>
      </c>
      <c r="B445" s="56">
        <v>0</v>
      </c>
      <c r="C445" s="56">
        <v>0</v>
      </c>
      <c r="D445" s="56">
        <v>38784.507449999997</v>
      </c>
      <c r="E445" s="56">
        <v>47246.325597101153</v>
      </c>
      <c r="F445" s="56">
        <v>11322.44685</v>
      </c>
      <c r="G445" s="56">
        <v>12765.009783977282</v>
      </c>
      <c r="H445" s="57">
        <v>0.21817521230635495</v>
      </c>
      <c r="I445" s="57">
        <v>0.12740734870195336</v>
      </c>
      <c r="J445" s="57">
        <v>0.19766479961601724</v>
      </c>
    </row>
    <row r="446" spans="1:10" ht="11.25" customHeight="1" x14ac:dyDescent="0.2">
      <c r="A446" s="66">
        <v>44562</v>
      </c>
      <c r="B446" s="56">
        <v>0</v>
      </c>
      <c r="C446" s="56">
        <v>0</v>
      </c>
      <c r="D446" s="56">
        <v>36503.95147</v>
      </c>
      <c r="E446" s="56">
        <v>44468.208831988122</v>
      </c>
      <c r="F446" s="56">
        <v>10656.679110000001</v>
      </c>
      <c r="G446" s="56">
        <v>12014.418341372591</v>
      </c>
      <c r="H446" s="57">
        <v>0.21817521230635473</v>
      </c>
      <c r="I446" s="57">
        <v>0.12740734870195314</v>
      </c>
      <c r="J446" s="57">
        <v>0.19766479961601724</v>
      </c>
    </row>
    <row r="447" spans="1:10" ht="11.25" customHeight="1" x14ac:dyDescent="0.2">
      <c r="A447" s="66">
        <v>44593</v>
      </c>
      <c r="B447" s="56">
        <v>0</v>
      </c>
      <c r="C447" s="56">
        <v>0</v>
      </c>
      <c r="D447" s="56">
        <v>42291.714110000001</v>
      </c>
      <c r="E447" s="56">
        <v>51518.717814748918</v>
      </c>
      <c r="F447" s="56">
        <v>12346.313430000002</v>
      </c>
      <c r="G447" s="56">
        <v>13919.324490359619</v>
      </c>
      <c r="H447" s="57">
        <v>0.21817521230635495</v>
      </c>
      <c r="I447" s="57">
        <v>0.12740734870195314</v>
      </c>
      <c r="J447" s="57">
        <v>0.19766479961601724</v>
      </c>
    </row>
    <row r="448" spans="1:10" ht="11.25" customHeight="1" x14ac:dyDescent="0.2">
      <c r="A448" s="66">
        <v>44621</v>
      </c>
      <c r="B448" s="56">
        <v>0</v>
      </c>
      <c r="C448" s="56">
        <v>0</v>
      </c>
      <c r="D448" s="56">
        <v>47869.488099999995</v>
      </c>
      <c r="E448" s="56">
        <v>58313.423829214022</v>
      </c>
      <c r="F448" s="56">
        <v>13974.6453</v>
      </c>
      <c r="G448" s="56">
        <v>15755.11780672321</v>
      </c>
      <c r="H448" s="57">
        <v>0.21817521230635495</v>
      </c>
      <c r="I448" s="57">
        <v>0.12740734870195314</v>
      </c>
      <c r="J448" s="57">
        <v>0.19766479961601724</v>
      </c>
    </row>
    <row r="449" spans="1:10" ht="11.25" customHeight="1" x14ac:dyDescent="0.2">
      <c r="A449" s="61" t="s">
        <v>49</v>
      </c>
      <c r="B449" s="56">
        <v>0</v>
      </c>
      <c r="C449" s="56">
        <v>0</v>
      </c>
      <c r="D449" s="56">
        <v>155364.76999739997</v>
      </c>
      <c r="E449" s="56">
        <v>189261.51167651074</v>
      </c>
      <c r="F449" s="56">
        <v>45355.980166200003</v>
      </c>
      <c r="G449" s="56">
        <v>51134.665346953923</v>
      </c>
      <c r="H449" s="57">
        <v>0.21817521230635517</v>
      </c>
      <c r="I449" s="57">
        <v>0.12740734870195336</v>
      </c>
      <c r="J449" s="57">
        <v>0.19766479961601746</v>
      </c>
    </row>
    <row r="450" spans="1:10" ht="11.25" customHeight="1" x14ac:dyDescent="0.2">
      <c r="A450" s="62" t="s">
        <v>50</v>
      </c>
      <c r="B450" s="56">
        <v>0</v>
      </c>
      <c r="C450" s="56">
        <v>0</v>
      </c>
      <c r="D450" s="56">
        <v>155364.76999739997</v>
      </c>
      <c r="E450" s="56">
        <v>189261.51167651074</v>
      </c>
      <c r="F450" s="56">
        <v>45355.980166200003</v>
      </c>
      <c r="G450" s="56">
        <v>51134.665346953923</v>
      </c>
      <c r="H450" s="57">
        <v>0.21817521230635517</v>
      </c>
      <c r="I450" s="57">
        <v>0.12740734870195336</v>
      </c>
      <c r="J450" s="57">
        <v>0.19766479961601746</v>
      </c>
    </row>
    <row r="451" spans="1:10" ht="11.25" customHeight="1" x14ac:dyDescent="0.2">
      <c r="A451" s="63" t="s">
        <v>25</v>
      </c>
      <c r="B451" s="56">
        <v>0</v>
      </c>
      <c r="C451" s="56">
        <v>0</v>
      </c>
      <c r="D451" s="56">
        <v>155364.76999739997</v>
      </c>
      <c r="E451" s="56">
        <v>189261.51167651074</v>
      </c>
      <c r="F451" s="56">
        <v>45355.980166200003</v>
      </c>
      <c r="G451" s="56">
        <v>51134.665346953923</v>
      </c>
      <c r="H451" s="57">
        <v>0.21817521230635517</v>
      </c>
      <c r="I451" s="57">
        <v>0.12740734870195336</v>
      </c>
      <c r="J451" s="57">
        <v>0.19766479961601746</v>
      </c>
    </row>
    <row r="452" spans="1:10" ht="11.25" customHeight="1" x14ac:dyDescent="0.2">
      <c r="A452" s="64" t="s">
        <v>25</v>
      </c>
      <c r="B452" s="56">
        <v>0</v>
      </c>
      <c r="C452" s="56">
        <v>0</v>
      </c>
      <c r="D452" s="56">
        <v>155364.76999739997</v>
      </c>
      <c r="E452" s="56">
        <v>189261.51167651074</v>
      </c>
      <c r="F452" s="56">
        <v>45355.980166200003</v>
      </c>
      <c r="G452" s="56">
        <v>51134.665346953923</v>
      </c>
      <c r="H452" s="57">
        <v>0.21817521230635517</v>
      </c>
      <c r="I452" s="57">
        <v>0.12740734870195336</v>
      </c>
      <c r="J452" s="57">
        <v>0.19766479961601746</v>
      </c>
    </row>
    <row r="453" spans="1:10" ht="11.25" customHeight="1" x14ac:dyDescent="0.2">
      <c r="A453" s="65" t="s">
        <v>25</v>
      </c>
      <c r="B453" s="56">
        <v>0</v>
      </c>
      <c r="C453" s="56">
        <v>0</v>
      </c>
      <c r="D453" s="56">
        <v>155364.76999739997</v>
      </c>
      <c r="E453" s="56">
        <v>189261.51167651074</v>
      </c>
      <c r="F453" s="56">
        <v>45355.980166200003</v>
      </c>
      <c r="G453" s="56">
        <v>51134.665346953923</v>
      </c>
      <c r="H453" s="57">
        <v>0.21817521230635517</v>
      </c>
      <c r="I453" s="57">
        <v>0.12740734870195336</v>
      </c>
      <c r="J453" s="57">
        <v>0.19766479961601746</v>
      </c>
    </row>
    <row r="454" spans="1:10" ht="11.25" customHeight="1" x14ac:dyDescent="0.2">
      <c r="A454" s="66">
        <v>44287</v>
      </c>
      <c r="B454" s="56">
        <v>0</v>
      </c>
      <c r="C454" s="56">
        <v>0</v>
      </c>
      <c r="D454" s="56">
        <v>13479.0842784</v>
      </c>
      <c r="E454" s="56">
        <v>16419.88635253517</v>
      </c>
      <c r="F454" s="56">
        <v>3934.9788192000001</v>
      </c>
      <c r="G454" s="56">
        <v>4436.3240377526145</v>
      </c>
      <c r="H454" s="57">
        <v>0.21817521230635495</v>
      </c>
      <c r="I454" s="57">
        <v>0.12740734870195314</v>
      </c>
      <c r="J454" s="57">
        <v>0.19766479961601746</v>
      </c>
    </row>
    <row r="455" spans="1:10" ht="11.25" customHeight="1" x14ac:dyDescent="0.2">
      <c r="A455" s="66">
        <v>44317</v>
      </c>
      <c r="B455" s="56">
        <v>0</v>
      </c>
      <c r="C455" s="56">
        <v>0</v>
      </c>
      <c r="D455" s="56">
        <v>13095.478597400001</v>
      </c>
      <c r="E455" s="56">
        <v>15952.587420641074</v>
      </c>
      <c r="F455" s="56">
        <v>3822.9919662000007</v>
      </c>
      <c r="G455" s="56">
        <v>4310.0692367224101</v>
      </c>
      <c r="H455" s="57">
        <v>0.21817521230635495</v>
      </c>
      <c r="I455" s="57">
        <v>0.12740734870195336</v>
      </c>
      <c r="J455" s="57">
        <v>0.19766479961601746</v>
      </c>
    </row>
    <row r="456" spans="1:10" ht="11.25" customHeight="1" x14ac:dyDescent="0.2">
      <c r="A456" s="66">
        <v>44348</v>
      </c>
      <c r="B456" s="56">
        <v>0</v>
      </c>
      <c r="C456" s="56">
        <v>0</v>
      </c>
      <c r="D456" s="56">
        <v>12764.013494399998</v>
      </c>
      <c r="E456" s="56">
        <v>15548.804848421898</v>
      </c>
      <c r="F456" s="56">
        <v>3726.2266272000002</v>
      </c>
      <c r="G456" s="56">
        <v>4200.9752824341731</v>
      </c>
      <c r="H456" s="57">
        <v>0.21817521230635495</v>
      </c>
      <c r="I456" s="57">
        <v>0.12740734870195314</v>
      </c>
      <c r="J456" s="57">
        <v>0.19766479961601724</v>
      </c>
    </row>
    <row r="457" spans="1:10" ht="11.25" customHeight="1" x14ac:dyDescent="0.2">
      <c r="A457" s="66">
        <v>44378</v>
      </c>
      <c r="B457" s="56">
        <v>0</v>
      </c>
      <c r="C457" s="56">
        <v>0</v>
      </c>
      <c r="D457" s="56">
        <v>12674.629646399999</v>
      </c>
      <c r="E457" s="56">
        <v>15439.919660407739</v>
      </c>
      <c r="F457" s="56">
        <v>3700.1326032000002</v>
      </c>
      <c r="G457" s="56">
        <v>4171.5566880193683</v>
      </c>
      <c r="H457" s="57">
        <v>0.21817521230635495</v>
      </c>
      <c r="I457" s="57">
        <v>0.12740734870195314</v>
      </c>
      <c r="J457" s="57">
        <v>0.19766479961601724</v>
      </c>
    </row>
    <row r="458" spans="1:10" ht="11.25" customHeight="1" x14ac:dyDescent="0.2">
      <c r="A458" s="66">
        <v>44409</v>
      </c>
      <c r="B458" s="56">
        <v>0</v>
      </c>
      <c r="C458" s="56">
        <v>0</v>
      </c>
      <c r="D458" s="56">
        <v>12250.801233799999</v>
      </c>
      <c r="E458" s="56">
        <v>14923.622393907268</v>
      </c>
      <c r="F458" s="56">
        <v>3576.4034394</v>
      </c>
      <c r="G458" s="56">
        <v>4032.0635195025006</v>
      </c>
      <c r="H458" s="57">
        <v>0.21817521230635495</v>
      </c>
      <c r="I458" s="57">
        <v>0.12740734870195314</v>
      </c>
      <c r="J458" s="57">
        <v>0.19766479961601724</v>
      </c>
    </row>
    <row r="459" spans="1:10" ht="11.25" customHeight="1" x14ac:dyDescent="0.2">
      <c r="A459" s="66">
        <v>44440</v>
      </c>
      <c r="B459" s="56">
        <v>0</v>
      </c>
      <c r="C459" s="56">
        <v>0</v>
      </c>
      <c r="D459" s="56">
        <v>13498.450778800001</v>
      </c>
      <c r="E459" s="56">
        <v>16443.478143271572</v>
      </c>
      <c r="F459" s="56">
        <v>3940.6325244000004</v>
      </c>
      <c r="G459" s="56">
        <v>4442.6980665424899</v>
      </c>
      <c r="H459" s="57">
        <v>0.21817521230635473</v>
      </c>
      <c r="I459" s="57">
        <v>0.12740734870195336</v>
      </c>
      <c r="J459" s="57">
        <v>0.19766479961601724</v>
      </c>
    </row>
    <row r="460" spans="1:10" ht="11.25" customHeight="1" x14ac:dyDescent="0.2">
      <c r="A460" s="66">
        <v>44470</v>
      </c>
      <c r="B460" s="56">
        <v>0</v>
      </c>
      <c r="C460" s="56">
        <v>0</v>
      </c>
      <c r="D460" s="56">
        <v>12364.76564</v>
      </c>
      <c r="E460" s="56">
        <v>15062.451008625321</v>
      </c>
      <c r="F460" s="56">
        <v>3609.6733199999999</v>
      </c>
      <c r="G460" s="56">
        <v>4069.5722273813772</v>
      </c>
      <c r="H460" s="57">
        <v>0.21817521230635495</v>
      </c>
      <c r="I460" s="57">
        <v>0.12740734870195336</v>
      </c>
      <c r="J460" s="57">
        <v>0.19766479961601724</v>
      </c>
    </row>
    <row r="461" spans="1:10" ht="11.25" customHeight="1" x14ac:dyDescent="0.2">
      <c r="A461" s="66">
        <v>44501</v>
      </c>
      <c r="B461" s="56">
        <v>0</v>
      </c>
      <c r="C461" s="56">
        <v>0</v>
      </c>
      <c r="D461" s="56">
        <v>12612.060952799999</v>
      </c>
      <c r="E461" s="56">
        <v>15363.700028797828</v>
      </c>
      <c r="F461" s="56">
        <v>3681.8667863999999</v>
      </c>
      <c r="G461" s="56">
        <v>4150.9636719290047</v>
      </c>
      <c r="H461" s="57">
        <v>0.21817521230635495</v>
      </c>
      <c r="I461" s="57">
        <v>0.12740734870195314</v>
      </c>
      <c r="J461" s="57">
        <v>0.19766479961601724</v>
      </c>
    </row>
    <row r="462" spans="1:10" ht="11.25" customHeight="1" x14ac:dyDescent="0.2">
      <c r="A462" s="66">
        <v>44531</v>
      </c>
      <c r="B462" s="56">
        <v>0</v>
      </c>
      <c r="C462" s="56">
        <v>0</v>
      </c>
      <c r="D462" s="56">
        <v>12611.316087399999</v>
      </c>
      <c r="E462" s="56">
        <v>15362.792652231043</v>
      </c>
      <c r="F462" s="56">
        <v>3681.6493362000001</v>
      </c>
      <c r="G462" s="56">
        <v>4150.7185169755476</v>
      </c>
      <c r="H462" s="57">
        <v>0.21817521230635495</v>
      </c>
      <c r="I462" s="57">
        <v>0.12740734870195314</v>
      </c>
      <c r="J462" s="57">
        <v>0.19766479961601724</v>
      </c>
    </row>
    <row r="463" spans="1:10" ht="11.25" customHeight="1" x14ac:dyDescent="0.2">
      <c r="A463" s="66">
        <v>44562</v>
      </c>
      <c r="B463" s="56">
        <v>0</v>
      </c>
      <c r="C463" s="56">
        <v>0</v>
      </c>
      <c r="D463" s="56">
        <v>12899.578997199998</v>
      </c>
      <c r="E463" s="56">
        <v>15713.947383576706</v>
      </c>
      <c r="F463" s="56">
        <v>3765.8025636000002</v>
      </c>
      <c r="G463" s="56">
        <v>4245.5934839632946</v>
      </c>
      <c r="H463" s="57">
        <v>0.21817521230635495</v>
      </c>
      <c r="I463" s="57">
        <v>0.12740734870195314</v>
      </c>
      <c r="J463" s="57">
        <v>0.19766479961601724</v>
      </c>
    </row>
    <row r="464" spans="1:10" ht="11.25" customHeight="1" x14ac:dyDescent="0.2">
      <c r="A464" s="66">
        <v>44593</v>
      </c>
      <c r="B464" s="56">
        <v>0</v>
      </c>
      <c r="C464" s="56">
        <v>0</v>
      </c>
      <c r="D464" s="56">
        <v>13842.578593599999</v>
      </c>
      <c r="E464" s="56">
        <v>16862.686117126083</v>
      </c>
      <c r="F464" s="56">
        <v>4041.0945167999998</v>
      </c>
      <c r="G464" s="56">
        <v>4555.959655039489</v>
      </c>
      <c r="H464" s="57">
        <v>0.21817521230635495</v>
      </c>
      <c r="I464" s="57">
        <v>0.12740734870195336</v>
      </c>
      <c r="J464" s="57">
        <v>0.19766479961601724</v>
      </c>
    </row>
    <row r="465" spans="1:10" ht="11.25" customHeight="1" x14ac:dyDescent="0.2">
      <c r="A465" s="66">
        <v>44621</v>
      </c>
      <c r="B465" s="56">
        <v>0</v>
      </c>
      <c r="C465" s="56">
        <v>0</v>
      </c>
      <c r="D465" s="56">
        <v>13272.011697199998</v>
      </c>
      <c r="E465" s="56">
        <v>16167.635666969034</v>
      </c>
      <c r="F465" s="56">
        <v>3874.5276635999999</v>
      </c>
      <c r="G465" s="56">
        <v>4368.1709606916493</v>
      </c>
      <c r="H465" s="57">
        <v>0.21817521230635495</v>
      </c>
      <c r="I465" s="57">
        <v>0.12740734870195336</v>
      </c>
      <c r="J465" s="57">
        <v>0.19766479961601746</v>
      </c>
    </row>
    <row r="466" spans="1:10" ht="11.25" customHeight="1" x14ac:dyDescent="0.2">
      <c r="A466" s="59" t="s">
        <v>46</v>
      </c>
      <c r="B466" s="56">
        <v>0</v>
      </c>
      <c r="C466" s="56">
        <v>0</v>
      </c>
      <c r="D466" s="56">
        <v>1458796.2294399999</v>
      </c>
      <c r="E466" s="56">
        <v>1777051.058042882</v>
      </c>
      <c r="F466" s="56">
        <v>425860.18464000011</v>
      </c>
      <c r="G466" s="56">
        <v>480123.56211540749</v>
      </c>
      <c r="H466" s="57">
        <v>0.21816263449286066</v>
      </c>
      <c r="I466" s="57">
        <v>0.12742064046508306</v>
      </c>
      <c r="J466" s="57">
        <v>0.19765841842325149</v>
      </c>
    </row>
    <row r="467" spans="1:10" ht="11.25" customHeight="1" x14ac:dyDescent="0.2">
      <c r="A467" s="60" t="s">
        <v>23</v>
      </c>
      <c r="B467" s="56">
        <v>0</v>
      </c>
      <c r="C467" s="56">
        <v>0</v>
      </c>
      <c r="D467" s="56">
        <v>1458796.2294399999</v>
      </c>
      <c r="E467" s="56">
        <v>1777051.058042882</v>
      </c>
      <c r="F467" s="56">
        <v>425860.18464000011</v>
      </c>
      <c r="G467" s="56">
        <v>480123.56211540749</v>
      </c>
      <c r="H467" s="57">
        <v>0.21816263449286066</v>
      </c>
      <c r="I467" s="57">
        <v>0.12742064046508306</v>
      </c>
      <c r="J467" s="57">
        <v>0.19765841842325149</v>
      </c>
    </row>
    <row r="468" spans="1:10" ht="11.25" customHeight="1" x14ac:dyDescent="0.2">
      <c r="A468" s="61" t="s">
        <v>47</v>
      </c>
      <c r="B468" s="56">
        <v>0</v>
      </c>
      <c r="C468" s="56">
        <v>0</v>
      </c>
      <c r="D468" s="56">
        <v>1458796.2294399999</v>
      </c>
      <c r="E468" s="56">
        <v>1777051.058042882</v>
      </c>
      <c r="F468" s="56">
        <v>425860.18464000011</v>
      </c>
      <c r="G468" s="56">
        <v>480123.56211540749</v>
      </c>
      <c r="H468" s="57">
        <v>0.21816263449286066</v>
      </c>
      <c r="I468" s="57">
        <v>0.12742064046508306</v>
      </c>
      <c r="J468" s="57">
        <v>0.19765841842325149</v>
      </c>
    </row>
    <row r="469" spans="1:10" ht="11.25" customHeight="1" x14ac:dyDescent="0.2">
      <c r="A469" s="62" t="s">
        <v>48</v>
      </c>
      <c r="B469" s="56">
        <v>0</v>
      </c>
      <c r="C469" s="56">
        <v>0</v>
      </c>
      <c r="D469" s="56">
        <v>1458796.2294399999</v>
      </c>
      <c r="E469" s="56">
        <v>1777051.058042882</v>
      </c>
      <c r="F469" s="56">
        <v>425860.18464000011</v>
      </c>
      <c r="G469" s="56">
        <v>480123.56211540749</v>
      </c>
      <c r="H469" s="57">
        <v>0.21816263449286066</v>
      </c>
      <c r="I469" s="57">
        <v>0.12742064046508306</v>
      </c>
      <c r="J469" s="57">
        <v>0.19765841842325149</v>
      </c>
    </row>
    <row r="470" spans="1:10" ht="11.25" customHeight="1" x14ac:dyDescent="0.2">
      <c r="A470" s="63" t="s">
        <v>25</v>
      </c>
      <c r="B470" s="56">
        <v>0</v>
      </c>
      <c r="C470" s="56">
        <v>0</v>
      </c>
      <c r="D470" s="56">
        <v>1458796.2294399999</v>
      </c>
      <c r="E470" s="56">
        <v>1777051.058042882</v>
      </c>
      <c r="F470" s="56">
        <v>425860.18464000011</v>
      </c>
      <c r="G470" s="56">
        <v>480123.56211540749</v>
      </c>
      <c r="H470" s="57">
        <v>0.21816263449286066</v>
      </c>
      <c r="I470" s="57">
        <v>0.12742064046508306</v>
      </c>
      <c r="J470" s="57">
        <v>0.19765841842325149</v>
      </c>
    </row>
    <row r="471" spans="1:10" ht="11.25" customHeight="1" x14ac:dyDescent="0.2">
      <c r="A471" s="64" t="s">
        <v>25</v>
      </c>
      <c r="B471" s="56">
        <v>0</v>
      </c>
      <c r="C471" s="56">
        <v>0</v>
      </c>
      <c r="D471" s="56">
        <v>1458796.2294399999</v>
      </c>
      <c r="E471" s="56">
        <v>1777051.058042882</v>
      </c>
      <c r="F471" s="56">
        <v>425860.18464000011</v>
      </c>
      <c r="G471" s="56">
        <v>480123.56211540749</v>
      </c>
      <c r="H471" s="57">
        <v>0.21816263449286066</v>
      </c>
      <c r="I471" s="57">
        <v>0.12742064046508306</v>
      </c>
      <c r="J471" s="57">
        <v>0.19765841842325149</v>
      </c>
    </row>
    <row r="472" spans="1:10" ht="11.25" customHeight="1" x14ac:dyDescent="0.2">
      <c r="A472" s="65" t="s">
        <v>25</v>
      </c>
      <c r="B472" s="56">
        <v>0</v>
      </c>
      <c r="C472" s="56">
        <v>0</v>
      </c>
      <c r="D472" s="56">
        <v>1458796.2294399999</v>
      </c>
      <c r="E472" s="56">
        <v>1777051.058042882</v>
      </c>
      <c r="F472" s="56">
        <v>425860.18464000011</v>
      </c>
      <c r="G472" s="56">
        <v>480123.56211540749</v>
      </c>
      <c r="H472" s="57">
        <v>0.21816263449286066</v>
      </c>
      <c r="I472" s="57">
        <v>0.12742064046508306</v>
      </c>
      <c r="J472" s="57">
        <v>0.19765841842325149</v>
      </c>
    </row>
    <row r="473" spans="1:10" ht="11.25" customHeight="1" x14ac:dyDescent="0.2">
      <c r="A473" s="66">
        <v>44287</v>
      </c>
      <c r="B473" s="56">
        <v>0</v>
      </c>
      <c r="C473" s="56">
        <v>0</v>
      </c>
      <c r="D473" s="56">
        <v>119671.94472</v>
      </c>
      <c r="E473" s="56">
        <v>145779.89145499919</v>
      </c>
      <c r="F473" s="56">
        <v>34935.322319999999</v>
      </c>
      <c r="G473" s="56">
        <v>39386.803464868528</v>
      </c>
      <c r="H473" s="57">
        <v>0.21816263449286066</v>
      </c>
      <c r="I473" s="57">
        <v>0.1274206404650835</v>
      </c>
      <c r="J473" s="57">
        <v>0.19765841842325171</v>
      </c>
    </row>
    <row r="474" spans="1:10" ht="11.25" customHeight="1" x14ac:dyDescent="0.2">
      <c r="A474" s="66">
        <v>44317</v>
      </c>
      <c r="B474" s="56">
        <v>0</v>
      </c>
      <c r="C474" s="56">
        <v>0</v>
      </c>
      <c r="D474" s="56">
        <v>123661.53254</v>
      </c>
      <c r="E474" s="56">
        <v>150639.858264351</v>
      </c>
      <c r="F474" s="56">
        <v>36099.985740000004</v>
      </c>
      <c r="G474" s="56">
        <v>40699.869043771178</v>
      </c>
      <c r="H474" s="57">
        <v>0.21816263449286044</v>
      </c>
      <c r="I474" s="57">
        <v>0.12742064046508328</v>
      </c>
      <c r="J474" s="57">
        <v>0.19765841842325127</v>
      </c>
    </row>
    <row r="475" spans="1:10" ht="11.25" customHeight="1" x14ac:dyDescent="0.2">
      <c r="A475" s="66">
        <v>44348</v>
      </c>
      <c r="B475" s="56">
        <v>0</v>
      </c>
      <c r="C475" s="56">
        <v>0</v>
      </c>
      <c r="D475" s="56">
        <v>119671.94472</v>
      </c>
      <c r="E475" s="56">
        <v>145779.89145499919</v>
      </c>
      <c r="F475" s="56">
        <v>34935.322319999999</v>
      </c>
      <c r="G475" s="56">
        <v>39386.803464868528</v>
      </c>
      <c r="H475" s="57">
        <v>0.21816263449286066</v>
      </c>
      <c r="I475" s="57">
        <v>0.1274206404650835</v>
      </c>
      <c r="J475" s="57">
        <v>0.19765841842325171</v>
      </c>
    </row>
    <row r="476" spans="1:10" ht="11.25" customHeight="1" x14ac:dyDescent="0.2">
      <c r="A476" s="66">
        <v>44378</v>
      </c>
      <c r="B476" s="56">
        <v>0</v>
      </c>
      <c r="C476" s="56">
        <v>0</v>
      </c>
      <c r="D476" s="56">
        <v>123661.53254</v>
      </c>
      <c r="E476" s="56">
        <v>150639.858264351</v>
      </c>
      <c r="F476" s="56">
        <v>36099.985740000004</v>
      </c>
      <c r="G476" s="56">
        <v>40699.869043771178</v>
      </c>
      <c r="H476" s="57">
        <v>0.21816263449286044</v>
      </c>
      <c r="I476" s="57">
        <v>0.12742064046508328</v>
      </c>
      <c r="J476" s="57">
        <v>0.19765841842325127</v>
      </c>
    </row>
    <row r="477" spans="1:10" ht="11.25" customHeight="1" x14ac:dyDescent="0.2">
      <c r="A477" s="66">
        <v>44409</v>
      </c>
      <c r="B477" s="56">
        <v>0</v>
      </c>
      <c r="C477" s="56">
        <v>0</v>
      </c>
      <c r="D477" s="56">
        <v>123661.53254</v>
      </c>
      <c r="E477" s="56">
        <v>150639.858264351</v>
      </c>
      <c r="F477" s="56">
        <v>36099.985740000004</v>
      </c>
      <c r="G477" s="56">
        <v>40699.869043771178</v>
      </c>
      <c r="H477" s="57">
        <v>0.21816263449286044</v>
      </c>
      <c r="I477" s="57">
        <v>0.12742064046508328</v>
      </c>
      <c r="J477" s="57">
        <v>0.19765841842325127</v>
      </c>
    </row>
    <row r="478" spans="1:10" ht="11.25" customHeight="1" x14ac:dyDescent="0.2">
      <c r="A478" s="66">
        <v>44440</v>
      </c>
      <c r="B478" s="56">
        <v>0</v>
      </c>
      <c r="C478" s="56">
        <v>0</v>
      </c>
      <c r="D478" s="56">
        <v>119671.94472</v>
      </c>
      <c r="E478" s="56">
        <v>145779.89145499919</v>
      </c>
      <c r="F478" s="56">
        <v>34935.322319999999</v>
      </c>
      <c r="G478" s="56">
        <v>39386.803464868528</v>
      </c>
      <c r="H478" s="57">
        <v>0.21816263449286066</v>
      </c>
      <c r="I478" s="57">
        <v>0.1274206404650835</v>
      </c>
      <c r="J478" s="57">
        <v>0.19765841842325171</v>
      </c>
    </row>
    <row r="479" spans="1:10" ht="11.25" customHeight="1" x14ac:dyDescent="0.2">
      <c r="A479" s="66">
        <v>44470</v>
      </c>
      <c r="B479" s="56">
        <v>0</v>
      </c>
      <c r="C479" s="56">
        <v>0</v>
      </c>
      <c r="D479" s="56">
        <v>126444.74292</v>
      </c>
      <c r="E479" s="56">
        <v>154030.26115319968</v>
      </c>
      <c r="F479" s="56">
        <v>36912.476520000004</v>
      </c>
      <c r="G479" s="56">
        <v>41615.887919330751</v>
      </c>
      <c r="H479" s="57">
        <v>0.21816263449286044</v>
      </c>
      <c r="I479" s="57">
        <v>0.12742064046508328</v>
      </c>
      <c r="J479" s="57">
        <v>0.19765841842325149</v>
      </c>
    </row>
    <row r="480" spans="1:10" ht="11.25" customHeight="1" x14ac:dyDescent="0.2">
      <c r="A480" s="66">
        <v>44501</v>
      </c>
      <c r="B480" s="56">
        <v>0</v>
      </c>
      <c r="C480" s="56">
        <v>0</v>
      </c>
      <c r="D480" s="56">
        <v>119671.94472</v>
      </c>
      <c r="E480" s="56">
        <v>145779.89145499919</v>
      </c>
      <c r="F480" s="56">
        <v>34935.322319999999</v>
      </c>
      <c r="G480" s="56">
        <v>39386.803464868528</v>
      </c>
      <c r="H480" s="57">
        <v>0.21816263449286066</v>
      </c>
      <c r="I480" s="57">
        <v>0.1274206404650835</v>
      </c>
      <c r="J480" s="57">
        <v>0.19765841842325171</v>
      </c>
    </row>
    <row r="481" spans="1:10" ht="11.25" customHeight="1" x14ac:dyDescent="0.2">
      <c r="A481" s="66">
        <v>44531</v>
      </c>
      <c r="B481" s="56">
        <v>0</v>
      </c>
      <c r="C481" s="56">
        <v>0</v>
      </c>
      <c r="D481" s="56">
        <v>123661.53254</v>
      </c>
      <c r="E481" s="56">
        <v>150639.858264351</v>
      </c>
      <c r="F481" s="56">
        <v>36099.985740000004</v>
      </c>
      <c r="G481" s="56">
        <v>40699.869043771178</v>
      </c>
      <c r="H481" s="57">
        <v>0.21816263449286044</v>
      </c>
      <c r="I481" s="57">
        <v>0.12742064046508328</v>
      </c>
      <c r="J481" s="57">
        <v>0.19765841842325127</v>
      </c>
    </row>
    <row r="482" spans="1:10" ht="11.25" customHeight="1" x14ac:dyDescent="0.2">
      <c r="A482" s="66">
        <v>44562</v>
      </c>
      <c r="B482" s="56">
        <v>0</v>
      </c>
      <c r="C482" s="56">
        <v>0</v>
      </c>
      <c r="D482" s="56">
        <v>123661.53254</v>
      </c>
      <c r="E482" s="56">
        <v>150639.858264351</v>
      </c>
      <c r="F482" s="56">
        <v>36099.985740000004</v>
      </c>
      <c r="G482" s="56">
        <v>40699.869043771178</v>
      </c>
      <c r="H482" s="57">
        <v>0.21816263449286044</v>
      </c>
      <c r="I482" s="57">
        <v>0.12742064046508328</v>
      </c>
      <c r="J482" s="57">
        <v>0.19765841842325127</v>
      </c>
    </row>
    <row r="483" spans="1:10" ht="11.25" customHeight="1" x14ac:dyDescent="0.2">
      <c r="A483" s="66">
        <v>44593</v>
      </c>
      <c r="B483" s="56">
        <v>0</v>
      </c>
      <c r="C483" s="56">
        <v>0</v>
      </c>
      <c r="D483" s="56">
        <v>111694.51239999998</v>
      </c>
      <c r="E483" s="56">
        <v>136062.08148357947</v>
      </c>
      <c r="F483" s="56">
        <v>32606.504399999998</v>
      </c>
      <c r="G483" s="56">
        <v>36761.246073975555</v>
      </c>
      <c r="H483" s="57">
        <v>0.21816263449286066</v>
      </c>
      <c r="I483" s="57">
        <v>0.12742064046508328</v>
      </c>
      <c r="J483" s="57">
        <v>0.19765841842325149</v>
      </c>
    </row>
    <row r="484" spans="1:10" ht="11.25" customHeight="1" x14ac:dyDescent="0.2">
      <c r="A484" s="66">
        <v>44621</v>
      </c>
      <c r="B484" s="56">
        <v>0</v>
      </c>
      <c r="C484" s="56">
        <v>0</v>
      </c>
      <c r="D484" s="56">
        <v>123661.53254</v>
      </c>
      <c r="E484" s="56">
        <v>150639.858264351</v>
      </c>
      <c r="F484" s="56">
        <v>36099.985740000004</v>
      </c>
      <c r="G484" s="56">
        <v>40699.869043771178</v>
      </c>
      <c r="H484" s="57">
        <v>0.21816263449286044</v>
      </c>
      <c r="I484" s="57">
        <v>0.12742064046508328</v>
      </c>
      <c r="J484" s="57">
        <v>0.19765841842325127</v>
      </c>
    </row>
  </sheetData>
  <pageMargins left="0.511811024" right="0.511811024" top="0.78740157499999996" bottom="0.78740157499999996" header="0.31496062000000002" footer="0.3149606200000000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96DE1-A91D-418B-A0C8-3AF70BC1E48B}">
  <dimension ref="A1:G148"/>
  <sheetViews>
    <sheetView showGridLines="0" workbookViewId="0"/>
  </sheetViews>
  <sheetFormatPr defaultRowHeight="11.25" customHeight="1" x14ac:dyDescent="0.2"/>
  <cols>
    <col min="1" max="1" width="34.7109375" style="16" bestFit="1" customWidth="1"/>
    <col min="2" max="2" width="20.42578125" style="56" bestFit="1" customWidth="1"/>
    <col min="3" max="3" width="21.85546875" style="56" bestFit="1" customWidth="1"/>
    <col min="4" max="4" width="20.28515625" style="56" bestFit="1" customWidth="1"/>
    <col min="5" max="5" width="21.7109375" style="56" bestFit="1" customWidth="1"/>
    <col min="6" max="6" width="14.85546875" style="56" bestFit="1" customWidth="1"/>
    <col min="7" max="7" width="14.7109375" style="56" bestFit="1" customWidth="1"/>
    <col min="8" max="16384" width="9.140625" style="16"/>
  </cols>
  <sheetData>
    <row r="1" spans="1:7" ht="11.25" customHeight="1" x14ac:dyDescent="0.2">
      <c r="A1" s="55" t="s">
        <v>626</v>
      </c>
      <c r="B1" s="56" t="s">
        <v>652</v>
      </c>
      <c r="C1" s="56" t="s">
        <v>653</v>
      </c>
      <c r="D1" s="56" t="s">
        <v>654</v>
      </c>
      <c r="E1" s="56" t="s">
        <v>655</v>
      </c>
      <c r="F1" s="56" t="s">
        <v>656</v>
      </c>
      <c r="G1" s="56" t="s">
        <v>657</v>
      </c>
    </row>
    <row r="2" spans="1:7" ht="11.25" customHeight="1" x14ac:dyDescent="0.2">
      <c r="A2" s="58" t="s">
        <v>644</v>
      </c>
      <c r="B2" s="56">
        <v>0</v>
      </c>
      <c r="C2" s="56">
        <v>12811.962776400002</v>
      </c>
      <c r="D2" s="56">
        <v>0</v>
      </c>
      <c r="E2" s="56">
        <v>15344.436831284984</v>
      </c>
      <c r="F2" s="56">
        <v>12811.962776400002</v>
      </c>
      <c r="G2" s="56">
        <v>15344.436831284984</v>
      </c>
    </row>
    <row r="3" spans="1:7" ht="11.25" customHeight="1" x14ac:dyDescent="0.2">
      <c r="A3" s="59" t="s">
        <v>39</v>
      </c>
      <c r="B3" s="56">
        <v>0</v>
      </c>
      <c r="C3" s="56">
        <v>12811.962776400002</v>
      </c>
      <c r="D3" s="56">
        <v>0</v>
      </c>
      <c r="E3" s="56">
        <v>15344.436831284984</v>
      </c>
      <c r="F3" s="56">
        <v>12811.962776400002</v>
      </c>
      <c r="G3" s="56">
        <v>15344.436831284984</v>
      </c>
    </row>
    <row r="4" spans="1:7" ht="11.25" customHeight="1" x14ac:dyDescent="0.2">
      <c r="A4" s="60" t="s">
        <v>23</v>
      </c>
      <c r="B4" s="56">
        <v>0</v>
      </c>
      <c r="C4" s="56">
        <v>12811.962776400002</v>
      </c>
      <c r="D4" s="56">
        <v>0</v>
      </c>
      <c r="E4" s="56">
        <v>15344.436831284984</v>
      </c>
      <c r="F4" s="56">
        <v>12811.962776400002</v>
      </c>
      <c r="G4" s="56">
        <v>15344.436831284984</v>
      </c>
    </row>
    <row r="5" spans="1:7" ht="11.25" customHeight="1" x14ac:dyDescent="0.2">
      <c r="A5" s="61" t="s">
        <v>49</v>
      </c>
      <c r="B5" s="56">
        <v>0</v>
      </c>
      <c r="C5" s="56">
        <v>12811.962776400002</v>
      </c>
      <c r="D5" s="56">
        <v>0</v>
      </c>
      <c r="E5" s="56">
        <v>15344.436831284984</v>
      </c>
      <c r="F5" s="56">
        <v>12811.962776400002</v>
      </c>
      <c r="G5" s="56">
        <v>15344.436831284984</v>
      </c>
    </row>
    <row r="6" spans="1:7" ht="11.25" customHeight="1" x14ac:dyDescent="0.2">
      <c r="A6" s="62" t="s">
        <v>50</v>
      </c>
      <c r="B6" s="56">
        <v>0</v>
      </c>
      <c r="C6" s="56">
        <v>12811.962776400002</v>
      </c>
      <c r="D6" s="56">
        <v>0</v>
      </c>
      <c r="E6" s="56">
        <v>15344.436831284984</v>
      </c>
      <c r="F6" s="56">
        <v>12811.962776400002</v>
      </c>
      <c r="G6" s="56">
        <v>15344.436831284984</v>
      </c>
    </row>
    <row r="7" spans="1:7" ht="11.25" customHeight="1" x14ac:dyDescent="0.2">
      <c r="A7" s="63" t="s">
        <v>25</v>
      </c>
      <c r="B7" s="56">
        <v>0</v>
      </c>
      <c r="C7" s="56">
        <v>12811.962776400002</v>
      </c>
      <c r="D7" s="56">
        <v>0</v>
      </c>
      <c r="E7" s="56">
        <v>15344.436831284984</v>
      </c>
      <c r="F7" s="56">
        <v>12811.962776400002</v>
      </c>
      <c r="G7" s="56">
        <v>15344.436831284984</v>
      </c>
    </row>
    <row r="8" spans="1:7" ht="11.25" customHeight="1" x14ac:dyDescent="0.2">
      <c r="A8" s="64" t="s">
        <v>25</v>
      </c>
      <c r="B8" s="56">
        <v>0</v>
      </c>
      <c r="C8" s="56">
        <v>12811.962776400002</v>
      </c>
      <c r="D8" s="56">
        <v>0</v>
      </c>
      <c r="E8" s="56">
        <v>15344.436831284984</v>
      </c>
      <c r="F8" s="56">
        <v>12811.962776400002</v>
      </c>
      <c r="G8" s="56">
        <v>15344.436831284984</v>
      </c>
    </row>
    <row r="9" spans="1:7" ht="11.25" customHeight="1" x14ac:dyDescent="0.2">
      <c r="A9" s="65" t="s">
        <v>25</v>
      </c>
      <c r="B9" s="56">
        <v>0</v>
      </c>
      <c r="C9" s="56">
        <v>12811.962776400002</v>
      </c>
      <c r="D9" s="56">
        <v>0</v>
      </c>
      <c r="E9" s="56">
        <v>15344.436831284984</v>
      </c>
      <c r="F9" s="56">
        <v>12811.962776400002</v>
      </c>
      <c r="G9" s="56">
        <v>15344.436831284984</v>
      </c>
    </row>
    <row r="10" spans="1:7" ht="11.25" customHeight="1" x14ac:dyDescent="0.2">
      <c r="A10" s="66">
        <v>44287</v>
      </c>
      <c r="B10" s="56">
        <v>0</v>
      </c>
      <c r="C10" s="56">
        <v>1111.5359424000005</v>
      </c>
      <c r="D10" s="56">
        <v>0</v>
      </c>
      <c r="E10" s="56">
        <v>1331.2474717204973</v>
      </c>
      <c r="F10" s="56">
        <v>1111.5359424000005</v>
      </c>
      <c r="G10" s="56">
        <v>1331.2474717204973</v>
      </c>
    </row>
    <row r="11" spans="1:7" ht="11.25" customHeight="1" x14ac:dyDescent="0.2">
      <c r="A11" s="66">
        <v>44317</v>
      </c>
      <c r="B11" s="56">
        <v>0</v>
      </c>
      <c r="C11" s="56">
        <v>1079.9023763999978</v>
      </c>
      <c r="D11" s="56">
        <v>0</v>
      </c>
      <c r="E11" s="56">
        <v>1293.3610632359644</v>
      </c>
      <c r="F11" s="56">
        <v>1079.9023763999978</v>
      </c>
      <c r="G11" s="56">
        <v>1293.3610632359644</v>
      </c>
    </row>
    <row r="12" spans="1:7" ht="11.25" customHeight="1" x14ac:dyDescent="0.2">
      <c r="A12" s="66">
        <v>44348</v>
      </c>
      <c r="B12" s="56">
        <v>0</v>
      </c>
      <c r="C12" s="56">
        <v>1052.5685183999997</v>
      </c>
      <c r="D12" s="56">
        <v>0</v>
      </c>
      <c r="E12" s="56">
        <v>1260.6242636716638</v>
      </c>
      <c r="F12" s="56">
        <v>1052.5685183999997</v>
      </c>
      <c r="G12" s="56">
        <v>1260.6242636716638</v>
      </c>
    </row>
    <row r="13" spans="1:7" ht="11.25" customHeight="1" x14ac:dyDescent="0.2">
      <c r="A13" s="66">
        <v>44378</v>
      </c>
      <c r="B13" s="56">
        <v>0</v>
      </c>
      <c r="C13" s="56">
        <v>1045.1975903999987</v>
      </c>
      <c r="D13" s="56">
        <v>0</v>
      </c>
      <c r="E13" s="56">
        <v>1251.7963626655587</v>
      </c>
      <c r="F13" s="56">
        <v>1045.1975903999987</v>
      </c>
      <c r="G13" s="56">
        <v>1251.7963626655587</v>
      </c>
    </row>
    <row r="14" spans="1:7" ht="11.25" customHeight="1" x14ac:dyDescent="0.2">
      <c r="A14" s="66">
        <v>44409</v>
      </c>
      <c r="B14" s="56">
        <v>0</v>
      </c>
      <c r="C14" s="56">
        <v>1010.2471067999998</v>
      </c>
      <c r="D14" s="56">
        <v>0</v>
      </c>
      <c r="E14" s="56">
        <v>1209.9373987282829</v>
      </c>
      <c r="F14" s="56">
        <v>1010.2471067999998</v>
      </c>
      <c r="G14" s="56">
        <v>1209.9373987282829</v>
      </c>
    </row>
    <row r="15" spans="1:7" ht="11.25" customHeight="1" x14ac:dyDescent="0.2">
      <c r="A15" s="66">
        <v>44440</v>
      </c>
      <c r="B15" s="56">
        <v>0</v>
      </c>
      <c r="C15" s="56">
        <v>1113.1329767999982</v>
      </c>
      <c r="D15" s="56">
        <v>0</v>
      </c>
      <c r="E15" s="56">
        <v>1333.1601836051505</v>
      </c>
      <c r="F15" s="56">
        <v>1113.1329767999982</v>
      </c>
      <c r="G15" s="56">
        <v>1333.1601836051505</v>
      </c>
    </row>
    <row r="16" spans="1:7" ht="11.25" customHeight="1" x14ac:dyDescent="0.2">
      <c r="A16" s="66">
        <v>44470</v>
      </c>
      <c r="B16" s="56">
        <v>0</v>
      </c>
      <c r="C16" s="56">
        <v>1019.6450400000023</v>
      </c>
      <c r="D16" s="56">
        <v>0</v>
      </c>
      <c r="E16" s="56">
        <v>1221.1929725110685</v>
      </c>
      <c r="F16" s="56">
        <v>1019.6450400000023</v>
      </c>
      <c r="G16" s="56">
        <v>1221.1929725110685</v>
      </c>
    </row>
    <row r="17" spans="1:7" ht="11.25" customHeight="1" x14ac:dyDescent="0.2">
      <c r="A17" s="66">
        <v>44501</v>
      </c>
      <c r="B17" s="56">
        <v>0</v>
      </c>
      <c r="C17" s="56">
        <v>1040.0379407999994</v>
      </c>
      <c r="D17" s="56">
        <v>0</v>
      </c>
      <c r="E17" s="56">
        <v>1245.6168319612866</v>
      </c>
      <c r="F17" s="56">
        <v>1040.0379407999994</v>
      </c>
      <c r="G17" s="56">
        <v>1245.6168319612866</v>
      </c>
    </row>
    <row r="18" spans="1:7" ht="11.25" customHeight="1" x14ac:dyDescent="0.2">
      <c r="A18" s="66">
        <v>44531</v>
      </c>
      <c r="B18" s="56">
        <v>0</v>
      </c>
      <c r="C18" s="56">
        <v>1039.9765164000019</v>
      </c>
      <c r="D18" s="56">
        <v>0</v>
      </c>
      <c r="E18" s="56">
        <v>1245.5432661195719</v>
      </c>
      <c r="F18" s="56">
        <v>1039.9765164000019</v>
      </c>
      <c r="G18" s="56">
        <v>1245.5432661195719</v>
      </c>
    </row>
    <row r="19" spans="1:7" ht="11.25" customHeight="1" x14ac:dyDescent="0.2">
      <c r="A19" s="66">
        <v>44562</v>
      </c>
      <c r="B19" s="56">
        <v>0</v>
      </c>
      <c r="C19" s="56">
        <v>1063.7477592000021</v>
      </c>
      <c r="D19" s="56">
        <v>0</v>
      </c>
      <c r="E19" s="56">
        <v>1274.0132468642578</v>
      </c>
      <c r="F19" s="56">
        <v>1063.7477592000021</v>
      </c>
      <c r="G19" s="56">
        <v>1274.0132468642578</v>
      </c>
    </row>
    <row r="20" spans="1:7" ht="11.25" customHeight="1" x14ac:dyDescent="0.2">
      <c r="A20" s="66">
        <v>44593</v>
      </c>
      <c r="B20" s="56">
        <v>0</v>
      </c>
      <c r="C20" s="56">
        <v>1141.5110496000004</v>
      </c>
      <c r="D20" s="56">
        <v>0</v>
      </c>
      <c r="E20" s="56">
        <v>1367.1476024786541</v>
      </c>
      <c r="F20" s="56">
        <v>1141.5110496000004</v>
      </c>
      <c r="G20" s="56">
        <v>1367.1476024786541</v>
      </c>
    </row>
    <row r="21" spans="1:7" ht="11.25" customHeight="1" x14ac:dyDescent="0.2">
      <c r="A21" s="66">
        <v>44621</v>
      </c>
      <c r="B21" s="56">
        <v>0</v>
      </c>
      <c r="C21" s="56">
        <v>1094.4599592000031</v>
      </c>
      <c r="D21" s="56">
        <v>0</v>
      </c>
      <c r="E21" s="56">
        <v>1310.7961677230264</v>
      </c>
      <c r="F21" s="56">
        <v>1094.4599592000031</v>
      </c>
      <c r="G21" s="56">
        <v>1310.7961677230264</v>
      </c>
    </row>
    <row r="22" spans="1:7" ht="11.25" customHeight="1" x14ac:dyDescent="0.2">
      <c r="A22" s="58" t="s">
        <v>641</v>
      </c>
      <c r="B22" s="56">
        <v>0</v>
      </c>
      <c r="C22" s="56">
        <v>340605.82589799998</v>
      </c>
      <c r="D22" s="56">
        <v>0</v>
      </c>
      <c r="E22" s="56">
        <v>400278.7253315124</v>
      </c>
      <c r="F22" s="56">
        <v>340605.82589800004</v>
      </c>
      <c r="G22" s="56">
        <v>400278.72533151234</v>
      </c>
    </row>
    <row r="23" spans="1:7" ht="11.25" customHeight="1" x14ac:dyDescent="0.2">
      <c r="A23" s="59" t="s">
        <v>22</v>
      </c>
      <c r="B23" s="56">
        <v>0</v>
      </c>
      <c r="C23" s="56">
        <v>340605.82589799998</v>
      </c>
      <c r="D23" s="56">
        <v>0</v>
      </c>
      <c r="E23" s="56">
        <v>400278.7253315124</v>
      </c>
      <c r="F23" s="56">
        <v>340605.82589800004</v>
      </c>
      <c r="G23" s="56">
        <v>400278.72533151234</v>
      </c>
    </row>
    <row r="24" spans="1:7" ht="11.25" customHeight="1" x14ac:dyDescent="0.2">
      <c r="A24" s="60" t="s">
        <v>23</v>
      </c>
      <c r="B24" s="56">
        <v>0</v>
      </c>
      <c r="C24" s="56">
        <v>340605.82589799998</v>
      </c>
      <c r="D24" s="56">
        <v>0</v>
      </c>
      <c r="E24" s="56">
        <v>400278.7253315124</v>
      </c>
      <c r="F24" s="56">
        <v>340605.82589800004</v>
      </c>
      <c r="G24" s="56">
        <v>400278.72533151234</v>
      </c>
    </row>
    <row r="25" spans="1:7" ht="11.25" customHeight="1" x14ac:dyDescent="0.2">
      <c r="A25" s="61" t="s">
        <v>24</v>
      </c>
      <c r="B25" s="56">
        <v>0</v>
      </c>
      <c r="C25" s="56">
        <v>340605.82589799998</v>
      </c>
      <c r="D25" s="56">
        <v>0</v>
      </c>
      <c r="E25" s="56">
        <v>400278.7253315124</v>
      </c>
      <c r="F25" s="56">
        <v>340605.82589800004</v>
      </c>
      <c r="G25" s="56">
        <v>400278.72533151234</v>
      </c>
    </row>
    <row r="26" spans="1:7" ht="11.25" customHeight="1" x14ac:dyDescent="0.2">
      <c r="A26" s="62" t="s">
        <v>29</v>
      </c>
      <c r="B26" s="56">
        <v>0</v>
      </c>
      <c r="C26" s="56">
        <v>136120.04821799998</v>
      </c>
      <c r="D26" s="56">
        <v>0</v>
      </c>
      <c r="E26" s="56">
        <v>159966.75834036994</v>
      </c>
      <c r="F26" s="56">
        <v>136120.04821799995</v>
      </c>
      <c r="G26" s="56">
        <v>159966.75834036991</v>
      </c>
    </row>
    <row r="27" spans="1:7" ht="11.25" customHeight="1" x14ac:dyDescent="0.2">
      <c r="A27" s="63" t="s">
        <v>25</v>
      </c>
      <c r="B27" s="56">
        <v>0</v>
      </c>
      <c r="C27" s="56">
        <v>136120.04821799998</v>
      </c>
      <c r="D27" s="56">
        <v>0</v>
      </c>
      <c r="E27" s="56">
        <v>159966.75834036994</v>
      </c>
      <c r="F27" s="56">
        <v>136120.04821799995</v>
      </c>
      <c r="G27" s="56">
        <v>159966.75834036991</v>
      </c>
    </row>
    <row r="28" spans="1:7" ht="11.25" customHeight="1" x14ac:dyDescent="0.2">
      <c r="A28" s="64" t="s">
        <v>25</v>
      </c>
      <c r="B28" s="56">
        <v>0</v>
      </c>
      <c r="C28" s="56">
        <v>136120.04821799998</v>
      </c>
      <c r="D28" s="56">
        <v>0</v>
      </c>
      <c r="E28" s="56">
        <v>159966.75834036994</v>
      </c>
      <c r="F28" s="56">
        <v>136120.04821799995</v>
      </c>
      <c r="G28" s="56">
        <v>159966.75834036991</v>
      </c>
    </row>
    <row r="29" spans="1:7" ht="11.25" customHeight="1" x14ac:dyDescent="0.2">
      <c r="A29" s="65" t="s">
        <v>25</v>
      </c>
      <c r="B29" s="56">
        <v>0</v>
      </c>
      <c r="C29" s="56">
        <v>136120.04821799998</v>
      </c>
      <c r="D29" s="56">
        <v>0</v>
      </c>
      <c r="E29" s="56">
        <v>159966.75834036994</v>
      </c>
      <c r="F29" s="56">
        <v>136120.04821799995</v>
      </c>
      <c r="G29" s="56">
        <v>159966.75834036991</v>
      </c>
    </row>
    <row r="30" spans="1:7" ht="11.25" customHeight="1" x14ac:dyDescent="0.2">
      <c r="A30" s="66">
        <v>44287</v>
      </c>
      <c r="B30" s="56">
        <v>0</v>
      </c>
      <c r="C30" s="56">
        <v>7608.6209999999992</v>
      </c>
      <c r="D30" s="56">
        <v>0</v>
      </c>
      <c r="E30" s="56">
        <v>8941.5664793156629</v>
      </c>
      <c r="F30" s="56">
        <v>7608.6209999999992</v>
      </c>
      <c r="G30" s="56">
        <v>8941.5664793156629</v>
      </c>
    </row>
    <row r="31" spans="1:7" ht="11.25" customHeight="1" x14ac:dyDescent="0.2">
      <c r="A31" s="66">
        <v>44317</v>
      </c>
      <c r="B31" s="56">
        <v>0</v>
      </c>
      <c r="C31" s="56">
        <v>9059.8279299999995</v>
      </c>
      <c r="D31" s="56">
        <v>0</v>
      </c>
      <c r="E31" s="56">
        <v>10647.00845498466</v>
      </c>
      <c r="F31" s="56">
        <v>9059.8279299999995</v>
      </c>
      <c r="G31" s="56">
        <v>10647.00845498466</v>
      </c>
    </row>
    <row r="32" spans="1:7" ht="11.25" customHeight="1" x14ac:dyDescent="0.2">
      <c r="A32" s="66">
        <v>44348</v>
      </c>
      <c r="B32" s="56">
        <v>0</v>
      </c>
      <c r="C32" s="56">
        <v>7598.0284299999985</v>
      </c>
      <c r="D32" s="56">
        <v>0</v>
      </c>
      <c r="E32" s="56">
        <v>8929.117997741434</v>
      </c>
      <c r="F32" s="56">
        <v>7598.0284299999985</v>
      </c>
      <c r="G32" s="56">
        <v>8929.117997741434</v>
      </c>
    </row>
    <row r="33" spans="1:7" ht="11.25" customHeight="1" x14ac:dyDescent="0.2">
      <c r="A33" s="66">
        <v>44378</v>
      </c>
      <c r="B33" s="56">
        <v>0</v>
      </c>
      <c r="C33" s="56">
        <v>8995.0608300000004</v>
      </c>
      <c r="D33" s="56">
        <v>0</v>
      </c>
      <c r="E33" s="56">
        <v>10570.894881930821</v>
      </c>
      <c r="F33" s="56">
        <v>8995.0608300000004</v>
      </c>
      <c r="G33" s="56">
        <v>10570.894881930821</v>
      </c>
    </row>
    <row r="34" spans="1:7" ht="11.25" customHeight="1" x14ac:dyDescent="0.2">
      <c r="A34" s="66">
        <v>44409</v>
      </c>
      <c r="B34" s="56">
        <v>0</v>
      </c>
      <c r="C34" s="56">
        <v>9303.7638299999999</v>
      </c>
      <c r="D34" s="56">
        <v>0</v>
      </c>
      <c r="E34" s="56">
        <v>10933.679202093985</v>
      </c>
      <c r="F34" s="56">
        <v>9303.7638299999999</v>
      </c>
      <c r="G34" s="56">
        <v>10933.679202093985</v>
      </c>
    </row>
    <row r="35" spans="1:7" ht="11.25" customHeight="1" x14ac:dyDescent="0.2">
      <c r="A35" s="66">
        <v>44440</v>
      </c>
      <c r="B35" s="56">
        <v>0</v>
      </c>
      <c r="C35" s="56">
        <v>9376.3998299999985</v>
      </c>
      <c r="D35" s="56">
        <v>0</v>
      </c>
      <c r="E35" s="56">
        <v>11019.040218602964</v>
      </c>
      <c r="F35" s="56">
        <v>9376.3998299999985</v>
      </c>
      <c r="G35" s="56">
        <v>11019.040218602964</v>
      </c>
    </row>
    <row r="36" spans="1:7" ht="11.25" customHeight="1" x14ac:dyDescent="0.2">
      <c r="A36" s="66">
        <v>44470</v>
      </c>
      <c r="B36" s="56">
        <v>0</v>
      </c>
      <c r="C36" s="56">
        <v>10356.98583</v>
      </c>
      <c r="D36" s="56">
        <v>0</v>
      </c>
      <c r="E36" s="56">
        <v>12171.413941474197</v>
      </c>
      <c r="F36" s="56">
        <v>10356.98583</v>
      </c>
      <c r="G36" s="56">
        <v>12171.413941474197</v>
      </c>
    </row>
    <row r="37" spans="1:7" ht="11.25" customHeight="1" x14ac:dyDescent="0.2">
      <c r="A37" s="66">
        <v>44501</v>
      </c>
      <c r="B37" s="56">
        <v>0</v>
      </c>
      <c r="C37" s="56">
        <v>10965.615159999999</v>
      </c>
      <c r="D37" s="56">
        <v>0</v>
      </c>
      <c r="E37" s="56">
        <v>12886.668125639026</v>
      </c>
      <c r="F37" s="56">
        <v>10965.615159999999</v>
      </c>
      <c r="G37" s="56">
        <v>12886.668125639026</v>
      </c>
    </row>
    <row r="38" spans="1:7" ht="11.25" customHeight="1" x14ac:dyDescent="0.2">
      <c r="A38" s="66">
        <v>44531</v>
      </c>
      <c r="B38" s="56">
        <v>0</v>
      </c>
      <c r="C38" s="56">
        <v>11416.56366</v>
      </c>
      <c r="D38" s="56">
        <v>0</v>
      </c>
      <c r="E38" s="56">
        <v>13416.617769798944</v>
      </c>
      <c r="F38" s="56">
        <v>11416.56366</v>
      </c>
      <c r="G38" s="56">
        <v>13416.617769798944</v>
      </c>
    </row>
    <row r="39" spans="1:7" ht="11.25" customHeight="1" x14ac:dyDescent="0.2">
      <c r="A39" s="66">
        <v>44562</v>
      </c>
      <c r="B39" s="56">
        <v>0</v>
      </c>
      <c r="C39" s="56">
        <v>11888.697659999998</v>
      </c>
      <c r="D39" s="56">
        <v>0</v>
      </c>
      <c r="E39" s="56">
        <v>13971.464377107313</v>
      </c>
      <c r="F39" s="56">
        <v>11888.697659999998</v>
      </c>
      <c r="G39" s="56">
        <v>13971.464377107313</v>
      </c>
    </row>
    <row r="40" spans="1:7" ht="11.25" customHeight="1" x14ac:dyDescent="0.2">
      <c r="A40" s="66">
        <v>44593</v>
      </c>
      <c r="B40" s="56">
        <v>0</v>
      </c>
      <c r="C40" s="56">
        <v>12487.944659999999</v>
      </c>
      <c r="D40" s="56">
        <v>0</v>
      </c>
      <c r="E40" s="56">
        <v>14675.692763306399</v>
      </c>
      <c r="F40" s="56">
        <v>12487.944659999999</v>
      </c>
      <c r="G40" s="56">
        <v>14675.692763306399</v>
      </c>
    </row>
    <row r="41" spans="1:7" ht="11.25" customHeight="1" x14ac:dyDescent="0.2">
      <c r="A41" s="66">
        <v>44621</v>
      </c>
      <c r="B41" s="56">
        <v>0</v>
      </c>
      <c r="C41" s="56">
        <v>27062.539398000001</v>
      </c>
      <c r="D41" s="56">
        <v>0</v>
      </c>
      <c r="E41" s="56">
        <v>31803.594128374531</v>
      </c>
      <c r="F41" s="56">
        <v>27062.539398000001</v>
      </c>
      <c r="G41" s="56">
        <v>31803.594128374531</v>
      </c>
    </row>
    <row r="42" spans="1:7" ht="11.25" customHeight="1" x14ac:dyDescent="0.2">
      <c r="A42" s="62" t="s">
        <v>30</v>
      </c>
      <c r="B42" s="56">
        <v>0</v>
      </c>
      <c r="C42" s="56">
        <v>170410.74856000001</v>
      </c>
      <c r="D42" s="56">
        <v>0</v>
      </c>
      <c r="E42" s="56">
        <v>200266.04990516155</v>
      </c>
      <c r="F42" s="56">
        <v>170410.74856000001</v>
      </c>
      <c r="G42" s="56">
        <v>200266.04990516155</v>
      </c>
    </row>
    <row r="43" spans="1:7" ht="11.25" customHeight="1" x14ac:dyDescent="0.2">
      <c r="A43" s="63" t="s">
        <v>25</v>
      </c>
      <c r="B43" s="56">
        <v>0</v>
      </c>
      <c r="C43" s="56">
        <v>170410.74856000001</v>
      </c>
      <c r="D43" s="56">
        <v>0</v>
      </c>
      <c r="E43" s="56">
        <v>200266.04990516155</v>
      </c>
      <c r="F43" s="56">
        <v>170410.74856000001</v>
      </c>
      <c r="G43" s="56">
        <v>200266.04990516155</v>
      </c>
    </row>
    <row r="44" spans="1:7" ht="11.25" customHeight="1" x14ac:dyDescent="0.2">
      <c r="A44" s="64" t="s">
        <v>25</v>
      </c>
      <c r="B44" s="56">
        <v>0</v>
      </c>
      <c r="C44" s="56">
        <v>170410.74856000001</v>
      </c>
      <c r="D44" s="56">
        <v>0</v>
      </c>
      <c r="E44" s="56">
        <v>200266.04990516155</v>
      </c>
      <c r="F44" s="56">
        <v>170410.74856000001</v>
      </c>
      <c r="G44" s="56">
        <v>200266.04990516155</v>
      </c>
    </row>
    <row r="45" spans="1:7" ht="11.25" customHeight="1" x14ac:dyDescent="0.2">
      <c r="A45" s="65" t="s">
        <v>25</v>
      </c>
      <c r="B45" s="56">
        <v>0</v>
      </c>
      <c r="C45" s="56">
        <v>170410.74856000001</v>
      </c>
      <c r="D45" s="56">
        <v>0</v>
      </c>
      <c r="E45" s="56">
        <v>200266.04990516155</v>
      </c>
      <c r="F45" s="56">
        <v>170410.74856000001</v>
      </c>
      <c r="G45" s="56">
        <v>200266.04990516155</v>
      </c>
    </row>
    <row r="46" spans="1:7" ht="11.25" customHeight="1" x14ac:dyDescent="0.2">
      <c r="A46" s="66">
        <v>44287</v>
      </c>
      <c r="B46" s="56">
        <v>0</v>
      </c>
      <c r="C46" s="56">
        <v>9952.5603100000008</v>
      </c>
      <c r="D46" s="56">
        <v>0</v>
      </c>
      <c r="E46" s="56">
        <v>11696.210256940712</v>
      </c>
      <c r="F46" s="56">
        <v>9952.5603100000008</v>
      </c>
      <c r="G46" s="56">
        <v>11696.210256940712</v>
      </c>
    </row>
    <row r="47" spans="1:7" ht="11.25" customHeight="1" x14ac:dyDescent="0.2">
      <c r="A47" s="66">
        <v>44317</v>
      </c>
      <c r="B47" s="56">
        <v>0</v>
      </c>
      <c r="C47" s="56">
        <v>9836.3434300000008</v>
      </c>
      <c r="D47" s="56">
        <v>0</v>
      </c>
      <c r="E47" s="56">
        <v>11559.632630526343</v>
      </c>
      <c r="F47" s="56">
        <v>9836.3434300000008</v>
      </c>
      <c r="G47" s="56">
        <v>11559.632630526343</v>
      </c>
    </row>
    <row r="48" spans="1:7" ht="11.25" customHeight="1" x14ac:dyDescent="0.2">
      <c r="A48" s="66">
        <v>44348</v>
      </c>
      <c r="B48" s="56">
        <v>0</v>
      </c>
      <c r="C48" s="56">
        <v>10908.369649999999</v>
      </c>
      <c r="D48" s="56">
        <v>0</v>
      </c>
      <c r="E48" s="56">
        <v>12819.473684438366</v>
      </c>
      <c r="F48" s="56">
        <v>10908.369649999999</v>
      </c>
      <c r="G48" s="56">
        <v>12819.473684438366</v>
      </c>
    </row>
    <row r="49" spans="1:7" ht="11.25" customHeight="1" x14ac:dyDescent="0.2">
      <c r="A49" s="66">
        <v>44378</v>
      </c>
      <c r="B49" s="56">
        <v>0</v>
      </c>
      <c r="C49" s="56">
        <v>10587.65576</v>
      </c>
      <c r="D49" s="56">
        <v>0</v>
      </c>
      <c r="E49" s="56">
        <v>12442.571965391024</v>
      </c>
      <c r="F49" s="56">
        <v>10587.65576</v>
      </c>
      <c r="G49" s="56">
        <v>12442.571965391024</v>
      </c>
    </row>
    <row r="50" spans="1:7" ht="11.25" customHeight="1" x14ac:dyDescent="0.2">
      <c r="A50" s="66">
        <v>44409</v>
      </c>
      <c r="B50" s="56">
        <v>0</v>
      </c>
      <c r="C50" s="56">
        <v>10913.212019999999</v>
      </c>
      <c r="D50" s="56">
        <v>0</v>
      </c>
      <c r="E50" s="56">
        <v>12825.164418872298</v>
      </c>
      <c r="F50" s="56">
        <v>10913.212019999999</v>
      </c>
      <c r="G50" s="56">
        <v>12825.164418872298</v>
      </c>
    </row>
    <row r="51" spans="1:7" ht="11.25" customHeight="1" x14ac:dyDescent="0.2">
      <c r="A51" s="66">
        <v>44440</v>
      </c>
      <c r="B51" s="56">
        <v>0</v>
      </c>
      <c r="C51" s="56">
        <v>11856.3567</v>
      </c>
      <c r="D51" s="56">
        <v>0</v>
      </c>
      <c r="E51" s="56">
        <v>13933.544387081209</v>
      </c>
      <c r="F51" s="56">
        <v>11856.3567</v>
      </c>
      <c r="G51" s="56">
        <v>13933.544387081209</v>
      </c>
    </row>
    <row r="52" spans="1:7" ht="11.25" customHeight="1" x14ac:dyDescent="0.2">
      <c r="A52" s="66">
        <v>44470</v>
      </c>
      <c r="B52" s="56">
        <v>0</v>
      </c>
      <c r="C52" s="56">
        <v>12983.88393</v>
      </c>
      <c r="D52" s="56">
        <v>0</v>
      </c>
      <c r="E52" s="56">
        <v>15258.610012582147</v>
      </c>
      <c r="F52" s="56">
        <v>12983.88393</v>
      </c>
      <c r="G52" s="56">
        <v>15258.610012582147</v>
      </c>
    </row>
    <row r="53" spans="1:7" ht="11.25" customHeight="1" x14ac:dyDescent="0.2">
      <c r="A53" s="66">
        <v>44501</v>
      </c>
      <c r="B53" s="56">
        <v>0</v>
      </c>
      <c r="C53" s="56">
        <v>13608.847879999999</v>
      </c>
      <c r="D53" s="56">
        <v>0</v>
      </c>
      <c r="E53" s="56">
        <v>15993.064953601463</v>
      </c>
      <c r="F53" s="56">
        <v>13608.847879999999</v>
      </c>
      <c r="G53" s="56">
        <v>15993.064953601463</v>
      </c>
    </row>
    <row r="54" spans="1:7" ht="11.25" customHeight="1" x14ac:dyDescent="0.2">
      <c r="A54" s="66">
        <v>44531</v>
      </c>
      <c r="B54" s="56">
        <v>0</v>
      </c>
      <c r="C54" s="56">
        <v>14631.407319999998</v>
      </c>
      <c r="D54" s="56">
        <v>0</v>
      </c>
      <c r="E54" s="56">
        <v>17194.772966526856</v>
      </c>
      <c r="F54" s="56">
        <v>14631.407319999998</v>
      </c>
      <c r="G54" s="56">
        <v>17194.772966526856</v>
      </c>
    </row>
    <row r="55" spans="1:7" ht="11.25" customHeight="1" x14ac:dyDescent="0.2">
      <c r="A55" s="66">
        <v>44562</v>
      </c>
      <c r="B55" s="56">
        <v>0</v>
      </c>
      <c r="C55" s="56">
        <v>15462.060020000001</v>
      </c>
      <c r="D55" s="56">
        <v>0</v>
      </c>
      <c r="E55" s="56">
        <v>18170.952796347505</v>
      </c>
      <c r="F55" s="56">
        <v>15462.060020000001</v>
      </c>
      <c r="G55" s="56">
        <v>18170.952796347505</v>
      </c>
    </row>
    <row r="56" spans="1:7" ht="11.25" customHeight="1" x14ac:dyDescent="0.2">
      <c r="A56" s="66">
        <v>44593</v>
      </c>
      <c r="B56" s="56">
        <v>0</v>
      </c>
      <c r="C56" s="56">
        <v>16412.65438</v>
      </c>
      <c r="D56" s="56">
        <v>0</v>
      </c>
      <c r="E56" s="56">
        <v>19288.087740608615</v>
      </c>
      <c r="F56" s="56">
        <v>16412.65438</v>
      </c>
      <c r="G56" s="56">
        <v>19288.087740608615</v>
      </c>
    </row>
    <row r="57" spans="1:7" ht="11.25" customHeight="1" x14ac:dyDescent="0.2">
      <c r="A57" s="66">
        <v>44621</v>
      </c>
      <c r="B57" s="56">
        <v>0</v>
      </c>
      <c r="C57" s="56">
        <v>33257.39716</v>
      </c>
      <c r="D57" s="56">
        <v>0</v>
      </c>
      <c r="E57" s="56">
        <v>39083.964092245013</v>
      </c>
      <c r="F57" s="56">
        <v>33257.39716</v>
      </c>
      <c r="G57" s="56">
        <v>39083.964092245013</v>
      </c>
    </row>
    <row r="58" spans="1:7" ht="11.25" customHeight="1" x14ac:dyDescent="0.2">
      <c r="A58" s="62" t="s">
        <v>31</v>
      </c>
      <c r="B58" s="56">
        <v>0</v>
      </c>
      <c r="C58" s="56">
        <v>34075.029120000021</v>
      </c>
      <c r="D58" s="56">
        <v>0</v>
      </c>
      <c r="E58" s="56">
        <v>40045.917085980807</v>
      </c>
      <c r="F58" s="56">
        <v>34075.029120000021</v>
      </c>
      <c r="G58" s="56">
        <v>40045.917085980815</v>
      </c>
    </row>
    <row r="59" spans="1:7" ht="11.25" customHeight="1" x14ac:dyDescent="0.2">
      <c r="A59" s="63" t="s">
        <v>25</v>
      </c>
      <c r="B59" s="56">
        <v>0</v>
      </c>
      <c r="C59" s="56">
        <v>34075.029120000021</v>
      </c>
      <c r="D59" s="56">
        <v>0</v>
      </c>
      <c r="E59" s="56">
        <v>40045.917085980807</v>
      </c>
      <c r="F59" s="56">
        <v>34075.029120000021</v>
      </c>
      <c r="G59" s="56">
        <v>40045.917085980815</v>
      </c>
    </row>
    <row r="60" spans="1:7" ht="11.25" customHeight="1" x14ac:dyDescent="0.2">
      <c r="A60" s="64" t="s">
        <v>25</v>
      </c>
      <c r="B60" s="56">
        <v>0</v>
      </c>
      <c r="C60" s="56">
        <v>34075.029120000021</v>
      </c>
      <c r="D60" s="56">
        <v>0</v>
      </c>
      <c r="E60" s="56">
        <v>40045.917085980807</v>
      </c>
      <c r="F60" s="56">
        <v>34075.029120000021</v>
      </c>
      <c r="G60" s="56">
        <v>40045.917085980815</v>
      </c>
    </row>
    <row r="61" spans="1:7" ht="11.25" customHeight="1" x14ac:dyDescent="0.2">
      <c r="A61" s="65" t="s">
        <v>25</v>
      </c>
      <c r="B61" s="56">
        <v>0</v>
      </c>
      <c r="C61" s="56">
        <v>34075.029120000021</v>
      </c>
      <c r="D61" s="56">
        <v>0</v>
      </c>
      <c r="E61" s="56">
        <v>40045.917085980807</v>
      </c>
      <c r="F61" s="56">
        <v>34075.029120000021</v>
      </c>
      <c r="G61" s="56">
        <v>40045.917085980815</v>
      </c>
    </row>
    <row r="62" spans="1:7" ht="11.25" customHeight="1" x14ac:dyDescent="0.2">
      <c r="A62" s="66">
        <v>44287</v>
      </c>
      <c r="B62" s="56">
        <v>0</v>
      </c>
      <c r="C62" s="56">
        <v>2345.5996800000016</v>
      </c>
      <c r="D62" s="56">
        <v>0</v>
      </c>
      <c r="E62" s="56">
        <v>2756.613647236793</v>
      </c>
      <c r="F62" s="56">
        <v>2345.5996800000016</v>
      </c>
      <c r="G62" s="56">
        <v>2756.613647236793</v>
      </c>
    </row>
    <row r="63" spans="1:7" ht="11.25" customHeight="1" x14ac:dyDescent="0.2">
      <c r="A63" s="66">
        <v>44317</v>
      </c>
      <c r="B63" s="56">
        <v>0</v>
      </c>
      <c r="C63" s="56">
        <v>1874.5987200000013</v>
      </c>
      <c r="D63" s="56">
        <v>0</v>
      </c>
      <c r="E63" s="56">
        <v>2203.0802863362533</v>
      </c>
      <c r="F63" s="56">
        <v>1874.5987200000013</v>
      </c>
      <c r="G63" s="56">
        <v>2203.0802863362533</v>
      </c>
    </row>
    <row r="64" spans="1:7" ht="11.25" customHeight="1" x14ac:dyDescent="0.2">
      <c r="A64" s="66">
        <v>44348</v>
      </c>
      <c r="B64" s="56">
        <v>0</v>
      </c>
      <c r="C64" s="56">
        <v>1977.9619200000013</v>
      </c>
      <c r="D64" s="56">
        <v>0</v>
      </c>
      <c r="E64" s="56">
        <v>2324.5555790605708</v>
      </c>
      <c r="F64" s="56">
        <v>1977.9619200000013</v>
      </c>
      <c r="G64" s="56">
        <v>2324.5555790605708</v>
      </c>
    </row>
    <row r="65" spans="1:7" ht="11.25" customHeight="1" x14ac:dyDescent="0.2">
      <c r="A65" s="66">
        <v>44378</v>
      </c>
      <c r="B65" s="56">
        <v>0</v>
      </c>
      <c r="C65" s="56">
        <v>1534.5244800000009</v>
      </c>
      <c r="D65" s="56">
        <v>0</v>
      </c>
      <c r="E65" s="56">
        <v>1803.4156295531825</v>
      </c>
      <c r="F65" s="56">
        <v>1534.5244800000009</v>
      </c>
      <c r="G65" s="56">
        <v>1803.4156295531825</v>
      </c>
    </row>
    <row r="66" spans="1:7" ht="11.25" customHeight="1" x14ac:dyDescent="0.2">
      <c r="A66" s="66">
        <v>44409</v>
      </c>
      <c r="B66" s="56">
        <v>0</v>
      </c>
      <c r="C66" s="56">
        <v>1593.841920000001</v>
      </c>
      <c r="D66" s="56">
        <v>0</v>
      </c>
      <c r="E66" s="56">
        <v>1873.1271263688495</v>
      </c>
      <c r="F66" s="56">
        <v>1593.841920000001</v>
      </c>
      <c r="G66" s="56">
        <v>1873.1271263688495</v>
      </c>
    </row>
    <row r="67" spans="1:7" ht="11.25" customHeight="1" x14ac:dyDescent="0.2">
      <c r="A67" s="66">
        <v>44440</v>
      </c>
      <c r="B67" s="56">
        <v>0</v>
      </c>
      <c r="C67" s="56">
        <v>2332.5628800000013</v>
      </c>
      <c r="D67" s="56">
        <v>0</v>
      </c>
      <c r="E67" s="56">
        <v>2741.2924391454376</v>
      </c>
      <c r="F67" s="56">
        <v>2332.5628800000013</v>
      </c>
      <c r="G67" s="56">
        <v>2741.2924391454376</v>
      </c>
    </row>
    <row r="68" spans="1:7" ht="11.25" customHeight="1" x14ac:dyDescent="0.2">
      <c r="A68" s="66">
        <v>44470</v>
      </c>
      <c r="B68" s="56">
        <v>0</v>
      </c>
      <c r="C68" s="56">
        <v>2377.6329600000017</v>
      </c>
      <c r="D68" s="56">
        <v>0</v>
      </c>
      <c r="E68" s="56">
        <v>2794.2600442612666</v>
      </c>
      <c r="F68" s="56">
        <v>2377.6329600000017</v>
      </c>
      <c r="G68" s="56">
        <v>2794.2600442612666</v>
      </c>
    </row>
    <row r="69" spans="1:7" ht="11.25" customHeight="1" x14ac:dyDescent="0.2">
      <c r="A69" s="66">
        <v>44501</v>
      </c>
      <c r="B69" s="56">
        <v>0</v>
      </c>
      <c r="C69" s="56">
        <v>2506.8835200000017</v>
      </c>
      <c r="D69" s="56">
        <v>0</v>
      </c>
      <c r="E69" s="56">
        <v>2946.1588787669898</v>
      </c>
      <c r="F69" s="56">
        <v>2506.8835200000017</v>
      </c>
      <c r="G69" s="56">
        <v>2946.1588787669898</v>
      </c>
    </row>
    <row r="70" spans="1:7" ht="11.25" customHeight="1" x14ac:dyDescent="0.2">
      <c r="A70" s="66">
        <v>44531</v>
      </c>
      <c r="B70" s="56">
        <v>0</v>
      </c>
      <c r="C70" s="56">
        <v>2822.0016000000019</v>
      </c>
      <c r="D70" s="56">
        <v>0</v>
      </c>
      <c r="E70" s="56">
        <v>3316.4943657751801</v>
      </c>
      <c r="F70" s="56">
        <v>2822.0016000000019</v>
      </c>
      <c r="G70" s="56">
        <v>3316.4943657751801</v>
      </c>
    </row>
    <row r="71" spans="1:7" ht="11.25" customHeight="1" x14ac:dyDescent="0.2">
      <c r="A71" s="66">
        <v>44562</v>
      </c>
      <c r="B71" s="56">
        <v>0</v>
      </c>
      <c r="C71" s="56">
        <v>3545.3577600000026</v>
      </c>
      <c r="D71" s="56">
        <v>0</v>
      </c>
      <c r="E71" s="56">
        <v>4166.6025404440998</v>
      </c>
      <c r="F71" s="56">
        <v>3545.3577600000026</v>
      </c>
      <c r="G71" s="56">
        <v>4166.6025404440998</v>
      </c>
    </row>
    <row r="72" spans="1:7" ht="11.25" customHeight="1" x14ac:dyDescent="0.2">
      <c r="A72" s="66">
        <v>44593</v>
      </c>
      <c r="B72" s="56">
        <v>0</v>
      </c>
      <c r="C72" s="56">
        <v>4104.9158400000024</v>
      </c>
      <c r="D72" s="56">
        <v>0</v>
      </c>
      <c r="E72" s="56">
        <v>4824.2106791652041</v>
      </c>
      <c r="F72" s="56">
        <v>4104.9158400000024</v>
      </c>
      <c r="G72" s="56">
        <v>4824.2106791652041</v>
      </c>
    </row>
    <row r="73" spans="1:7" ht="11.25" customHeight="1" x14ac:dyDescent="0.2">
      <c r="A73" s="66">
        <v>44621</v>
      </c>
      <c r="B73" s="56">
        <v>0</v>
      </c>
      <c r="C73" s="56">
        <v>7059.1478400000042</v>
      </c>
      <c r="D73" s="56">
        <v>0</v>
      </c>
      <c r="E73" s="56">
        <v>8296.1058698669876</v>
      </c>
      <c r="F73" s="56">
        <v>7059.1478400000042</v>
      </c>
      <c r="G73" s="56">
        <v>8296.1058698669876</v>
      </c>
    </row>
    <row r="74" spans="1:7" ht="11.25" customHeight="1" x14ac:dyDescent="0.2">
      <c r="A74" s="62" t="s">
        <v>32</v>
      </c>
      <c r="B74" s="56">
        <v>0</v>
      </c>
      <c r="C74" s="56">
        <v>2.3233610590978059E-12</v>
      </c>
      <c r="D74" s="56">
        <v>0</v>
      </c>
      <c r="E74" s="56">
        <v>0</v>
      </c>
      <c r="F74" s="56">
        <v>2.3233610590978059E-12</v>
      </c>
      <c r="G74" s="56">
        <v>0</v>
      </c>
    </row>
    <row r="75" spans="1:7" ht="11.25" customHeight="1" x14ac:dyDescent="0.2">
      <c r="A75" s="63" t="s">
        <v>25</v>
      </c>
      <c r="B75" s="56">
        <v>0</v>
      </c>
      <c r="C75" s="56">
        <v>2.3233610590978059E-12</v>
      </c>
      <c r="D75" s="56">
        <v>0</v>
      </c>
      <c r="E75" s="56">
        <v>0</v>
      </c>
      <c r="F75" s="56">
        <v>2.3233610590978059E-12</v>
      </c>
      <c r="G75" s="56">
        <v>0</v>
      </c>
    </row>
    <row r="76" spans="1:7" ht="11.25" customHeight="1" x14ac:dyDescent="0.2">
      <c r="A76" s="64" t="s">
        <v>25</v>
      </c>
      <c r="B76" s="56">
        <v>0</v>
      </c>
      <c r="C76" s="56">
        <v>2.3233610590978059E-12</v>
      </c>
      <c r="D76" s="56">
        <v>0</v>
      </c>
      <c r="E76" s="56">
        <v>0</v>
      </c>
      <c r="F76" s="56">
        <v>2.3233610590978059E-12</v>
      </c>
      <c r="G76" s="56">
        <v>0</v>
      </c>
    </row>
    <row r="77" spans="1:7" ht="11.25" customHeight="1" x14ac:dyDescent="0.2">
      <c r="A77" s="65" t="s">
        <v>25</v>
      </c>
      <c r="B77" s="56">
        <v>0</v>
      </c>
      <c r="C77" s="56">
        <v>2.3233610590978059E-12</v>
      </c>
      <c r="D77" s="56">
        <v>0</v>
      </c>
      <c r="E77" s="56">
        <v>0</v>
      </c>
      <c r="F77" s="56">
        <v>2.3233610590978059E-12</v>
      </c>
      <c r="G77" s="56">
        <v>0</v>
      </c>
    </row>
    <row r="78" spans="1:7" ht="11.25" customHeight="1" x14ac:dyDescent="0.2">
      <c r="A78" s="66">
        <v>44287</v>
      </c>
      <c r="B78" s="56">
        <v>0</v>
      </c>
      <c r="C78" s="56">
        <v>2.0594370653270745E-13</v>
      </c>
      <c r="D78" s="56">
        <v>0</v>
      </c>
      <c r="E78" s="56">
        <v>0</v>
      </c>
      <c r="F78" s="56">
        <v>2.0594370653270745E-13</v>
      </c>
      <c r="G78" s="56">
        <v>0</v>
      </c>
    </row>
    <row r="79" spans="1:7" ht="11.25" customHeight="1" x14ac:dyDescent="0.2">
      <c r="A79" s="66">
        <v>44317</v>
      </c>
      <c r="B79" s="56">
        <v>0</v>
      </c>
      <c r="C79" s="56">
        <v>1.0024336916103494E-13</v>
      </c>
      <c r="D79" s="56">
        <v>0</v>
      </c>
      <c r="E79" s="56">
        <v>0</v>
      </c>
      <c r="F79" s="56">
        <v>1.0024336916103494E-13</v>
      </c>
      <c r="G79" s="56">
        <v>0</v>
      </c>
    </row>
    <row r="80" spans="1:7" ht="11.25" customHeight="1" x14ac:dyDescent="0.2">
      <c r="A80" s="66">
        <v>44348</v>
      </c>
      <c r="B80" s="56">
        <v>0</v>
      </c>
      <c r="C80" s="56">
        <v>9.5724317361600694E-14</v>
      </c>
      <c r="D80" s="56">
        <v>0</v>
      </c>
      <c r="E80" s="56">
        <v>0</v>
      </c>
      <c r="F80" s="56">
        <v>9.5724317361600694E-14</v>
      </c>
      <c r="G80" s="56">
        <v>0</v>
      </c>
    </row>
    <row r="81" spans="1:7" ht="11.25" customHeight="1" x14ac:dyDescent="0.2">
      <c r="A81" s="66">
        <v>44378</v>
      </c>
      <c r="B81" s="56">
        <v>0</v>
      </c>
      <c r="C81" s="56">
        <v>5.7042370826820846E-14</v>
      </c>
      <c r="D81" s="56">
        <v>0</v>
      </c>
      <c r="E81" s="56">
        <v>0</v>
      </c>
      <c r="F81" s="56">
        <v>5.7042370826820846E-14</v>
      </c>
      <c r="G81" s="56">
        <v>0</v>
      </c>
    </row>
    <row r="82" spans="1:7" ht="11.25" customHeight="1" x14ac:dyDescent="0.2">
      <c r="A82" s="66">
        <v>44409</v>
      </c>
      <c r="B82" s="56">
        <v>0</v>
      </c>
      <c r="C82" s="56">
        <v>5.6729732023086399E-14</v>
      </c>
      <c r="D82" s="56">
        <v>0</v>
      </c>
      <c r="E82" s="56">
        <v>0</v>
      </c>
      <c r="F82" s="56">
        <v>5.6729732023086399E-14</v>
      </c>
      <c r="G82" s="56">
        <v>0</v>
      </c>
    </row>
    <row r="83" spans="1:7" ht="11.25" customHeight="1" x14ac:dyDescent="0.2">
      <c r="A83" s="66">
        <v>44440</v>
      </c>
      <c r="B83" s="56">
        <v>0</v>
      </c>
      <c r="C83" s="56">
        <v>1.3287149158713873E-13</v>
      </c>
      <c r="D83" s="56">
        <v>0</v>
      </c>
      <c r="E83" s="56">
        <v>0</v>
      </c>
      <c r="F83" s="56">
        <v>1.3287149158713873E-13</v>
      </c>
      <c r="G83" s="56">
        <v>0</v>
      </c>
    </row>
    <row r="84" spans="1:7" ht="11.25" customHeight="1" x14ac:dyDescent="0.2">
      <c r="A84" s="66">
        <v>44470</v>
      </c>
      <c r="B84" s="56">
        <v>0</v>
      </c>
      <c r="C84" s="56">
        <v>1.1544898370630109E-13</v>
      </c>
      <c r="D84" s="56">
        <v>0</v>
      </c>
      <c r="E84" s="56">
        <v>0</v>
      </c>
      <c r="F84" s="56">
        <v>1.1544898370630109E-13</v>
      </c>
      <c r="G84" s="56">
        <v>0</v>
      </c>
    </row>
    <row r="85" spans="1:7" ht="11.25" customHeight="1" x14ac:dyDescent="0.2">
      <c r="A85" s="66">
        <v>44501</v>
      </c>
      <c r="B85" s="56">
        <v>0</v>
      </c>
      <c r="C85" s="56">
        <v>1.2801137927453964E-13</v>
      </c>
      <c r="D85" s="56">
        <v>0</v>
      </c>
      <c r="E85" s="56">
        <v>0</v>
      </c>
      <c r="F85" s="56">
        <v>1.2801137927453964E-13</v>
      </c>
      <c r="G85" s="56">
        <v>0</v>
      </c>
    </row>
    <row r="86" spans="1:7" ht="11.25" customHeight="1" x14ac:dyDescent="0.2">
      <c r="A86" s="66">
        <v>44531</v>
      </c>
      <c r="B86" s="56">
        <v>0</v>
      </c>
      <c r="C86" s="56">
        <v>1.4659917724202388E-13</v>
      </c>
      <c r="D86" s="56">
        <v>0</v>
      </c>
      <c r="E86" s="56">
        <v>0</v>
      </c>
      <c r="F86" s="56">
        <v>1.4659917724202388E-13</v>
      </c>
      <c r="G86" s="56">
        <v>0</v>
      </c>
    </row>
    <row r="87" spans="1:7" ht="11.25" customHeight="1" x14ac:dyDescent="0.2">
      <c r="A87" s="66">
        <v>44562</v>
      </c>
      <c r="B87" s="56">
        <v>0</v>
      </c>
      <c r="C87" s="56">
        <v>2.7958435566688421E-13</v>
      </c>
      <c r="D87" s="56">
        <v>0</v>
      </c>
      <c r="E87" s="56">
        <v>0</v>
      </c>
      <c r="F87" s="56">
        <v>2.7958435566688421E-13</v>
      </c>
      <c r="G87" s="56">
        <v>0</v>
      </c>
    </row>
    <row r="88" spans="1:7" ht="11.25" customHeight="1" x14ac:dyDescent="0.2">
      <c r="A88" s="66">
        <v>44593</v>
      </c>
      <c r="B88" s="56">
        <v>0</v>
      </c>
      <c r="C88" s="56">
        <v>4.0768100006971507E-13</v>
      </c>
      <c r="D88" s="56">
        <v>0</v>
      </c>
      <c r="E88" s="56">
        <v>0</v>
      </c>
      <c r="F88" s="56">
        <v>4.0768100006971507E-13</v>
      </c>
      <c r="G88" s="56">
        <v>0</v>
      </c>
    </row>
    <row r="89" spans="1:7" ht="11.25" customHeight="1" x14ac:dyDescent="0.2">
      <c r="A89" s="66">
        <v>44621</v>
      </c>
      <c r="B89" s="56">
        <v>0</v>
      </c>
      <c r="C89" s="56">
        <v>5.97481175645953E-13</v>
      </c>
      <c r="D89" s="56">
        <v>0</v>
      </c>
      <c r="E89" s="56">
        <v>0</v>
      </c>
      <c r="F89" s="56">
        <v>5.97481175645953E-13</v>
      </c>
      <c r="G89" s="56">
        <v>0</v>
      </c>
    </row>
    <row r="90" spans="1:7" ht="11.25" customHeight="1" x14ac:dyDescent="0.2">
      <c r="A90" s="58" t="s">
        <v>643</v>
      </c>
      <c r="B90" s="56">
        <v>0</v>
      </c>
      <c r="C90" s="56">
        <v>25276.257168</v>
      </c>
      <c r="D90" s="56">
        <v>0</v>
      </c>
      <c r="E90" s="56">
        <v>29151.259291663438</v>
      </c>
      <c r="F90" s="56">
        <v>25276.257168</v>
      </c>
      <c r="G90" s="56">
        <v>29151.259291663438</v>
      </c>
    </row>
    <row r="91" spans="1:7" ht="11.25" customHeight="1" x14ac:dyDescent="0.2">
      <c r="A91" s="59" t="s">
        <v>43</v>
      </c>
      <c r="B91" s="56">
        <v>0</v>
      </c>
      <c r="C91" s="56">
        <v>25276.257168</v>
      </c>
      <c r="D91" s="56">
        <v>0</v>
      </c>
      <c r="E91" s="56">
        <v>29151.259291663438</v>
      </c>
      <c r="F91" s="56">
        <v>25276.257168</v>
      </c>
      <c r="G91" s="56">
        <v>29151.259291663438</v>
      </c>
    </row>
    <row r="92" spans="1:7" ht="11.25" customHeight="1" x14ac:dyDescent="0.2">
      <c r="A92" s="60" t="s">
        <v>23</v>
      </c>
      <c r="B92" s="56">
        <v>0</v>
      </c>
      <c r="C92" s="56">
        <v>25276.257168</v>
      </c>
      <c r="D92" s="56">
        <v>0</v>
      </c>
      <c r="E92" s="56">
        <v>29151.259291663438</v>
      </c>
      <c r="F92" s="56">
        <v>25276.257168</v>
      </c>
      <c r="G92" s="56">
        <v>29151.259291663438</v>
      </c>
    </row>
    <row r="93" spans="1:7" ht="11.25" customHeight="1" x14ac:dyDescent="0.2">
      <c r="A93" s="61" t="s">
        <v>44</v>
      </c>
      <c r="B93" s="56">
        <v>0</v>
      </c>
      <c r="C93" s="56">
        <v>25276.257168</v>
      </c>
      <c r="D93" s="56">
        <v>0</v>
      </c>
      <c r="E93" s="56">
        <v>29151.259291663438</v>
      </c>
      <c r="F93" s="56">
        <v>25276.257168</v>
      </c>
      <c r="G93" s="56">
        <v>29151.259291663438</v>
      </c>
    </row>
    <row r="94" spans="1:7" ht="11.25" customHeight="1" x14ac:dyDescent="0.2">
      <c r="A94" s="62" t="s">
        <v>52</v>
      </c>
      <c r="B94" s="56">
        <v>0</v>
      </c>
      <c r="C94" s="56">
        <v>25276.257168</v>
      </c>
      <c r="D94" s="56">
        <v>0</v>
      </c>
      <c r="E94" s="56">
        <v>29151.259291663438</v>
      </c>
      <c r="F94" s="56">
        <v>25276.257168</v>
      </c>
      <c r="G94" s="56">
        <v>29151.259291663438</v>
      </c>
    </row>
    <row r="95" spans="1:7" ht="11.25" customHeight="1" x14ac:dyDescent="0.2">
      <c r="A95" s="63" t="s">
        <v>54</v>
      </c>
      <c r="B95" s="56">
        <v>0</v>
      </c>
      <c r="C95" s="56">
        <v>25276.257168</v>
      </c>
      <c r="D95" s="56">
        <v>0</v>
      </c>
      <c r="E95" s="56">
        <v>29151.259291663438</v>
      </c>
      <c r="F95" s="56">
        <v>25276.257168</v>
      </c>
      <c r="G95" s="56">
        <v>29151.259291663438</v>
      </c>
    </row>
    <row r="96" spans="1:7" ht="11.25" customHeight="1" x14ac:dyDescent="0.2">
      <c r="A96" s="64" t="s">
        <v>25</v>
      </c>
      <c r="B96" s="56">
        <v>0</v>
      </c>
      <c r="C96" s="56">
        <v>25276.257168</v>
      </c>
      <c r="D96" s="56">
        <v>0</v>
      </c>
      <c r="E96" s="56">
        <v>29151.259291663438</v>
      </c>
      <c r="F96" s="56">
        <v>25276.257168</v>
      </c>
      <c r="G96" s="56">
        <v>29151.259291663438</v>
      </c>
    </row>
    <row r="97" spans="1:7" ht="11.25" customHeight="1" x14ac:dyDescent="0.2">
      <c r="A97" s="65" t="s">
        <v>25</v>
      </c>
      <c r="B97" s="56">
        <v>0</v>
      </c>
      <c r="C97" s="56">
        <v>25276.257168</v>
      </c>
      <c r="D97" s="56">
        <v>0</v>
      </c>
      <c r="E97" s="56">
        <v>29151.259291663438</v>
      </c>
      <c r="F97" s="56">
        <v>25276.257168</v>
      </c>
      <c r="G97" s="56">
        <v>29151.259291663438</v>
      </c>
    </row>
    <row r="98" spans="1:7" ht="11.25" customHeight="1" x14ac:dyDescent="0.2">
      <c r="A98" s="66">
        <v>44287</v>
      </c>
      <c r="B98" s="56">
        <v>0</v>
      </c>
      <c r="C98" s="56">
        <v>6185.3924160000006</v>
      </c>
      <c r="D98" s="56">
        <v>0</v>
      </c>
      <c r="E98" s="56">
        <v>7133.6502450125936</v>
      </c>
      <c r="F98" s="56">
        <v>6185.3924160000006</v>
      </c>
      <c r="G98" s="56">
        <v>7133.6502450125936</v>
      </c>
    </row>
    <row r="99" spans="1:7" ht="11.25" customHeight="1" x14ac:dyDescent="0.2">
      <c r="A99" s="66">
        <v>44348</v>
      </c>
      <c r="B99" s="56">
        <v>0</v>
      </c>
      <c r="C99" s="56">
        <v>2853.2145840000007</v>
      </c>
      <c r="D99" s="56">
        <v>0</v>
      </c>
      <c r="E99" s="56">
        <v>3290.6295263619877</v>
      </c>
      <c r="F99" s="56">
        <v>2853.2145840000007</v>
      </c>
      <c r="G99" s="56">
        <v>3290.6295263619877</v>
      </c>
    </row>
    <row r="100" spans="1:7" ht="11.25" customHeight="1" x14ac:dyDescent="0.2">
      <c r="A100" s="66">
        <v>44378</v>
      </c>
      <c r="B100" s="56">
        <v>0</v>
      </c>
      <c r="C100" s="56">
        <v>2447.2235759999999</v>
      </c>
      <c r="D100" s="56">
        <v>0</v>
      </c>
      <c r="E100" s="56">
        <v>2822.397656998226</v>
      </c>
      <c r="F100" s="56">
        <v>2447.2235759999999</v>
      </c>
      <c r="G100" s="56">
        <v>2822.397656998226</v>
      </c>
    </row>
    <row r="101" spans="1:7" ht="11.25" customHeight="1" x14ac:dyDescent="0.2">
      <c r="A101" s="66">
        <v>44409</v>
      </c>
      <c r="B101" s="56">
        <v>0</v>
      </c>
      <c r="C101" s="56">
        <v>3038.9621040000006</v>
      </c>
      <c r="D101" s="56">
        <v>0</v>
      </c>
      <c r="E101" s="56">
        <v>3504.8532574434471</v>
      </c>
      <c r="F101" s="56">
        <v>3038.9621040000006</v>
      </c>
      <c r="G101" s="56">
        <v>3504.8532574434471</v>
      </c>
    </row>
    <row r="102" spans="1:7" ht="11.25" customHeight="1" x14ac:dyDescent="0.2">
      <c r="A102" s="66">
        <v>44440</v>
      </c>
      <c r="B102" s="56">
        <v>0</v>
      </c>
      <c r="C102" s="56">
        <v>2875.106256</v>
      </c>
      <c r="D102" s="56">
        <v>0</v>
      </c>
      <c r="E102" s="56">
        <v>3315.8773232394437</v>
      </c>
      <c r="F102" s="56">
        <v>2875.106256</v>
      </c>
      <c r="G102" s="56">
        <v>3315.8773232394437</v>
      </c>
    </row>
    <row r="103" spans="1:7" ht="11.25" customHeight="1" x14ac:dyDescent="0.2">
      <c r="A103" s="66">
        <v>44470</v>
      </c>
      <c r="B103" s="56">
        <v>0</v>
      </c>
      <c r="C103" s="56">
        <v>1946.3686560000001</v>
      </c>
      <c r="D103" s="56">
        <v>0</v>
      </c>
      <c r="E103" s="56">
        <v>2244.7586678321486</v>
      </c>
      <c r="F103" s="56">
        <v>1946.3686560000001</v>
      </c>
      <c r="G103" s="56">
        <v>2244.7586678321486</v>
      </c>
    </row>
    <row r="104" spans="1:7" ht="11.25" customHeight="1" x14ac:dyDescent="0.2">
      <c r="A104" s="66">
        <v>44501</v>
      </c>
      <c r="B104" s="56">
        <v>0</v>
      </c>
      <c r="C104" s="56">
        <v>314.44401599999998</v>
      </c>
      <c r="D104" s="56">
        <v>0</v>
      </c>
      <c r="E104" s="56">
        <v>362.65017333075605</v>
      </c>
      <c r="F104" s="56">
        <v>314.44401599999998</v>
      </c>
      <c r="G104" s="56">
        <v>362.65017333075605</v>
      </c>
    </row>
    <row r="105" spans="1:7" ht="11.25" customHeight="1" x14ac:dyDescent="0.2">
      <c r="A105" s="66">
        <v>44531</v>
      </c>
      <c r="B105" s="56">
        <v>0</v>
      </c>
      <c r="C105" s="56">
        <v>523.40997600000003</v>
      </c>
      <c r="D105" s="56">
        <v>0</v>
      </c>
      <c r="E105" s="56">
        <v>603.65187079739781</v>
      </c>
      <c r="F105" s="56">
        <v>523.40997600000003</v>
      </c>
      <c r="G105" s="56">
        <v>603.65187079739781</v>
      </c>
    </row>
    <row r="106" spans="1:7" ht="11.25" customHeight="1" x14ac:dyDescent="0.2">
      <c r="A106" s="66">
        <v>44562</v>
      </c>
      <c r="B106" s="56">
        <v>0</v>
      </c>
      <c r="C106" s="56">
        <v>2485.0364640000003</v>
      </c>
      <c r="D106" s="56">
        <v>0</v>
      </c>
      <c r="E106" s="56">
        <v>2866.0074879683807</v>
      </c>
      <c r="F106" s="56">
        <v>2485.0364640000003</v>
      </c>
      <c r="G106" s="56">
        <v>2866.0074879683807</v>
      </c>
    </row>
    <row r="107" spans="1:7" ht="11.25" customHeight="1" x14ac:dyDescent="0.2">
      <c r="A107" s="66">
        <v>44593</v>
      </c>
      <c r="B107" s="56">
        <v>0</v>
      </c>
      <c r="C107" s="56">
        <v>2607.0991200000003</v>
      </c>
      <c r="D107" s="56">
        <v>0</v>
      </c>
      <c r="E107" s="56">
        <v>3006.7830826790537</v>
      </c>
      <c r="F107" s="56">
        <v>2607.0991200000003</v>
      </c>
      <c r="G107" s="56">
        <v>3006.7830826790537</v>
      </c>
    </row>
    <row r="108" spans="1:7" ht="11.25" customHeight="1" x14ac:dyDescent="0.2">
      <c r="A108" s="58" t="s">
        <v>642</v>
      </c>
      <c r="B108" s="56">
        <v>0</v>
      </c>
      <c r="C108" s="56">
        <v>402370.97354999988</v>
      </c>
      <c r="D108" s="56">
        <v>0</v>
      </c>
      <c r="E108" s="56">
        <v>240950.42207496465</v>
      </c>
      <c r="F108" s="56">
        <v>402370.97354999982</v>
      </c>
      <c r="G108" s="56">
        <v>240950.42207496459</v>
      </c>
    </row>
    <row r="109" spans="1:7" ht="11.25" customHeight="1" x14ac:dyDescent="0.2">
      <c r="A109" s="59" t="s">
        <v>43</v>
      </c>
      <c r="B109" s="56">
        <v>0</v>
      </c>
      <c r="C109" s="56">
        <v>402370.97354999988</v>
      </c>
      <c r="D109" s="56">
        <v>0</v>
      </c>
      <c r="E109" s="56">
        <v>240950.42207496465</v>
      </c>
      <c r="F109" s="56">
        <v>402370.97354999982</v>
      </c>
      <c r="G109" s="56">
        <v>240950.42207496459</v>
      </c>
    </row>
    <row r="110" spans="1:7" ht="11.25" customHeight="1" x14ac:dyDescent="0.2">
      <c r="A110" s="60" t="s">
        <v>23</v>
      </c>
      <c r="B110" s="56">
        <v>0</v>
      </c>
      <c r="C110" s="56">
        <v>402370.97354999988</v>
      </c>
      <c r="D110" s="56">
        <v>0</v>
      </c>
      <c r="E110" s="56">
        <v>240950.42207496465</v>
      </c>
      <c r="F110" s="56">
        <v>402370.97354999982</v>
      </c>
      <c r="G110" s="56">
        <v>240950.42207496459</v>
      </c>
    </row>
    <row r="111" spans="1:7" ht="11.25" customHeight="1" x14ac:dyDescent="0.2">
      <c r="A111" s="61" t="s">
        <v>44</v>
      </c>
      <c r="B111" s="56">
        <v>0</v>
      </c>
      <c r="C111" s="56">
        <v>402370.97354999988</v>
      </c>
      <c r="D111" s="56">
        <v>0</v>
      </c>
      <c r="E111" s="56">
        <v>240950.42207496465</v>
      </c>
      <c r="F111" s="56">
        <v>402370.97354999982</v>
      </c>
      <c r="G111" s="56">
        <v>240950.42207496459</v>
      </c>
    </row>
    <row r="112" spans="1:7" ht="11.25" customHeight="1" x14ac:dyDescent="0.2">
      <c r="A112" s="62" t="s">
        <v>52</v>
      </c>
      <c r="B112" s="56">
        <v>0</v>
      </c>
      <c r="C112" s="56">
        <v>1791.5215499999997</v>
      </c>
      <c r="D112" s="56">
        <v>0</v>
      </c>
      <c r="E112" s="56">
        <v>1072.8106697667997</v>
      </c>
      <c r="F112" s="56">
        <v>1791.5215499999997</v>
      </c>
      <c r="G112" s="56">
        <v>1072.8106697667997</v>
      </c>
    </row>
    <row r="113" spans="1:7" ht="11.25" customHeight="1" x14ac:dyDescent="0.2">
      <c r="A113" s="63" t="s">
        <v>53</v>
      </c>
      <c r="B113" s="56">
        <v>0</v>
      </c>
      <c r="C113" s="56">
        <v>1791.5215499999997</v>
      </c>
      <c r="D113" s="56">
        <v>0</v>
      </c>
      <c r="E113" s="56">
        <v>1072.8106697667997</v>
      </c>
      <c r="F113" s="56">
        <v>1791.5215499999997</v>
      </c>
      <c r="G113" s="56">
        <v>1072.8106697667997</v>
      </c>
    </row>
    <row r="114" spans="1:7" ht="11.25" customHeight="1" x14ac:dyDescent="0.2">
      <c r="A114" s="64" t="s">
        <v>25</v>
      </c>
      <c r="B114" s="56">
        <v>0</v>
      </c>
      <c r="C114" s="56">
        <v>1791.5215499999997</v>
      </c>
      <c r="D114" s="56">
        <v>0</v>
      </c>
      <c r="E114" s="56">
        <v>1072.8106697667997</v>
      </c>
      <c r="F114" s="56">
        <v>1791.5215499999997</v>
      </c>
      <c r="G114" s="56">
        <v>1072.8106697667997</v>
      </c>
    </row>
    <row r="115" spans="1:7" ht="11.25" customHeight="1" x14ac:dyDescent="0.2">
      <c r="A115" s="65" t="s">
        <v>25</v>
      </c>
      <c r="B115" s="56">
        <v>0</v>
      </c>
      <c r="C115" s="56">
        <v>1791.5215499999997</v>
      </c>
      <c r="D115" s="56">
        <v>0</v>
      </c>
      <c r="E115" s="56">
        <v>1072.8106697667997</v>
      </c>
      <c r="F115" s="56">
        <v>1791.5215499999997</v>
      </c>
      <c r="G115" s="56">
        <v>1072.8106697667997</v>
      </c>
    </row>
    <row r="116" spans="1:7" ht="11.25" customHeight="1" x14ac:dyDescent="0.2">
      <c r="A116" s="66">
        <v>44287</v>
      </c>
      <c r="B116" s="56">
        <v>0</v>
      </c>
      <c r="C116" s="56">
        <v>733.04594999999972</v>
      </c>
      <c r="D116" s="56">
        <v>0</v>
      </c>
      <c r="E116" s="56">
        <v>438.96737752852601</v>
      </c>
      <c r="F116" s="56">
        <v>733.04594999999972</v>
      </c>
      <c r="G116" s="56">
        <v>438.96737752852601</v>
      </c>
    </row>
    <row r="117" spans="1:7" ht="11.25" customHeight="1" x14ac:dyDescent="0.2">
      <c r="A117" s="66">
        <v>44317</v>
      </c>
      <c r="B117" s="56">
        <v>0</v>
      </c>
      <c r="C117" s="56">
        <v>12.284999999999997</v>
      </c>
      <c r="D117" s="56">
        <v>0</v>
      </c>
      <c r="E117" s="56">
        <v>7.3565841717534113</v>
      </c>
      <c r="F117" s="56">
        <v>12.284999999999997</v>
      </c>
      <c r="G117" s="56">
        <v>7.3565841717534113</v>
      </c>
    </row>
    <row r="118" spans="1:7" ht="11.25" customHeight="1" x14ac:dyDescent="0.2">
      <c r="A118" s="66">
        <v>44348</v>
      </c>
      <c r="B118" s="56">
        <v>0</v>
      </c>
      <c r="C118" s="56">
        <v>201.59684999999993</v>
      </c>
      <c r="D118" s="56">
        <v>0</v>
      </c>
      <c r="E118" s="56">
        <v>120.72154625847348</v>
      </c>
      <c r="F118" s="56">
        <v>201.59684999999993</v>
      </c>
      <c r="G118" s="56">
        <v>120.72154625847348</v>
      </c>
    </row>
    <row r="119" spans="1:7" ht="11.25" customHeight="1" x14ac:dyDescent="0.2">
      <c r="A119" s="66">
        <v>44378</v>
      </c>
      <c r="B119" s="56">
        <v>0</v>
      </c>
      <c r="C119" s="56">
        <v>329.97509999999988</v>
      </c>
      <c r="D119" s="56">
        <v>0</v>
      </c>
      <c r="E119" s="56">
        <v>197.59785085329662</v>
      </c>
      <c r="F119" s="56">
        <v>329.97509999999988</v>
      </c>
      <c r="G119" s="56">
        <v>197.59785085329662</v>
      </c>
    </row>
    <row r="120" spans="1:7" ht="11.25" customHeight="1" x14ac:dyDescent="0.2">
      <c r="A120" s="66">
        <v>44409</v>
      </c>
      <c r="B120" s="56">
        <v>0</v>
      </c>
      <c r="C120" s="56">
        <v>362.77604999999988</v>
      </c>
      <c r="D120" s="56">
        <v>0</v>
      </c>
      <c r="E120" s="56">
        <v>217.23993059187822</v>
      </c>
      <c r="F120" s="56">
        <v>362.77604999999988</v>
      </c>
      <c r="G120" s="56">
        <v>217.23993059187822</v>
      </c>
    </row>
    <row r="121" spans="1:7" ht="11.25" customHeight="1" x14ac:dyDescent="0.2">
      <c r="A121" s="66">
        <v>44470</v>
      </c>
      <c r="B121" s="56">
        <v>0</v>
      </c>
      <c r="C121" s="56">
        <v>42.628949999999982</v>
      </c>
      <c r="D121" s="56">
        <v>0</v>
      </c>
      <c r="E121" s="56">
        <v>25.527347075984334</v>
      </c>
      <c r="F121" s="56">
        <v>42.628949999999982</v>
      </c>
      <c r="G121" s="56">
        <v>25.527347075984334</v>
      </c>
    </row>
    <row r="122" spans="1:7" ht="11.25" customHeight="1" x14ac:dyDescent="0.2">
      <c r="A122" s="66">
        <v>44562</v>
      </c>
      <c r="B122" s="56">
        <v>0</v>
      </c>
      <c r="C122" s="56">
        <v>96.928649999999976</v>
      </c>
      <c r="D122" s="56">
        <v>0</v>
      </c>
      <c r="E122" s="56">
        <v>58.043449115134415</v>
      </c>
      <c r="F122" s="56">
        <v>96.928649999999976</v>
      </c>
      <c r="G122" s="56">
        <v>58.043449115134415</v>
      </c>
    </row>
    <row r="123" spans="1:7" ht="11.25" customHeight="1" x14ac:dyDescent="0.2">
      <c r="A123" s="66">
        <v>44621</v>
      </c>
      <c r="B123" s="56">
        <v>0</v>
      </c>
      <c r="C123" s="56">
        <v>12.284999999999997</v>
      </c>
      <c r="D123" s="56">
        <v>0</v>
      </c>
      <c r="E123" s="56">
        <v>7.3565841717534113</v>
      </c>
      <c r="F123" s="56">
        <v>12.284999999999997</v>
      </c>
      <c r="G123" s="56">
        <v>7.3565841717534113</v>
      </c>
    </row>
    <row r="124" spans="1:7" ht="11.25" customHeight="1" x14ac:dyDescent="0.2">
      <c r="A124" s="62" t="s">
        <v>25</v>
      </c>
      <c r="B124" s="56">
        <v>0</v>
      </c>
      <c r="C124" s="56">
        <v>400579.45199999987</v>
      </c>
      <c r="D124" s="56">
        <v>0</v>
      </c>
      <c r="E124" s="56">
        <v>239877.61140519785</v>
      </c>
      <c r="F124" s="56">
        <v>400579.45199999987</v>
      </c>
      <c r="G124" s="56">
        <v>239877.61140519779</v>
      </c>
    </row>
    <row r="125" spans="1:7" ht="11.25" customHeight="1" x14ac:dyDescent="0.2">
      <c r="A125" s="63" t="s">
        <v>25</v>
      </c>
      <c r="B125" s="56">
        <v>0</v>
      </c>
      <c r="C125" s="56">
        <v>400579.45199999987</v>
      </c>
      <c r="D125" s="56">
        <v>0</v>
      </c>
      <c r="E125" s="56">
        <v>239877.61140519785</v>
      </c>
      <c r="F125" s="56">
        <v>400579.45199999987</v>
      </c>
      <c r="G125" s="56">
        <v>239877.61140519779</v>
      </c>
    </row>
    <row r="126" spans="1:7" ht="11.25" customHeight="1" x14ac:dyDescent="0.2">
      <c r="A126" s="64" t="s">
        <v>25</v>
      </c>
      <c r="B126" s="56">
        <v>0</v>
      </c>
      <c r="C126" s="56">
        <v>400579.45199999987</v>
      </c>
      <c r="D126" s="56">
        <v>0</v>
      </c>
      <c r="E126" s="56">
        <v>239877.61140519785</v>
      </c>
      <c r="F126" s="56">
        <v>400579.45199999987</v>
      </c>
      <c r="G126" s="56">
        <v>239877.61140519779</v>
      </c>
    </row>
    <row r="127" spans="1:7" ht="11.25" customHeight="1" x14ac:dyDescent="0.2">
      <c r="A127" s="65" t="s">
        <v>25</v>
      </c>
      <c r="B127" s="56">
        <v>0</v>
      </c>
      <c r="C127" s="56">
        <v>400579.45199999987</v>
      </c>
      <c r="D127" s="56">
        <v>0</v>
      </c>
      <c r="E127" s="56">
        <v>239877.61140519785</v>
      </c>
      <c r="F127" s="56">
        <v>400579.45199999987</v>
      </c>
      <c r="G127" s="56">
        <v>239877.61140519779</v>
      </c>
    </row>
    <row r="128" spans="1:7" ht="11.25" customHeight="1" x14ac:dyDescent="0.2">
      <c r="A128" s="66">
        <v>44287</v>
      </c>
      <c r="B128" s="56">
        <v>0</v>
      </c>
      <c r="C128" s="56">
        <v>41126.985899999978</v>
      </c>
      <c r="D128" s="56">
        <v>0</v>
      </c>
      <c r="E128" s="56">
        <v>24627.931095145766</v>
      </c>
      <c r="F128" s="56">
        <v>41126.985899999978</v>
      </c>
      <c r="G128" s="56">
        <v>24627.931095145766</v>
      </c>
    </row>
    <row r="129" spans="1:7" ht="11.25" customHeight="1" x14ac:dyDescent="0.2">
      <c r="A129" s="66">
        <v>44317</v>
      </c>
      <c r="B129" s="56">
        <v>0</v>
      </c>
      <c r="C129" s="56">
        <v>34788.908699999993</v>
      </c>
      <c r="D129" s="56">
        <v>0</v>
      </c>
      <c r="E129" s="56">
        <v>20832.522189254745</v>
      </c>
      <c r="F129" s="56">
        <v>34788.908699999993</v>
      </c>
      <c r="G129" s="56">
        <v>20832.522189254745</v>
      </c>
    </row>
    <row r="130" spans="1:7" ht="11.25" customHeight="1" x14ac:dyDescent="0.2">
      <c r="A130" s="66">
        <v>44348</v>
      </c>
      <c r="B130" s="56">
        <v>0</v>
      </c>
      <c r="C130" s="56">
        <v>33012.989099999992</v>
      </c>
      <c r="D130" s="56">
        <v>0</v>
      </c>
      <c r="E130" s="56">
        <v>19769.054381386071</v>
      </c>
      <c r="F130" s="56">
        <v>33012.989099999992</v>
      </c>
      <c r="G130" s="56">
        <v>19769.054381386071</v>
      </c>
    </row>
    <row r="131" spans="1:7" ht="11.25" customHeight="1" x14ac:dyDescent="0.2">
      <c r="A131" s="66">
        <v>44378</v>
      </c>
      <c r="B131" s="56">
        <v>0</v>
      </c>
      <c r="C131" s="56">
        <v>31596.160049999991</v>
      </c>
      <c r="D131" s="56">
        <v>0</v>
      </c>
      <c r="E131" s="56">
        <v>18920.619528857751</v>
      </c>
      <c r="F131" s="56">
        <v>31596.160049999991</v>
      </c>
      <c r="G131" s="56">
        <v>18920.619528857751</v>
      </c>
    </row>
    <row r="132" spans="1:7" ht="11.25" customHeight="1" x14ac:dyDescent="0.2">
      <c r="A132" s="66">
        <v>44409</v>
      </c>
      <c r="B132" s="56">
        <v>0</v>
      </c>
      <c r="C132" s="56">
        <v>30042.598949999992</v>
      </c>
      <c r="D132" s="56">
        <v>0</v>
      </c>
      <c r="E132" s="56">
        <v>17990.305894497815</v>
      </c>
      <c r="F132" s="56">
        <v>30042.598949999992</v>
      </c>
      <c r="G132" s="56">
        <v>17990.305894497815</v>
      </c>
    </row>
    <row r="133" spans="1:7" ht="11.25" customHeight="1" x14ac:dyDescent="0.2">
      <c r="A133" s="66">
        <v>44440</v>
      </c>
      <c r="B133" s="56">
        <v>0</v>
      </c>
      <c r="C133" s="56">
        <v>33821.464949999987</v>
      </c>
      <c r="D133" s="56">
        <v>0</v>
      </c>
      <c r="E133" s="56">
        <v>20253.191185729163</v>
      </c>
      <c r="F133" s="56">
        <v>33821.464949999987</v>
      </c>
      <c r="G133" s="56">
        <v>20253.191185729163</v>
      </c>
    </row>
    <row r="134" spans="1:7" ht="11.25" customHeight="1" x14ac:dyDescent="0.2">
      <c r="A134" s="66">
        <v>44470</v>
      </c>
      <c r="B134" s="56">
        <v>0</v>
      </c>
      <c r="C134" s="56">
        <v>32631.908399999989</v>
      </c>
      <c r="D134" s="56">
        <v>0</v>
      </c>
      <c r="E134" s="56">
        <v>19540.85314037828</v>
      </c>
      <c r="F134" s="56">
        <v>32631.908399999989</v>
      </c>
      <c r="G134" s="56">
        <v>19540.85314037828</v>
      </c>
    </row>
    <row r="135" spans="1:7" ht="11.25" customHeight="1" x14ac:dyDescent="0.2">
      <c r="A135" s="66">
        <v>44501</v>
      </c>
      <c r="B135" s="56">
        <v>0</v>
      </c>
      <c r="C135" s="56">
        <v>31641.123149999992</v>
      </c>
      <c r="D135" s="56">
        <v>0</v>
      </c>
      <c r="E135" s="56">
        <v>18947.54462692637</v>
      </c>
      <c r="F135" s="56">
        <v>31641.123149999992</v>
      </c>
      <c r="G135" s="56">
        <v>18947.54462692637</v>
      </c>
    </row>
    <row r="136" spans="1:7" ht="11.25" customHeight="1" x14ac:dyDescent="0.2">
      <c r="A136" s="66">
        <v>44531</v>
      </c>
      <c r="B136" s="56">
        <v>0</v>
      </c>
      <c r="C136" s="56">
        <v>31258.44539999999</v>
      </c>
      <c r="D136" s="56">
        <v>0</v>
      </c>
      <c r="E136" s="56">
        <v>18718.387029976253</v>
      </c>
      <c r="F136" s="56">
        <v>31258.44539999999</v>
      </c>
      <c r="G136" s="56">
        <v>18718.387029976253</v>
      </c>
    </row>
    <row r="137" spans="1:7" ht="11.25" customHeight="1" x14ac:dyDescent="0.2">
      <c r="A137" s="66">
        <v>44562</v>
      </c>
      <c r="B137" s="56">
        <v>0</v>
      </c>
      <c r="C137" s="56">
        <v>34161.88229999999</v>
      </c>
      <c r="D137" s="56">
        <v>0</v>
      </c>
      <c r="E137" s="56">
        <v>20457.042133128452</v>
      </c>
      <c r="F137" s="56">
        <v>34161.88229999999</v>
      </c>
      <c r="G137" s="56">
        <v>20457.042133128452</v>
      </c>
    </row>
    <row r="138" spans="1:7" ht="11.25" customHeight="1" x14ac:dyDescent="0.2">
      <c r="A138" s="66">
        <v>44593</v>
      </c>
      <c r="B138" s="56">
        <v>0</v>
      </c>
      <c r="C138" s="56">
        <v>33316.919999999991</v>
      </c>
      <c r="D138" s="56">
        <v>0</v>
      </c>
      <c r="E138" s="56">
        <v>19951.056273795253</v>
      </c>
      <c r="F138" s="56">
        <v>33316.919999999991</v>
      </c>
      <c r="G138" s="56">
        <v>19951.056273795253</v>
      </c>
    </row>
    <row r="139" spans="1:7" ht="11.25" customHeight="1" x14ac:dyDescent="0.2">
      <c r="A139" s="66">
        <v>44621</v>
      </c>
      <c r="B139" s="56">
        <v>0</v>
      </c>
      <c r="C139" s="56">
        <v>33180.065099999993</v>
      </c>
      <c r="D139" s="56">
        <v>0</v>
      </c>
      <c r="E139" s="56">
        <v>19869.103926121916</v>
      </c>
      <c r="F139" s="56">
        <v>33180.065099999993</v>
      </c>
      <c r="G139" s="56">
        <v>19869.103926121916</v>
      </c>
    </row>
    <row r="140" spans="1:7" ht="11.25" customHeight="1" x14ac:dyDescent="0.2">
      <c r="A140" s="58" t="s">
        <v>651</v>
      </c>
      <c r="B140" s="56">
        <v>0</v>
      </c>
      <c r="C140" s="56">
        <v>0</v>
      </c>
      <c r="D140" s="56">
        <v>0</v>
      </c>
      <c r="E140" s="56">
        <v>0</v>
      </c>
      <c r="F140" s="56">
        <v>0</v>
      </c>
      <c r="G140" s="56">
        <v>0</v>
      </c>
    </row>
    <row r="141" spans="1:7" ht="11.25" customHeight="1" x14ac:dyDescent="0.2">
      <c r="A141" s="59" t="s">
        <v>22</v>
      </c>
      <c r="B141" s="56">
        <v>0</v>
      </c>
      <c r="C141" s="56">
        <v>0</v>
      </c>
      <c r="D141" s="56">
        <v>0</v>
      </c>
      <c r="E141" s="56">
        <v>0</v>
      </c>
      <c r="F141" s="56">
        <v>0</v>
      </c>
      <c r="G141" s="56">
        <v>0</v>
      </c>
    </row>
    <row r="142" spans="1:7" ht="11.25" customHeight="1" x14ac:dyDescent="0.2">
      <c r="A142" s="60" t="s">
        <v>23</v>
      </c>
      <c r="B142" s="56">
        <v>0</v>
      </c>
      <c r="C142" s="56">
        <v>0</v>
      </c>
      <c r="D142" s="56">
        <v>0</v>
      </c>
      <c r="E142" s="56">
        <v>0</v>
      </c>
      <c r="F142" s="56">
        <v>0</v>
      </c>
      <c r="G142" s="56">
        <v>0</v>
      </c>
    </row>
    <row r="143" spans="1:7" ht="11.25" customHeight="1" x14ac:dyDescent="0.2">
      <c r="A143" s="61" t="s">
        <v>24</v>
      </c>
      <c r="B143" s="56">
        <v>0</v>
      </c>
      <c r="C143" s="56">
        <v>0</v>
      </c>
      <c r="D143" s="56">
        <v>0</v>
      </c>
      <c r="E143" s="56">
        <v>0</v>
      </c>
      <c r="F143" s="56">
        <v>0</v>
      </c>
      <c r="G143" s="56">
        <v>0</v>
      </c>
    </row>
    <row r="144" spans="1:7" ht="11.25" customHeight="1" x14ac:dyDescent="0.2">
      <c r="A144" s="62" t="s">
        <v>24</v>
      </c>
      <c r="B144" s="56">
        <v>0</v>
      </c>
      <c r="C144" s="56">
        <v>0</v>
      </c>
      <c r="D144" s="56">
        <v>0</v>
      </c>
      <c r="E144" s="56">
        <v>0</v>
      </c>
      <c r="F144" s="56">
        <v>0</v>
      </c>
      <c r="G144" s="56">
        <v>0</v>
      </c>
    </row>
    <row r="145" spans="1:7" ht="11.25" customHeight="1" x14ac:dyDescent="0.2">
      <c r="A145" s="63" t="s">
        <v>25</v>
      </c>
      <c r="B145" s="56">
        <v>0</v>
      </c>
      <c r="C145" s="56">
        <v>0</v>
      </c>
      <c r="D145" s="56">
        <v>0</v>
      </c>
      <c r="E145" s="56">
        <v>0</v>
      </c>
      <c r="F145" s="56">
        <v>0</v>
      </c>
      <c r="G145" s="56">
        <v>0</v>
      </c>
    </row>
    <row r="146" spans="1:7" ht="11.25" customHeight="1" x14ac:dyDescent="0.2">
      <c r="A146" s="64" t="s">
        <v>25</v>
      </c>
      <c r="B146" s="56">
        <v>0</v>
      </c>
      <c r="C146" s="56">
        <v>0</v>
      </c>
      <c r="D146" s="56">
        <v>0</v>
      </c>
      <c r="E146" s="56">
        <v>0</v>
      </c>
      <c r="F146" s="56">
        <v>0</v>
      </c>
      <c r="G146" s="56">
        <v>0</v>
      </c>
    </row>
    <row r="147" spans="1:7" ht="11.25" customHeight="1" x14ac:dyDescent="0.2">
      <c r="A147" s="65" t="s">
        <v>25</v>
      </c>
      <c r="B147" s="56">
        <v>0</v>
      </c>
      <c r="C147" s="56">
        <v>0</v>
      </c>
      <c r="D147" s="56">
        <v>0</v>
      </c>
      <c r="E147" s="56">
        <v>0</v>
      </c>
      <c r="F147" s="56">
        <v>0</v>
      </c>
      <c r="G147" s="56">
        <v>0</v>
      </c>
    </row>
    <row r="148" spans="1:7" ht="11.25" customHeight="1" x14ac:dyDescent="0.2">
      <c r="A148" s="66">
        <v>44287</v>
      </c>
      <c r="B148" s="56">
        <v>0</v>
      </c>
      <c r="C148" s="56">
        <v>0</v>
      </c>
      <c r="D148" s="56">
        <v>0</v>
      </c>
      <c r="E148" s="56">
        <v>0</v>
      </c>
      <c r="F148" s="56">
        <v>0</v>
      </c>
      <c r="G148" s="56">
        <v>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16FF2-06A1-4E54-8631-4E3E93B4546C}">
  <dimension ref="A1:H51"/>
  <sheetViews>
    <sheetView showGridLines="0" workbookViewId="0">
      <selection activeCell="H1" sqref="H1"/>
    </sheetView>
  </sheetViews>
  <sheetFormatPr defaultRowHeight="11.25" customHeight="1" x14ac:dyDescent="0.25"/>
  <cols>
    <col min="1" max="1" width="12.140625" style="8" bestFit="1" customWidth="1"/>
    <col min="2" max="2" width="15.85546875" style="8" bestFit="1" customWidth="1"/>
    <col min="3" max="3" width="4.7109375" style="8" bestFit="1" customWidth="1"/>
    <col min="4" max="4" width="6.42578125" style="8" bestFit="1" customWidth="1"/>
    <col min="5" max="5" width="8.42578125" style="8" bestFit="1" customWidth="1"/>
    <col min="6" max="6" width="9.140625" style="8"/>
    <col min="7" max="7" width="18.5703125" style="8" bestFit="1" customWidth="1"/>
    <col min="8" max="8" width="2" style="8" bestFit="1" customWidth="1"/>
    <col min="9" max="16384" width="9.140625" style="8"/>
  </cols>
  <sheetData>
    <row r="1" spans="1:8" s="7" customFormat="1" ht="11.25" customHeight="1" x14ac:dyDescent="0.25">
      <c r="A1" s="7" t="s">
        <v>55</v>
      </c>
      <c r="B1" s="7" t="s">
        <v>56</v>
      </c>
      <c r="C1" s="7" t="s">
        <v>57</v>
      </c>
      <c r="D1" s="7" t="s">
        <v>58</v>
      </c>
      <c r="E1" s="7" t="s">
        <v>59</v>
      </c>
      <c r="G1" s="7" t="s">
        <v>60</v>
      </c>
      <c r="H1" s="7">
        <f>COUNTA(A:A)</f>
        <v>51</v>
      </c>
    </row>
    <row r="2" spans="1:8" ht="11.25" customHeight="1" x14ac:dyDescent="0.25">
      <c r="A2" s="8" t="s">
        <v>308</v>
      </c>
      <c r="B2" s="8" t="s">
        <v>309</v>
      </c>
      <c r="C2" s="8" t="s">
        <v>310</v>
      </c>
      <c r="D2" s="8">
        <v>38</v>
      </c>
      <c r="E2" s="8" t="s">
        <v>311</v>
      </c>
    </row>
    <row r="3" spans="1:8" ht="11.25" customHeight="1" x14ac:dyDescent="0.25">
      <c r="A3" s="8" t="s">
        <v>308</v>
      </c>
      <c r="B3" s="8" t="s">
        <v>309</v>
      </c>
      <c r="C3" s="8" t="s">
        <v>310</v>
      </c>
      <c r="D3" s="8">
        <v>39</v>
      </c>
      <c r="E3" s="8" t="s">
        <v>311</v>
      </c>
    </row>
    <row r="4" spans="1:8" ht="11.25" customHeight="1" x14ac:dyDescent="0.25">
      <c r="A4" s="8" t="s">
        <v>308</v>
      </c>
      <c r="B4" s="8" t="s">
        <v>309</v>
      </c>
      <c r="C4" s="8" t="s">
        <v>310</v>
      </c>
      <c r="D4" s="8">
        <v>40</v>
      </c>
      <c r="E4" s="8" t="s">
        <v>311</v>
      </c>
    </row>
    <row r="5" spans="1:8" ht="11.25" customHeight="1" x14ac:dyDescent="0.25">
      <c r="A5" s="8" t="s">
        <v>308</v>
      </c>
      <c r="B5" s="8" t="s">
        <v>309</v>
      </c>
      <c r="C5" s="8" t="s">
        <v>310</v>
      </c>
      <c r="D5" s="8">
        <v>41</v>
      </c>
      <c r="E5" s="8" t="s">
        <v>311</v>
      </c>
    </row>
    <row r="6" spans="1:8" ht="11.25" customHeight="1" x14ac:dyDescent="0.25">
      <c r="A6" s="8" t="s">
        <v>308</v>
      </c>
      <c r="B6" s="8" t="s">
        <v>309</v>
      </c>
      <c r="C6" s="8" t="s">
        <v>310</v>
      </c>
      <c r="D6" s="8">
        <v>42</v>
      </c>
      <c r="E6" s="8" t="s">
        <v>311</v>
      </c>
    </row>
    <row r="7" spans="1:8" ht="11.25" customHeight="1" x14ac:dyDescent="0.25">
      <c r="A7" s="8" t="s">
        <v>308</v>
      </c>
      <c r="B7" s="8" t="s">
        <v>309</v>
      </c>
      <c r="C7" s="8" t="s">
        <v>310</v>
      </c>
      <c r="D7" s="8">
        <v>43</v>
      </c>
      <c r="E7" s="8" t="s">
        <v>311</v>
      </c>
    </row>
    <row r="8" spans="1:8" ht="11.25" customHeight="1" x14ac:dyDescent="0.25">
      <c r="A8" s="8" t="s">
        <v>308</v>
      </c>
      <c r="B8" s="8" t="s">
        <v>309</v>
      </c>
      <c r="C8" s="8" t="s">
        <v>310</v>
      </c>
      <c r="D8" s="8">
        <v>44</v>
      </c>
      <c r="E8" s="8" t="s">
        <v>311</v>
      </c>
    </row>
    <row r="9" spans="1:8" ht="11.25" customHeight="1" x14ac:dyDescent="0.25">
      <c r="A9" s="8" t="s">
        <v>308</v>
      </c>
      <c r="B9" s="8" t="s">
        <v>309</v>
      </c>
      <c r="C9" s="8" t="s">
        <v>310</v>
      </c>
      <c r="D9" s="8">
        <v>45</v>
      </c>
      <c r="E9" s="8" t="s">
        <v>311</v>
      </c>
    </row>
    <row r="10" spans="1:8" ht="11.25" customHeight="1" x14ac:dyDescent="0.25">
      <c r="A10" s="8" t="s">
        <v>308</v>
      </c>
      <c r="B10" s="8" t="s">
        <v>309</v>
      </c>
      <c r="C10" s="8" t="s">
        <v>310</v>
      </c>
      <c r="D10" s="8">
        <v>46</v>
      </c>
      <c r="E10" s="8" t="s">
        <v>311</v>
      </c>
    </row>
    <row r="11" spans="1:8" ht="11.25" customHeight="1" x14ac:dyDescent="0.25">
      <c r="A11" s="8" t="s">
        <v>308</v>
      </c>
      <c r="B11" s="8" t="s">
        <v>309</v>
      </c>
      <c r="C11" s="8" t="s">
        <v>310</v>
      </c>
      <c r="D11" s="8">
        <v>47</v>
      </c>
      <c r="E11" s="8" t="s">
        <v>311</v>
      </c>
    </row>
    <row r="12" spans="1:8" ht="11.25" customHeight="1" x14ac:dyDescent="0.25">
      <c r="A12" s="8" t="s">
        <v>308</v>
      </c>
      <c r="B12" s="8" t="s">
        <v>309</v>
      </c>
      <c r="C12" s="8" t="s">
        <v>310</v>
      </c>
      <c r="D12" s="8">
        <v>48</v>
      </c>
      <c r="E12" s="8" t="s">
        <v>311</v>
      </c>
    </row>
    <row r="13" spans="1:8" ht="11.25" customHeight="1" x14ac:dyDescent="0.25">
      <c r="A13" s="8" t="s">
        <v>308</v>
      </c>
      <c r="B13" s="8" t="s">
        <v>309</v>
      </c>
      <c r="C13" s="8" t="s">
        <v>310</v>
      </c>
      <c r="D13" s="8">
        <v>49</v>
      </c>
      <c r="E13" s="8" t="s">
        <v>311</v>
      </c>
    </row>
    <row r="14" spans="1:8" ht="11.25" customHeight="1" x14ac:dyDescent="0.25">
      <c r="A14" s="8" t="s">
        <v>308</v>
      </c>
      <c r="B14" s="8" t="s">
        <v>309</v>
      </c>
      <c r="C14" s="8" t="s">
        <v>310</v>
      </c>
      <c r="D14" s="8">
        <v>74</v>
      </c>
      <c r="E14" s="8" t="s">
        <v>311</v>
      </c>
    </row>
    <row r="15" spans="1:8" ht="11.25" customHeight="1" x14ac:dyDescent="0.25">
      <c r="A15" s="8" t="s">
        <v>308</v>
      </c>
      <c r="B15" s="8" t="s">
        <v>309</v>
      </c>
      <c r="C15" s="8" t="s">
        <v>310</v>
      </c>
      <c r="D15" s="8">
        <v>75</v>
      </c>
      <c r="E15" s="8" t="s">
        <v>311</v>
      </c>
    </row>
    <row r="16" spans="1:8" ht="11.25" customHeight="1" x14ac:dyDescent="0.25">
      <c r="A16" s="8" t="s">
        <v>308</v>
      </c>
      <c r="B16" s="8" t="s">
        <v>309</v>
      </c>
      <c r="C16" s="8" t="s">
        <v>310</v>
      </c>
      <c r="D16" s="8">
        <v>76</v>
      </c>
      <c r="E16" s="8" t="s">
        <v>311</v>
      </c>
    </row>
    <row r="17" spans="1:5" ht="11.25" customHeight="1" x14ac:dyDescent="0.25">
      <c r="A17" s="8" t="s">
        <v>308</v>
      </c>
      <c r="B17" s="8" t="s">
        <v>309</v>
      </c>
      <c r="C17" s="8" t="s">
        <v>310</v>
      </c>
      <c r="D17" s="8">
        <v>77</v>
      </c>
      <c r="E17" s="8" t="s">
        <v>311</v>
      </c>
    </row>
    <row r="18" spans="1:5" ht="11.25" customHeight="1" x14ac:dyDescent="0.25">
      <c r="A18" s="8" t="s">
        <v>308</v>
      </c>
      <c r="B18" s="8" t="s">
        <v>309</v>
      </c>
      <c r="C18" s="8" t="s">
        <v>310</v>
      </c>
      <c r="D18" s="8">
        <v>78</v>
      </c>
      <c r="E18" s="8" t="s">
        <v>311</v>
      </c>
    </row>
    <row r="19" spans="1:5" ht="11.25" customHeight="1" x14ac:dyDescent="0.25">
      <c r="A19" s="8" t="s">
        <v>308</v>
      </c>
      <c r="B19" s="8" t="s">
        <v>309</v>
      </c>
      <c r="C19" s="8" t="s">
        <v>310</v>
      </c>
      <c r="D19" s="8">
        <v>79</v>
      </c>
      <c r="E19" s="8" t="s">
        <v>311</v>
      </c>
    </row>
    <row r="20" spans="1:5" ht="11.25" customHeight="1" x14ac:dyDescent="0.25">
      <c r="A20" s="8" t="s">
        <v>308</v>
      </c>
      <c r="B20" s="8" t="s">
        <v>309</v>
      </c>
      <c r="C20" s="8" t="s">
        <v>310</v>
      </c>
      <c r="D20" s="8">
        <v>80</v>
      </c>
      <c r="E20" s="8" t="s">
        <v>311</v>
      </c>
    </row>
    <row r="21" spans="1:5" ht="11.25" customHeight="1" x14ac:dyDescent="0.25">
      <c r="A21" s="8" t="s">
        <v>308</v>
      </c>
      <c r="B21" s="8" t="s">
        <v>309</v>
      </c>
      <c r="C21" s="8" t="s">
        <v>310</v>
      </c>
      <c r="D21" s="8">
        <v>81</v>
      </c>
      <c r="E21" s="8" t="s">
        <v>311</v>
      </c>
    </row>
    <row r="22" spans="1:5" ht="11.25" customHeight="1" x14ac:dyDescent="0.25">
      <c r="A22" s="8" t="s">
        <v>308</v>
      </c>
      <c r="B22" s="8" t="s">
        <v>309</v>
      </c>
      <c r="C22" s="8" t="s">
        <v>310</v>
      </c>
      <c r="D22" s="8">
        <v>82</v>
      </c>
      <c r="E22" s="8" t="s">
        <v>311</v>
      </c>
    </row>
    <row r="23" spans="1:5" ht="11.25" customHeight="1" x14ac:dyDescent="0.25">
      <c r="A23" s="8" t="s">
        <v>308</v>
      </c>
      <c r="B23" s="8" t="s">
        <v>309</v>
      </c>
      <c r="C23" s="8" t="s">
        <v>310</v>
      </c>
      <c r="D23" s="8">
        <v>83</v>
      </c>
      <c r="E23" s="8" t="s">
        <v>311</v>
      </c>
    </row>
    <row r="24" spans="1:5" ht="11.25" customHeight="1" x14ac:dyDescent="0.25">
      <c r="A24" s="8" t="s">
        <v>308</v>
      </c>
      <c r="B24" s="8" t="s">
        <v>309</v>
      </c>
      <c r="C24" s="8" t="s">
        <v>310</v>
      </c>
      <c r="D24" s="8">
        <v>84</v>
      </c>
      <c r="E24" s="8" t="s">
        <v>311</v>
      </c>
    </row>
    <row r="25" spans="1:5" ht="11.25" customHeight="1" x14ac:dyDescent="0.25">
      <c r="A25" s="8" t="s">
        <v>308</v>
      </c>
      <c r="B25" s="8" t="s">
        <v>309</v>
      </c>
      <c r="C25" s="8" t="s">
        <v>310</v>
      </c>
      <c r="D25" s="8">
        <v>85</v>
      </c>
      <c r="E25" s="8" t="s">
        <v>311</v>
      </c>
    </row>
    <row r="26" spans="1:5" ht="11.25" customHeight="1" x14ac:dyDescent="0.25">
      <c r="A26" s="8" t="s">
        <v>308</v>
      </c>
      <c r="B26" s="8" t="s">
        <v>309</v>
      </c>
      <c r="C26" s="8" t="s">
        <v>310</v>
      </c>
      <c r="D26" s="8">
        <v>110</v>
      </c>
      <c r="E26" s="8" t="s">
        <v>311</v>
      </c>
    </row>
    <row r="27" spans="1:5" ht="11.25" customHeight="1" x14ac:dyDescent="0.25">
      <c r="A27" s="8" t="s">
        <v>308</v>
      </c>
      <c r="B27" s="8" t="s">
        <v>309</v>
      </c>
      <c r="C27" s="8" t="s">
        <v>310</v>
      </c>
      <c r="D27" s="8">
        <v>111</v>
      </c>
      <c r="E27" s="8" t="s">
        <v>311</v>
      </c>
    </row>
    <row r="28" spans="1:5" ht="11.25" customHeight="1" x14ac:dyDescent="0.25">
      <c r="A28" s="8" t="s">
        <v>308</v>
      </c>
      <c r="B28" s="8" t="s">
        <v>309</v>
      </c>
      <c r="C28" s="8" t="s">
        <v>310</v>
      </c>
      <c r="D28" s="8">
        <v>112</v>
      </c>
      <c r="E28" s="8" t="s">
        <v>311</v>
      </c>
    </row>
    <row r="29" spans="1:5" ht="11.25" customHeight="1" x14ac:dyDescent="0.25">
      <c r="A29" s="8" t="s">
        <v>308</v>
      </c>
      <c r="B29" s="8" t="s">
        <v>309</v>
      </c>
      <c r="C29" s="8" t="s">
        <v>310</v>
      </c>
      <c r="D29" s="8">
        <v>113</v>
      </c>
      <c r="E29" s="8" t="s">
        <v>311</v>
      </c>
    </row>
    <row r="30" spans="1:5" ht="11.25" customHeight="1" x14ac:dyDescent="0.25">
      <c r="A30" s="8" t="s">
        <v>308</v>
      </c>
      <c r="B30" s="8" t="s">
        <v>309</v>
      </c>
      <c r="C30" s="8" t="s">
        <v>310</v>
      </c>
      <c r="D30" s="8">
        <v>114</v>
      </c>
      <c r="E30" s="8" t="s">
        <v>311</v>
      </c>
    </row>
    <row r="31" spans="1:5" ht="11.25" customHeight="1" x14ac:dyDescent="0.25">
      <c r="A31" s="8" t="s">
        <v>308</v>
      </c>
      <c r="B31" s="8" t="s">
        <v>309</v>
      </c>
      <c r="C31" s="8" t="s">
        <v>310</v>
      </c>
      <c r="D31" s="8">
        <v>115</v>
      </c>
      <c r="E31" s="8" t="s">
        <v>311</v>
      </c>
    </row>
    <row r="32" spans="1:5" ht="11.25" customHeight="1" x14ac:dyDescent="0.25">
      <c r="A32" s="8" t="s">
        <v>308</v>
      </c>
      <c r="B32" s="8" t="s">
        <v>309</v>
      </c>
      <c r="C32" s="8" t="s">
        <v>310</v>
      </c>
      <c r="D32" s="8">
        <v>116</v>
      </c>
      <c r="E32" s="8" t="s">
        <v>311</v>
      </c>
    </row>
    <row r="33" spans="1:5" ht="11.25" customHeight="1" x14ac:dyDescent="0.25">
      <c r="A33" s="8" t="s">
        <v>308</v>
      </c>
      <c r="B33" s="8" t="s">
        <v>309</v>
      </c>
      <c r="C33" s="8" t="s">
        <v>310</v>
      </c>
      <c r="D33" s="8">
        <v>117</v>
      </c>
      <c r="E33" s="8" t="s">
        <v>311</v>
      </c>
    </row>
    <row r="34" spans="1:5" ht="11.25" customHeight="1" x14ac:dyDescent="0.25">
      <c r="A34" s="8" t="s">
        <v>308</v>
      </c>
      <c r="B34" s="8" t="s">
        <v>309</v>
      </c>
      <c r="C34" s="8" t="s">
        <v>310</v>
      </c>
      <c r="D34" s="8">
        <v>118</v>
      </c>
      <c r="E34" s="8" t="s">
        <v>311</v>
      </c>
    </row>
    <row r="35" spans="1:5" ht="11.25" customHeight="1" x14ac:dyDescent="0.25">
      <c r="A35" s="8" t="s">
        <v>308</v>
      </c>
      <c r="B35" s="8" t="s">
        <v>309</v>
      </c>
      <c r="C35" s="8" t="s">
        <v>310</v>
      </c>
      <c r="D35" s="8">
        <v>119</v>
      </c>
      <c r="E35" s="8" t="s">
        <v>311</v>
      </c>
    </row>
    <row r="36" spans="1:5" ht="11.25" customHeight="1" x14ac:dyDescent="0.25">
      <c r="A36" s="8" t="s">
        <v>308</v>
      </c>
      <c r="B36" s="8" t="s">
        <v>309</v>
      </c>
      <c r="C36" s="8" t="s">
        <v>310</v>
      </c>
      <c r="D36" s="8">
        <v>120</v>
      </c>
      <c r="E36" s="8" t="s">
        <v>311</v>
      </c>
    </row>
    <row r="37" spans="1:5" ht="11.25" customHeight="1" x14ac:dyDescent="0.25">
      <c r="A37" s="8" t="s">
        <v>308</v>
      </c>
      <c r="B37" s="8" t="s">
        <v>309</v>
      </c>
      <c r="C37" s="8" t="s">
        <v>310</v>
      </c>
      <c r="D37" s="8">
        <v>121</v>
      </c>
      <c r="E37" s="8" t="s">
        <v>311</v>
      </c>
    </row>
    <row r="38" spans="1:5" ht="11.25" customHeight="1" x14ac:dyDescent="0.25">
      <c r="A38" s="8" t="s">
        <v>308</v>
      </c>
      <c r="B38" s="8" t="s">
        <v>309</v>
      </c>
      <c r="C38" s="8" t="s">
        <v>310</v>
      </c>
      <c r="D38" s="8">
        <v>146</v>
      </c>
      <c r="E38" s="8" t="s">
        <v>311</v>
      </c>
    </row>
    <row r="39" spans="1:5" ht="11.25" customHeight="1" x14ac:dyDescent="0.25">
      <c r="A39" s="8" t="s">
        <v>308</v>
      </c>
      <c r="B39" s="8" t="s">
        <v>309</v>
      </c>
      <c r="C39" s="8" t="s">
        <v>310</v>
      </c>
      <c r="D39" s="8">
        <v>147</v>
      </c>
      <c r="E39" s="8" t="s">
        <v>311</v>
      </c>
    </row>
    <row r="40" spans="1:5" ht="11.25" customHeight="1" x14ac:dyDescent="0.25">
      <c r="A40" s="8" t="s">
        <v>308</v>
      </c>
      <c r="B40" s="8" t="s">
        <v>309</v>
      </c>
      <c r="C40" s="8" t="s">
        <v>310</v>
      </c>
      <c r="D40" s="8">
        <v>148</v>
      </c>
      <c r="E40" s="8" t="s">
        <v>311</v>
      </c>
    </row>
    <row r="41" spans="1:5" ht="11.25" customHeight="1" x14ac:dyDescent="0.25">
      <c r="A41" s="8" t="s">
        <v>308</v>
      </c>
      <c r="B41" s="8" t="s">
        <v>309</v>
      </c>
      <c r="C41" s="8" t="s">
        <v>310</v>
      </c>
      <c r="D41" s="8">
        <v>149</v>
      </c>
      <c r="E41" s="8" t="s">
        <v>311</v>
      </c>
    </row>
    <row r="42" spans="1:5" ht="11.25" customHeight="1" x14ac:dyDescent="0.25">
      <c r="A42" s="8" t="s">
        <v>308</v>
      </c>
      <c r="B42" s="8" t="s">
        <v>309</v>
      </c>
      <c r="C42" s="8" t="s">
        <v>310</v>
      </c>
      <c r="D42" s="8">
        <v>150</v>
      </c>
      <c r="E42" s="8" t="s">
        <v>311</v>
      </c>
    </row>
    <row r="43" spans="1:5" ht="11.25" customHeight="1" x14ac:dyDescent="0.25">
      <c r="A43" s="8" t="s">
        <v>308</v>
      </c>
      <c r="B43" s="8" t="s">
        <v>309</v>
      </c>
      <c r="C43" s="8" t="s">
        <v>310</v>
      </c>
      <c r="D43" s="8">
        <v>151</v>
      </c>
      <c r="E43" s="8" t="s">
        <v>311</v>
      </c>
    </row>
    <row r="44" spans="1:5" ht="11.25" customHeight="1" x14ac:dyDescent="0.25">
      <c r="A44" s="8" t="s">
        <v>308</v>
      </c>
      <c r="B44" s="8" t="s">
        <v>309</v>
      </c>
      <c r="C44" s="8" t="s">
        <v>310</v>
      </c>
      <c r="D44" s="8">
        <v>152</v>
      </c>
      <c r="E44" s="8" t="s">
        <v>311</v>
      </c>
    </row>
    <row r="45" spans="1:5" ht="11.25" customHeight="1" x14ac:dyDescent="0.25">
      <c r="A45" s="8" t="s">
        <v>308</v>
      </c>
      <c r="B45" s="8" t="s">
        <v>309</v>
      </c>
      <c r="C45" s="8" t="s">
        <v>310</v>
      </c>
      <c r="D45" s="8">
        <v>153</v>
      </c>
      <c r="E45" s="8" t="s">
        <v>311</v>
      </c>
    </row>
    <row r="46" spans="1:5" ht="11.25" customHeight="1" x14ac:dyDescent="0.25">
      <c r="A46" s="8" t="s">
        <v>308</v>
      </c>
      <c r="B46" s="8" t="s">
        <v>309</v>
      </c>
      <c r="C46" s="8" t="s">
        <v>310</v>
      </c>
      <c r="D46" s="8">
        <v>154</v>
      </c>
      <c r="E46" s="8" t="s">
        <v>311</v>
      </c>
    </row>
    <row r="47" spans="1:5" ht="11.25" customHeight="1" x14ac:dyDescent="0.25">
      <c r="A47" s="8" t="s">
        <v>308</v>
      </c>
      <c r="B47" s="8" t="s">
        <v>309</v>
      </c>
      <c r="C47" s="8" t="s">
        <v>310</v>
      </c>
      <c r="D47" s="8">
        <v>155</v>
      </c>
      <c r="E47" s="8" t="s">
        <v>311</v>
      </c>
    </row>
    <row r="48" spans="1:5" ht="11.25" customHeight="1" x14ac:dyDescent="0.25">
      <c r="A48" s="8" t="s">
        <v>308</v>
      </c>
      <c r="B48" s="8" t="s">
        <v>309</v>
      </c>
      <c r="C48" s="8" t="s">
        <v>310</v>
      </c>
      <c r="D48" s="8">
        <v>156</v>
      </c>
      <c r="E48" s="8" t="s">
        <v>311</v>
      </c>
    </row>
    <row r="49" spans="1:5" ht="11.25" customHeight="1" x14ac:dyDescent="0.25">
      <c r="A49" s="8" t="s">
        <v>308</v>
      </c>
      <c r="B49" s="8" t="s">
        <v>309</v>
      </c>
      <c r="C49" s="8" t="s">
        <v>310</v>
      </c>
      <c r="D49" s="8">
        <v>157</v>
      </c>
      <c r="E49" s="8" t="s">
        <v>311</v>
      </c>
    </row>
    <row r="50" spans="1:5" ht="11.25" customHeight="1" x14ac:dyDescent="0.25">
      <c r="A50" s="8" t="s">
        <v>308</v>
      </c>
      <c r="C50" s="8" t="s">
        <v>532</v>
      </c>
      <c r="D50" s="8">
        <v>39</v>
      </c>
      <c r="E50" s="8" t="s">
        <v>9</v>
      </c>
    </row>
    <row r="51" spans="1:5" ht="11.25" customHeight="1" x14ac:dyDescent="0.25">
      <c r="A51" s="8" t="s">
        <v>308</v>
      </c>
      <c r="C51" s="8" t="s">
        <v>532</v>
      </c>
      <c r="D51" s="8">
        <v>39</v>
      </c>
      <c r="E51" s="8" t="s">
        <v>9</v>
      </c>
    </row>
  </sheetData>
  <pageMargins left="0.511811024" right="0.511811024" top="0.78740157499999996" bottom="0.78740157499999996" header="0.31496062000000002" footer="0.3149606200000000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63841-CEBB-468F-B4CC-17886163513C}">
  <dimension ref="A1:V35"/>
  <sheetViews>
    <sheetView showGridLines="0" workbookViewId="0">
      <selection sqref="A1:J1"/>
    </sheetView>
  </sheetViews>
  <sheetFormatPr defaultRowHeight="11.25" customHeight="1" x14ac:dyDescent="0.25"/>
  <cols>
    <col min="1" max="1" width="9.28515625" style="74" bestFit="1" customWidth="1"/>
    <col min="2" max="2" width="11.140625" style="74" bestFit="1" customWidth="1"/>
    <col min="3" max="3" width="10.28515625" style="74" bestFit="1" customWidth="1"/>
    <col min="4" max="4" width="6.28515625" style="74" bestFit="1" customWidth="1"/>
    <col min="5" max="10" width="7.7109375" style="74" customWidth="1"/>
    <col min="11" max="12" width="9.140625" style="74"/>
    <col min="13" max="13" width="14.28515625" style="74" customWidth="1"/>
    <col min="14" max="14" width="16.7109375" style="74" customWidth="1"/>
    <col min="15" max="15" width="31.7109375" style="74" customWidth="1"/>
    <col min="16" max="22" width="7.7109375" style="74" customWidth="1"/>
    <col min="23" max="16384" width="9.140625" style="74"/>
  </cols>
  <sheetData>
    <row r="1" spans="1:22" ht="11.25" customHeight="1" x14ac:dyDescent="0.25">
      <c r="A1" s="124" t="s">
        <v>721</v>
      </c>
      <c r="B1" s="148"/>
      <c r="C1" s="148"/>
      <c r="D1" s="148"/>
      <c r="E1" s="148"/>
      <c r="F1" s="148"/>
      <c r="G1" s="148"/>
      <c r="H1" s="148"/>
      <c r="I1" s="148"/>
      <c r="J1" s="148"/>
      <c r="L1" s="124" t="s">
        <v>731</v>
      </c>
      <c r="M1" s="125"/>
      <c r="N1" s="125"/>
      <c r="O1" s="125"/>
      <c r="P1" s="125"/>
      <c r="Q1" s="125"/>
      <c r="R1" s="125"/>
      <c r="S1" s="125"/>
      <c r="T1" s="125"/>
      <c r="U1" s="125"/>
      <c r="V1" s="125"/>
    </row>
    <row r="2" spans="1:22" ht="11.25" customHeight="1" x14ac:dyDescent="0.25">
      <c r="A2" s="139" t="s">
        <v>61</v>
      </c>
      <c r="B2" s="139" t="s">
        <v>62</v>
      </c>
      <c r="C2" s="139" t="s">
        <v>722</v>
      </c>
      <c r="D2" s="139" t="s">
        <v>67</v>
      </c>
      <c r="E2" s="139" t="s">
        <v>723</v>
      </c>
      <c r="F2" s="146"/>
      <c r="G2" s="146"/>
      <c r="H2" s="139" t="s">
        <v>486</v>
      </c>
      <c r="I2" s="146"/>
      <c r="J2" s="146"/>
      <c r="L2" s="139" t="s">
        <v>61</v>
      </c>
      <c r="M2" s="139" t="s">
        <v>62</v>
      </c>
      <c r="N2" s="139" t="s">
        <v>63</v>
      </c>
      <c r="O2" s="139" t="s">
        <v>64</v>
      </c>
      <c r="P2" s="139" t="s">
        <v>67</v>
      </c>
      <c r="Q2" s="139" t="s">
        <v>723</v>
      </c>
      <c r="R2" s="147"/>
      <c r="S2" s="147"/>
      <c r="T2" s="139" t="s">
        <v>486</v>
      </c>
      <c r="U2" s="147"/>
      <c r="V2" s="147"/>
    </row>
    <row r="3" spans="1:22" ht="11.25" customHeight="1" x14ac:dyDescent="0.25">
      <c r="A3" s="146"/>
      <c r="B3" s="146"/>
      <c r="C3" s="146"/>
      <c r="D3" s="146"/>
      <c r="E3" s="139" t="s">
        <v>445</v>
      </c>
      <c r="F3" s="146"/>
      <c r="G3" s="91" t="s">
        <v>473</v>
      </c>
      <c r="H3" s="139" t="s">
        <v>445</v>
      </c>
      <c r="I3" s="146"/>
      <c r="J3" s="91" t="s">
        <v>473</v>
      </c>
      <c r="L3" s="147"/>
      <c r="M3" s="147"/>
      <c r="N3" s="147"/>
      <c r="O3" s="147"/>
      <c r="P3" s="147"/>
      <c r="Q3" s="139" t="s">
        <v>445</v>
      </c>
      <c r="R3" s="147"/>
      <c r="S3" s="91" t="s">
        <v>473</v>
      </c>
      <c r="T3" s="139" t="s">
        <v>445</v>
      </c>
      <c r="U3" s="147"/>
      <c r="V3" s="91" t="s">
        <v>473</v>
      </c>
    </row>
    <row r="4" spans="1:22" ht="11.25" customHeight="1" x14ac:dyDescent="0.25">
      <c r="A4" s="146"/>
      <c r="B4" s="146"/>
      <c r="C4" s="146"/>
      <c r="D4" s="146"/>
      <c r="E4" s="91" t="s">
        <v>724</v>
      </c>
      <c r="F4" s="91" t="s">
        <v>725</v>
      </c>
      <c r="G4" s="91" t="s">
        <v>725</v>
      </c>
      <c r="H4" s="91" t="s">
        <v>724</v>
      </c>
      <c r="I4" s="91" t="s">
        <v>725</v>
      </c>
      <c r="J4" s="91" t="s">
        <v>725</v>
      </c>
      <c r="L4" s="147"/>
      <c r="M4" s="147"/>
      <c r="N4" s="147"/>
      <c r="O4" s="147"/>
      <c r="P4" s="147"/>
      <c r="Q4" s="91" t="s">
        <v>724</v>
      </c>
      <c r="R4" s="91" t="s">
        <v>725</v>
      </c>
      <c r="S4" s="91" t="s">
        <v>725</v>
      </c>
      <c r="T4" s="91" t="s">
        <v>724</v>
      </c>
      <c r="U4" s="91" t="s">
        <v>725</v>
      </c>
      <c r="V4" s="91" t="s">
        <v>725</v>
      </c>
    </row>
    <row r="5" spans="1:22" ht="11.25" customHeight="1" x14ac:dyDescent="0.25">
      <c r="A5" s="145" t="s">
        <v>33</v>
      </c>
      <c r="B5" s="145" t="s">
        <v>41</v>
      </c>
      <c r="C5" s="145" t="s">
        <v>25</v>
      </c>
      <c r="D5" s="92" t="s">
        <v>726</v>
      </c>
      <c r="E5" s="44">
        <f ca="1">ROUND('TUSD BE'!$AM$5+'TUSD BF'!$AM$5+'TUSD CVA'!$AM$5,2)</f>
        <v>197.65</v>
      </c>
      <c r="F5" s="44">
        <f ca="1">ROUND('TUSD BE'!$AM$7+'TUSD BF'!$AM$7+'TUSD CVA'!$AM$7,2)</f>
        <v>136.86000000000001</v>
      </c>
      <c r="G5" s="44">
        <f>ROUND('TE BE'!$AA$5+'TE BF'!$AA$5+'TE CVA'!$AA$5,2)</f>
        <v>260.8</v>
      </c>
      <c r="H5" s="44">
        <f ca="1">ROUND('TUSD BE'!$AM$5,2)</f>
        <v>214.95</v>
      </c>
      <c r="I5" s="44">
        <f ca="1">ROUND('TUSD BE'!$AM$7,2)</f>
        <v>127.6</v>
      </c>
      <c r="J5" s="44">
        <f>ROUND('TE BE'!$AA$5,2)</f>
        <v>203.17</v>
      </c>
      <c r="L5" s="142" t="s">
        <v>22</v>
      </c>
      <c r="M5" s="142" t="s">
        <v>732</v>
      </c>
      <c r="N5" s="142" t="s">
        <v>733</v>
      </c>
      <c r="O5" s="142" t="s">
        <v>733</v>
      </c>
      <c r="P5" s="92" t="s">
        <v>726</v>
      </c>
      <c r="Q5" s="44">
        <v>0</v>
      </c>
      <c r="R5" s="44">
        <f ca="1">ROUND('TUSD BE'!$AM$17+'TUSD BF'!$AM$17+'TUSD CVA'!$AM$17,2)</f>
        <v>2303.84</v>
      </c>
      <c r="S5" s="44">
        <f>ROUND('TE BE'!$AA$8+'TE BF'!$AA$8+'TE CVA'!$AA$8,2)</f>
        <v>260.8</v>
      </c>
      <c r="T5" s="44">
        <v>0</v>
      </c>
      <c r="U5" s="44">
        <f ca="1">ROUND('TUSD BE'!$AM$17,2)</f>
        <v>2492.4699999999998</v>
      </c>
      <c r="V5" s="44">
        <f>ROUND('TE BE'!$AA$8,2)</f>
        <v>203.17</v>
      </c>
    </row>
    <row r="6" spans="1:22" ht="11.25" customHeight="1" x14ac:dyDescent="0.25">
      <c r="A6" s="146"/>
      <c r="B6" s="146"/>
      <c r="C6" s="146"/>
      <c r="D6" s="92" t="s">
        <v>727</v>
      </c>
      <c r="E6" s="44">
        <f ca="1">ROUND('TUSD BE'!$AM$6+'TUSD BF'!$AM$6+'TUSD CVA'!$AM$6,2)</f>
        <v>77.97</v>
      </c>
      <c r="F6" s="44">
        <f ca="1">ROUND('TUSD BE'!$AM$7+'TUSD BF'!$AM$7+'TUSD CVA'!$AM$7,2)</f>
        <v>136.86000000000001</v>
      </c>
      <c r="G6" s="44">
        <f>ROUND('TE BE'!$AA$6+'TE BF'!$AA$6+'TE CVA'!$AA$6,2)</f>
        <v>260.8</v>
      </c>
      <c r="H6" s="44">
        <f ca="1">ROUND('TUSD BE'!$AM$6,2)</f>
        <v>80.47</v>
      </c>
      <c r="I6" s="44">
        <f ca="1">ROUND('TUSD BE'!$AM$7,2)</f>
        <v>127.6</v>
      </c>
      <c r="J6" s="44">
        <f>ROUND('TE BE'!$AA$6,2)</f>
        <v>203.17</v>
      </c>
      <c r="L6" s="143"/>
      <c r="M6" s="143"/>
      <c r="N6" s="143"/>
      <c r="O6" s="143"/>
      <c r="P6" s="92" t="s">
        <v>734</v>
      </c>
      <c r="Q6" s="44">
        <v>0</v>
      </c>
      <c r="R6" s="44">
        <f ca="1">ROUND('TUSD BE'!$AM$18+'TUSD BF'!$AM$18+'TUSD CVA'!$AM$18,2)</f>
        <v>1456.16</v>
      </c>
      <c r="S6" s="44">
        <f>ROUND('TE BE'!$AA$9+'TE BF'!$AA$9+'TE CVA'!$AA$9,2)</f>
        <v>260.8</v>
      </c>
      <c r="T6" s="44">
        <v>0</v>
      </c>
      <c r="U6" s="44">
        <f ca="1">ROUND('TUSD BE'!$AM$18,2)</f>
        <v>1562.88</v>
      </c>
      <c r="V6" s="44">
        <f>ROUND('TE BE'!$AA$9,2)</f>
        <v>203.17</v>
      </c>
    </row>
    <row r="7" spans="1:22" ht="11.25" customHeight="1" x14ac:dyDescent="0.25">
      <c r="A7" s="146"/>
      <c r="B7" s="145" t="s">
        <v>728</v>
      </c>
      <c r="C7" s="145" t="s">
        <v>25</v>
      </c>
      <c r="D7" s="92" t="s">
        <v>726</v>
      </c>
      <c r="E7" s="44">
        <f ca="1">ROUND('TUSD BE'!$AM$5+'TUSD BF'!$AM$5+'TUSD CVA'!$AM$5,2)</f>
        <v>197.65</v>
      </c>
      <c r="F7" s="44">
        <f ca="1">ROUND('TUSD BE'!$AM$8+'TUSD BF'!$AM$8+'TUSD CVA'!$AM$8,2)</f>
        <v>23.78</v>
      </c>
      <c r="G7" s="44">
        <v>0</v>
      </c>
      <c r="H7" s="44">
        <f ca="1">ROUND('TUSD BE'!$AM$5,2)</f>
        <v>214.95</v>
      </c>
      <c r="I7" s="44">
        <f ca="1">ROUND('TUSD BE'!$AM$8,2)</f>
        <v>18.829999999999998</v>
      </c>
      <c r="J7" s="44">
        <v>0</v>
      </c>
      <c r="L7" s="143"/>
      <c r="M7" s="144"/>
      <c r="N7" s="144"/>
      <c r="O7" s="144"/>
      <c r="P7" s="92" t="s">
        <v>727</v>
      </c>
      <c r="Q7" s="44">
        <v>0</v>
      </c>
      <c r="R7" s="44">
        <f ca="1">ROUND('TUSD BE'!$AM$19+'TUSD BF'!$AM$19+'TUSD CVA'!$AM$19,2)</f>
        <v>608.47</v>
      </c>
      <c r="S7" s="44">
        <f>ROUND('TE BE'!$AA$10+'TE BF'!$AA$10+'TE CVA'!$AA$10,2)</f>
        <v>260.8</v>
      </c>
      <c r="T7" s="44">
        <v>0</v>
      </c>
      <c r="U7" s="44">
        <f ca="1">ROUND('TUSD BE'!$AM$19,2)</f>
        <v>633.29</v>
      </c>
      <c r="V7" s="44">
        <f>ROUND('TE BE'!$AA$10,2)</f>
        <v>203.17</v>
      </c>
    </row>
    <row r="8" spans="1:22" ht="11.25" customHeight="1" x14ac:dyDescent="0.25">
      <c r="A8" s="146"/>
      <c r="B8" s="146"/>
      <c r="C8" s="146"/>
      <c r="D8" s="92" t="s">
        <v>727</v>
      </c>
      <c r="E8" s="44">
        <f ca="1">ROUND('TUSD BE'!$AM$6+'TUSD BF'!$AM$6+'TUSD CVA'!$AM$6,2)</f>
        <v>77.97</v>
      </c>
      <c r="F8" s="44">
        <f ca="1">ROUND('TUSD BE'!$AM$8+'TUSD BF'!$AM$8+'TUSD CVA'!$AM$8,2)</f>
        <v>23.78</v>
      </c>
      <c r="G8" s="44">
        <v>0</v>
      </c>
      <c r="H8" s="44">
        <f ca="1">ROUND('TUSD BE'!$AM$6,2)</f>
        <v>80.47</v>
      </c>
      <c r="I8" s="44">
        <f ca="1">ROUND('TUSD BE'!$AM$8,2)</f>
        <v>18.829999999999998</v>
      </c>
      <c r="J8" s="44">
        <v>0</v>
      </c>
      <c r="L8" s="143"/>
      <c r="M8" s="92" t="s">
        <v>735</v>
      </c>
      <c r="N8" s="92" t="s">
        <v>733</v>
      </c>
      <c r="O8" s="92" t="s">
        <v>733</v>
      </c>
      <c r="P8" s="92" t="s">
        <v>729</v>
      </c>
      <c r="Q8" s="44">
        <v>0</v>
      </c>
      <c r="R8" s="44">
        <f ca="1">ROUND('TUSD BE'!$AM$25+'TUSD BF'!$AM$25+'TUSD CVA'!$AM$25,2)</f>
        <v>969.52</v>
      </c>
      <c r="S8" s="44">
        <f>ROUND('TE BE'!$AA$16+'TE BF'!$AA$16+'TE CVA'!$AA$16,2)</f>
        <v>260.8</v>
      </c>
      <c r="T8" s="44">
        <v>0</v>
      </c>
      <c r="U8" s="44">
        <f ca="1">ROUND('TUSD BE'!$AM$25,2)</f>
        <v>1029.22</v>
      </c>
      <c r="V8" s="44">
        <f>ROUND('TE BE'!$AA$16,2)</f>
        <v>203.17</v>
      </c>
    </row>
    <row r="9" spans="1:22" ht="11.25" customHeight="1" x14ac:dyDescent="0.25">
      <c r="A9" s="146"/>
      <c r="B9" s="145" t="s">
        <v>34</v>
      </c>
      <c r="C9" s="145" t="s">
        <v>25</v>
      </c>
      <c r="D9" s="92" t="s">
        <v>729</v>
      </c>
      <c r="E9" s="44">
        <f ca="1">ROUND('TUSD BE'!$AM$10+'TUSD BF'!$AM$10+'TUSD CVA'!$AM$10,2)</f>
        <v>77.97</v>
      </c>
      <c r="F9" s="44">
        <v>0</v>
      </c>
      <c r="G9" s="44">
        <v>0</v>
      </c>
      <c r="H9" s="44">
        <f ca="1">ROUND('TUSD BE'!$AM$10,2)</f>
        <v>80.47</v>
      </c>
      <c r="I9" s="44">
        <v>0</v>
      </c>
      <c r="J9" s="44">
        <v>0</v>
      </c>
      <c r="L9" s="143"/>
      <c r="M9" s="92" t="s">
        <v>737</v>
      </c>
      <c r="N9" s="92" t="s">
        <v>733</v>
      </c>
      <c r="O9" s="92" t="s">
        <v>733</v>
      </c>
      <c r="P9" s="92" t="s">
        <v>729</v>
      </c>
      <c r="Q9" s="44">
        <v>0</v>
      </c>
      <c r="R9" s="44">
        <f ca="1">ROUND('TUSD BE'!$AM$20+'TUSD BF'!$AM$20+'TUSD CVA'!$AM$20,2)</f>
        <v>969.52</v>
      </c>
      <c r="S9" s="44">
        <f>ROUND('TE BE'!$AA$11+'TE BF'!$AA$11+'TE CVA'!$AA$11,2)</f>
        <v>260.8</v>
      </c>
      <c r="T9" s="44">
        <v>0</v>
      </c>
      <c r="U9" s="44">
        <f ca="1">ROUND('TUSD BE'!$AM$20,2)</f>
        <v>1029.22</v>
      </c>
      <c r="V9" s="44">
        <f>ROUND('TE BE'!$AA$11,2)</f>
        <v>203.17</v>
      </c>
    </row>
    <row r="10" spans="1:22" ht="11.25" customHeight="1" x14ac:dyDescent="0.25">
      <c r="A10" s="146"/>
      <c r="B10" s="146"/>
      <c r="C10" s="146"/>
      <c r="D10" s="92" t="s">
        <v>726</v>
      </c>
      <c r="E10" s="44">
        <v>0</v>
      </c>
      <c r="F10" s="44">
        <f ca="1">ROUND('TUSD BE'!$AM$11+'TUSD BF'!$AM$11+'TUSD CVA'!$AM$11,2)</f>
        <v>4890.26</v>
      </c>
      <c r="G10" s="44">
        <f>ROUND('TE BE'!$AA$5+'TE BF'!$AA$5+'TE CVA'!$AA$5,2)</f>
        <v>260.8</v>
      </c>
      <c r="H10" s="44">
        <v>0</v>
      </c>
      <c r="I10" s="44">
        <f ca="1">ROUND('TUSD BE'!$AM$11,2)</f>
        <v>5297.28</v>
      </c>
      <c r="J10" s="44">
        <f>ROUND('TE BE'!$AA$5,2)</f>
        <v>203.17</v>
      </c>
      <c r="L10" s="143"/>
      <c r="M10" s="92" t="s">
        <v>735</v>
      </c>
      <c r="N10" s="92" t="s">
        <v>733</v>
      </c>
      <c r="O10" s="92" t="s">
        <v>736</v>
      </c>
      <c r="P10" s="92" t="s">
        <v>729</v>
      </c>
      <c r="Q10" s="44">
        <v>0</v>
      </c>
      <c r="R10" s="44">
        <f ca="1">ROUND('TUSD BE'!$AM$26+'TUSD BF'!$AM$26+'TUSD CVA'!$AM$26,2)</f>
        <v>837.8</v>
      </c>
      <c r="S10" s="44">
        <f>ROUND('TE BE'!$AA$17+'TE BF'!$AA$17+'TE CVA'!$AA$17,2)</f>
        <v>260.8</v>
      </c>
      <c r="T10" s="44">
        <v>0</v>
      </c>
      <c r="U10" s="44">
        <f ca="1">ROUND('TUSD BE'!$AM$26,2)</f>
        <v>902.53</v>
      </c>
      <c r="V10" s="44">
        <f>ROUND('TE BE'!$AA$17,2)</f>
        <v>203.17</v>
      </c>
    </row>
    <row r="11" spans="1:22" ht="11.25" customHeight="1" x14ac:dyDescent="0.25">
      <c r="A11" s="146"/>
      <c r="B11" s="146"/>
      <c r="C11" s="146"/>
      <c r="D11" s="92" t="s">
        <v>727</v>
      </c>
      <c r="E11" s="44">
        <v>0</v>
      </c>
      <c r="F11" s="44">
        <f ca="1">ROUND('TUSD BE'!$AM$12+'TUSD BF'!$AM$12+'TUSD CVA'!$AM$12,2)</f>
        <v>136.86000000000001</v>
      </c>
      <c r="G11" s="44">
        <f>ROUND('TE BE'!$AA$6+'TE BF'!$AA$6+'TE CVA'!$AA$6,2)</f>
        <v>260.8</v>
      </c>
      <c r="H11" s="44">
        <v>0</v>
      </c>
      <c r="I11" s="44">
        <f ca="1">ROUND('TUSD BE'!$AM$12,2)</f>
        <v>127.6</v>
      </c>
      <c r="J11" s="44">
        <f>ROUND('TE BE'!$AA$6,2)</f>
        <v>203.17</v>
      </c>
      <c r="L11" s="144"/>
      <c r="M11" s="92" t="s">
        <v>737</v>
      </c>
      <c r="N11" s="92" t="s">
        <v>733</v>
      </c>
      <c r="O11" s="92" t="s">
        <v>736</v>
      </c>
      <c r="P11" s="92" t="s">
        <v>729</v>
      </c>
      <c r="Q11" s="44">
        <v>0</v>
      </c>
      <c r="R11" s="44">
        <f ca="1">ROUND('TUSD BE'!$AM$21+'TUSD BF'!$AM$21+'TUSD CVA'!$AM$21,2)</f>
        <v>837.8</v>
      </c>
      <c r="S11" s="44">
        <f>ROUND('TE BE'!$AA$12+'TE BF'!$AA$12+'TE CVA'!$AA$12,2)</f>
        <v>260.8</v>
      </c>
      <c r="T11" s="44">
        <v>0</v>
      </c>
      <c r="U11" s="44">
        <f ca="1">ROUND('TUSD BE'!$AM$21,2)</f>
        <v>902.53</v>
      </c>
      <c r="V11" s="44">
        <f>ROUND('TE BE'!$AA$12,2)</f>
        <v>203.17</v>
      </c>
    </row>
    <row r="12" spans="1:22" ht="11.25" customHeight="1" x14ac:dyDescent="0.25">
      <c r="A12" s="146"/>
      <c r="B12" s="145" t="s">
        <v>730</v>
      </c>
      <c r="C12" s="145" t="s">
        <v>25</v>
      </c>
      <c r="D12" s="92" t="s">
        <v>729</v>
      </c>
      <c r="E12" s="44">
        <f ca="1">ROUND('TUSD BE'!$AM$10+'TUSD BF'!$AM$10+'TUSD CVA'!$AM$10,2)</f>
        <v>77.97</v>
      </c>
      <c r="F12" s="44">
        <v>0</v>
      </c>
      <c r="G12" s="44">
        <v>0</v>
      </c>
      <c r="H12" s="44">
        <f ca="1">ROUND('TUSD BE'!$AM$10,2)</f>
        <v>80.47</v>
      </c>
      <c r="I12" s="44">
        <v>0</v>
      </c>
      <c r="J12" s="44">
        <v>0</v>
      </c>
      <c r="L12" s="142" t="s">
        <v>43</v>
      </c>
      <c r="M12" s="142" t="s">
        <v>732</v>
      </c>
      <c r="N12" s="142" t="s">
        <v>738</v>
      </c>
      <c r="O12" s="142" t="s">
        <v>739</v>
      </c>
      <c r="P12" s="92" t="s">
        <v>726</v>
      </c>
      <c r="Q12" s="44">
        <v>0</v>
      </c>
      <c r="R12" s="44">
        <f ca="1">ROUND(('TUSD BE'!$AM$30+'TUSD BF'!$AM$30+'TUSD CVA'!$AM$30)*(1-CUSTOS!$M$38),2)</f>
        <v>2091.83</v>
      </c>
      <c r="S12" s="44">
        <f>ROUND(('TE BE'!$AA$21+'TE BF'!$AA$21+'TE CVA'!$AA$21)*(1-CUSTOS!$M$38),2)</f>
        <v>245.15</v>
      </c>
      <c r="T12" s="44">
        <v>0</v>
      </c>
      <c r="U12" s="44">
        <f ca="1">ROUND('TUSD BE'!$AM$30*(1-CUSTOS!$M$38),2)</f>
        <v>2262.0100000000002</v>
      </c>
      <c r="V12" s="44">
        <f>ROUND('TE BE'!$AA$21*(1-CUSTOS!$M$38),2)</f>
        <v>190.98</v>
      </c>
    </row>
    <row r="13" spans="1:22" ht="11.25" customHeight="1" x14ac:dyDescent="0.25">
      <c r="A13" s="146"/>
      <c r="B13" s="146"/>
      <c r="C13" s="146"/>
      <c r="D13" s="92" t="s">
        <v>726</v>
      </c>
      <c r="E13" s="44">
        <v>0</v>
      </c>
      <c r="F13" s="44">
        <f ca="1">ROUND('TUSD BE'!$AM$13+'TUSD BF'!$AM$13+'TUSD CVA'!$AM$13,2)</f>
        <v>4777.1899999999996</v>
      </c>
      <c r="G13" s="44">
        <v>0</v>
      </c>
      <c r="H13" s="44">
        <v>0</v>
      </c>
      <c r="I13" s="44">
        <f ca="1">ROUND('TUSD BE'!$AM$13,2)</f>
        <v>5188.51</v>
      </c>
      <c r="J13" s="44">
        <v>0</v>
      </c>
      <c r="L13" s="143"/>
      <c r="M13" s="143"/>
      <c r="N13" s="143"/>
      <c r="O13" s="143"/>
      <c r="P13" s="92" t="s">
        <v>734</v>
      </c>
      <c r="Q13" s="44">
        <v>0</v>
      </c>
      <c r="R13" s="44">
        <f ca="1">ROUND(('TUSD BE'!$AM$31+'TUSD BF'!$AM$31+'TUSD CVA'!$AM$31)*(1-CUSTOS!$M$38),2)</f>
        <v>1324.52</v>
      </c>
      <c r="S13" s="44">
        <f>ROUND(('TE BE'!$AA$22+'TE BF'!$AA$22+'TE CVA'!$AA$22)*(1-CUSTOS!$M$38),2)</f>
        <v>245.15</v>
      </c>
      <c r="T13" s="44">
        <v>0</v>
      </c>
      <c r="U13" s="44">
        <f ca="1">ROUND('TUSD BE'!$AM$31*(1-CUSTOS!$M$38),2)</f>
        <v>1420.56</v>
      </c>
      <c r="V13" s="44">
        <f>ROUND('TE BE'!$AA$22*(1-CUSTOS!$M$38),2)</f>
        <v>190.98</v>
      </c>
    </row>
    <row r="14" spans="1:22" ht="11.25" customHeight="1" x14ac:dyDescent="0.25">
      <c r="A14" s="146"/>
      <c r="B14" s="146"/>
      <c r="C14" s="146"/>
      <c r="D14" s="92" t="s">
        <v>727</v>
      </c>
      <c r="E14" s="44">
        <v>0</v>
      </c>
      <c r="F14" s="44">
        <f ca="1">ROUND('TUSD BE'!$AM$14+'TUSD BF'!$AM$14+'TUSD CVA'!$AM$14,2)</f>
        <v>23.78</v>
      </c>
      <c r="G14" s="44">
        <v>0</v>
      </c>
      <c r="H14" s="44">
        <v>0</v>
      </c>
      <c r="I14" s="44">
        <f ca="1">ROUND('TUSD BE'!$AM$14,2)</f>
        <v>18.829999999999998</v>
      </c>
      <c r="J14" s="44">
        <v>0</v>
      </c>
      <c r="L14" s="143"/>
      <c r="M14" s="144"/>
      <c r="N14" s="144"/>
      <c r="O14" s="144"/>
      <c r="P14" s="92" t="s">
        <v>727</v>
      </c>
      <c r="Q14" s="44">
        <v>0</v>
      </c>
      <c r="R14" s="44">
        <f ca="1">ROUND(('TUSD BE'!$AM$32+'TUSD BF'!$AM$32+'TUSD CVA'!$AM$32)*(1-CUSTOS!$M$38),2)</f>
        <v>557.21</v>
      </c>
      <c r="S14" s="44">
        <f>ROUND(('TE BE'!$AA$23+'TE BF'!$AA$23+'TE CVA'!$AA$23)*(1-CUSTOS!$M$38),2)</f>
        <v>245.15</v>
      </c>
      <c r="T14" s="44">
        <v>0</v>
      </c>
      <c r="U14" s="44">
        <f ca="1">ROUND('TUSD BE'!$AM$32*(1-CUSTOS!$M$38),2)</f>
        <v>579.11</v>
      </c>
      <c r="V14" s="44">
        <f>ROUND('TE BE'!$AA$23*(1-CUSTOS!$M$38),2)</f>
        <v>190.98</v>
      </c>
    </row>
    <row r="15" spans="1:22" ht="11.25" customHeight="1" x14ac:dyDescent="0.25">
      <c r="A15" s="146"/>
      <c r="B15" s="92" t="s">
        <v>80</v>
      </c>
      <c r="C15" s="92" t="s">
        <v>25</v>
      </c>
      <c r="D15" s="92" t="s">
        <v>729</v>
      </c>
      <c r="E15" s="44">
        <f ca="1">ROUND('TUSD BE'!$AM$9+'TUSD BF'!$AM$9+'TUSD CVA'!$AM$9,2)</f>
        <v>18.12</v>
      </c>
      <c r="F15" s="44">
        <v>0</v>
      </c>
      <c r="G15" s="44">
        <v>0</v>
      </c>
      <c r="H15" s="44">
        <f ca="1">ROUND('TUSD BE'!$AM$9,2)</f>
        <v>22.37</v>
      </c>
      <c r="I15" s="44">
        <v>0</v>
      </c>
      <c r="J15" s="44">
        <v>0</v>
      </c>
      <c r="L15" s="143"/>
      <c r="M15" s="92" t="s">
        <v>735</v>
      </c>
      <c r="N15" s="92" t="s">
        <v>738</v>
      </c>
      <c r="O15" s="92" t="s">
        <v>739</v>
      </c>
      <c r="P15" s="92" t="s">
        <v>729</v>
      </c>
      <c r="Q15" s="44">
        <v>0</v>
      </c>
      <c r="R15" s="44">
        <f ca="1">ROUND(('TUSD BE'!$AM$42+'TUSD BF'!$AM$42+'TUSD CVA'!$AM$42)*(1-CUSTOS!$M$38),2)</f>
        <v>911.35</v>
      </c>
      <c r="S15" s="44">
        <f>ROUND(('TE BE'!$AA$33+'TE BF'!$AA$33+'TE CVA'!$AA$33)*(1-CUSTOS!$M$38),2)</f>
        <v>245.15</v>
      </c>
      <c r="T15" s="44">
        <v>0</v>
      </c>
      <c r="U15" s="44">
        <f ca="1">ROUND(('TUSD BE'!$AM$42)*(1-CUSTOS!$M$38),2)</f>
        <v>967.47</v>
      </c>
      <c r="V15" s="44">
        <f>ROUND(('TE BE'!$AA$33)*(1-CUSTOS!$M$38),2)</f>
        <v>190.98</v>
      </c>
    </row>
    <row r="16" spans="1:22" ht="11.25" customHeight="1" x14ac:dyDescent="0.25">
      <c r="L16" s="143"/>
      <c r="M16" s="92" t="s">
        <v>737</v>
      </c>
      <c r="N16" s="92" t="s">
        <v>738</v>
      </c>
      <c r="O16" s="92" t="s">
        <v>739</v>
      </c>
      <c r="P16" s="92" t="s">
        <v>729</v>
      </c>
      <c r="Q16" s="44">
        <v>0</v>
      </c>
      <c r="R16" s="44">
        <f ca="1">ROUND(('TUSD BE'!$AM$33+'TUSD BF'!$AM$33+'TUSD CVA'!$AM$33)*(1-CUSTOS!$M$38),2)</f>
        <v>911.35</v>
      </c>
      <c r="S16" s="44">
        <f>ROUND(('TE BE'!$AA$24+'TE BF'!$AA$24+'TE CVA'!$AA$24)*(1-CUSTOS!$M$38),2)</f>
        <v>245.15</v>
      </c>
      <c r="T16" s="44">
        <v>0</v>
      </c>
      <c r="U16" s="44">
        <f ca="1">ROUND(('TUSD BE'!$AM$33)*(1-CUSTOS!$M$38),2)</f>
        <v>967.47</v>
      </c>
      <c r="V16" s="44">
        <f>ROUND(('TE BE'!$AA$24)*(1-CUSTOS!$M$38),2)</f>
        <v>190.98</v>
      </c>
    </row>
    <row r="17" spans="12:22" ht="11.25" customHeight="1" x14ac:dyDescent="0.25">
      <c r="L17" s="143"/>
      <c r="M17" s="142" t="s">
        <v>732</v>
      </c>
      <c r="N17" s="142" t="s">
        <v>738</v>
      </c>
      <c r="O17" s="142" t="s">
        <v>740</v>
      </c>
      <c r="P17" s="92" t="s">
        <v>726</v>
      </c>
      <c r="Q17" s="44">
        <v>0</v>
      </c>
      <c r="R17" s="44">
        <f ca="1">ROUND(('TUSD BE'!$AM$34+'TUSD BF'!$AM$34+'TUSD CVA'!$AM$34)*(1-CUSTOS!$M$39),2)</f>
        <v>2091.83</v>
      </c>
      <c r="S17" s="44">
        <f>ROUND(('TE BE'!$AA$25+'TE BF'!$AA$25+'TE CVA'!$AA$25)*(1-CUSTOS!$M$39),2)</f>
        <v>245.15</v>
      </c>
      <c r="T17" s="44">
        <v>0</v>
      </c>
      <c r="U17" s="44">
        <f ca="1">ROUND('TUSD BE'!$AM$34*(1-CUSTOS!$M$39),2)</f>
        <v>2262.0100000000002</v>
      </c>
      <c r="V17" s="44">
        <f>ROUND('TE BE'!$AA$25*(1-CUSTOS!$M$39),2)</f>
        <v>190.98</v>
      </c>
    </row>
    <row r="18" spans="12:22" ht="11.25" customHeight="1" x14ac:dyDescent="0.25">
      <c r="L18" s="143"/>
      <c r="M18" s="143"/>
      <c r="N18" s="143"/>
      <c r="O18" s="143"/>
      <c r="P18" s="92" t="s">
        <v>734</v>
      </c>
      <c r="Q18" s="44">
        <v>0</v>
      </c>
      <c r="R18" s="44">
        <f ca="1">ROUND(('TUSD BE'!$AM$35+'TUSD BF'!$AM$35+'TUSD CVA'!$AM$35)*(1-CUSTOS!$M$39),2)</f>
        <v>1324.52</v>
      </c>
      <c r="S18" s="44">
        <f>ROUND(('TE BE'!$AA$26+'TE BF'!$AA$26+'TE CVA'!$AA$26)*(1-CUSTOS!$M$39),2)</f>
        <v>245.15</v>
      </c>
      <c r="T18" s="44">
        <v>0</v>
      </c>
      <c r="U18" s="44">
        <f ca="1">ROUND('TUSD BE'!$AM$35*(1-CUSTOS!$M$39),2)</f>
        <v>1420.56</v>
      </c>
      <c r="V18" s="44">
        <f>ROUND('TE BE'!$AA$26*(1-CUSTOS!$M$39),2)</f>
        <v>190.98</v>
      </c>
    </row>
    <row r="19" spans="12:22" ht="11.25" customHeight="1" x14ac:dyDescent="0.25">
      <c r="L19" s="143"/>
      <c r="M19" s="144"/>
      <c r="N19" s="144"/>
      <c r="O19" s="144"/>
      <c r="P19" s="92" t="s">
        <v>727</v>
      </c>
      <c r="Q19" s="44">
        <v>0</v>
      </c>
      <c r="R19" s="44">
        <f ca="1">ROUND(('TUSD BE'!$AM$36+'TUSD BF'!$AM$36+'TUSD CVA'!$AM$36)*(1-CUSTOS!$M$39),2)</f>
        <v>557.21</v>
      </c>
      <c r="S19" s="44">
        <f>ROUND(('TE BE'!$AA$27+'TE BF'!$AA$27+'TE CVA'!$AA$27)*(1-CUSTOS!$M$39),2)</f>
        <v>245.15</v>
      </c>
      <c r="T19" s="44">
        <v>0</v>
      </c>
      <c r="U19" s="44">
        <f ca="1">ROUND('TUSD BE'!$AM$36*(1-CUSTOS!$M$39),2)</f>
        <v>579.11</v>
      </c>
      <c r="V19" s="44">
        <f>ROUND('TE BE'!$AA$27*(1-CUSTOS!$M$39),2)</f>
        <v>190.98</v>
      </c>
    </row>
    <row r="20" spans="12:22" ht="11.25" customHeight="1" x14ac:dyDescent="0.25">
      <c r="L20" s="143"/>
      <c r="M20" s="92" t="s">
        <v>735</v>
      </c>
      <c r="N20" s="92" t="s">
        <v>738</v>
      </c>
      <c r="O20" s="92" t="s">
        <v>740</v>
      </c>
      <c r="P20" s="92" t="s">
        <v>729</v>
      </c>
      <c r="Q20" s="44">
        <v>0</v>
      </c>
      <c r="R20" s="44">
        <f ca="1">ROUND(('TUSD BE'!$AM$42+'TUSD BF'!$AM$42+'TUSD CVA'!$AM$42)*(1-CUSTOS!$M$39),2)</f>
        <v>911.35</v>
      </c>
      <c r="S20" s="44">
        <f>ROUND(('TE BE'!$AA$33+'TE BF'!$AA$33+'TE CVA'!$AA$33)*(1-CUSTOS!$M$39),2)</f>
        <v>245.15</v>
      </c>
      <c r="T20" s="44">
        <v>0</v>
      </c>
      <c r="U20" s="44">
        <f ca="1">ROUND(('TUSD BE'!$AM$42)*(1-CUSTOS!$M$39),2)</f>
        <v>967.47</v>
      </c>
      <c r="V20" s="44">
        <f>ROUND(('TE BE'!$AA$33)*(1-CUSTOS!$M$39),2)</f>
        <v>190.98</v>
      </c>
    </row>
    <row r="21" spans="12:22" ht="11.25" customHeight="1" x14ac:dyDescent="0.25">
      <c r="L21" s="143"/>
      <c r="M21" s="92" t="s">
        <v>737</v>
      </c>
      <c r="N21" s="92" t="s">
        <v>738</v>
      </c>
      <c r="O21" s="92" t="s">
        <v>740</v>
      </c>
      <c r="P21" s="92" t="s">
        <v>729</v>
      </c>
      <c r="Q21" s="44">
        <v>0</v>
      </c>
      <c r="R21" s="44">
        <f ca="1">ROUND(('TUSD BE'!$AM$33+'TUSD BF'!$AM$33+'TUSD CVA'!$AM$33)*(1-CUSTOS!$M$39),2)</f>
        <v>911.35</v>
      </c>
      <c r="S21" s="44">
        <f>ROUND(('TE BE'!$AA$24+'TE BF'!$AA$24+'TE CVA'!$AA$24)*(1-CUSTOS!$M$39),2)</f>
        <v>245.15</v>
      </c>
      <c r="T21" s="44">
        <v>0</v>
      </c>
      <c r="U21" s="44">
        <f ca="1">ROUND(('TUSD BE'!$AM$33)*(1-CUSTOS!$M$39),2)</f>
        <v>967.47</v>
      </c>
      <c r="V21" s="44">
        <f>ROUND(('TE BE'!$AA$24)*(1-CUSTOS!$M$39),2)</f>
        <v>190.98</v>
      </c>
    </row>
    <row r="22" spans="12:22" ht="11.25" customHeight="1" x14ac:dyDescent="0.25">
      <c r="L22" s="143"/>
      <c r="M22" s="142" t="s">
        <v>732</v>
      </c>
      <c r="N22" s="142" t="s">
        <v>738</v>
      </c>
      <c r="O22" s="142" t="s">
        <v>741</v>
      </c>
      <c r="P22" s="92" t="s">
        <v>726</v>
      </c>
      <c r="Q22" s="44">
        <v>0</v>
      </c>
      <c r="R22" s="44">
        <f ca="1">ROUND(('TUSD BE'!$AM$38+'TUSD BF'!$AM$38+'TUSD CVA'!$AM$38)*(1-CUSTOS!$M$40),2)</f>
        <v>2047.32</v>
      </c>
      <c r="S22" s="44">
        <f>ROUND(('TE BE'!$AA$29+'TE BF'!$AA$29+'TE CVA'!$AA$29)*(1-CUSTOS!$M$40),2)</f>
        <v>239.94</v>
      </c>
      <c r="T22" s="44">
        <v>0</v>
      </c>
      <c r="U22" s="44">
        <f ca="1">ROUND('TUSD BE'!$AM$38*(1-CUSTOS!$M$40),2)</f>
        <v>2213.88</v>
      </c>
      <c r="V22" s="44">
        <f>ROUND('TE BE'!$AA$29*(1-CUSTOS!$M$40),2)</f>
        <v>186.91</v>
      </c>
    </row>
    <row r="23" spans="12:22" ht="11.25" customHeight="1" x14ac:dyDescent="0.25">
      <c r="L23" s="143"/>
      <c r="M23" s="143"/>
      <c r="N23" s="143"/>
      <c r="O23" s="143"/>
      <c r="P23" s="92" t="s">
        <v>734</v>
      </c>
      <c r="Q23" s="44">
        <v>0</v>
      </c>
      <c r="R23" s="44">
        <f ca="1">ROUND(('TUSD BE'!$AM$39+'TUSD BF'!$AM$39+'TUSD CVA'!$AM$39)*(1-CUSTOS!$M$40),2)</f>
        <v>1296.3399999999999</v>
      </c>
      <c r="S23" s="44">
        <f>ROUND(('TE BE'!$AA$30+'TE BF'!$AA$30+'TE CVA'!$AA$30)*(1-CUSTOS!$M$40),2)</f>
        <v>239.94</v>
      </c>
      <c r="T23" s="44">
        <v>0</v>
      </c>
      <c r="U23" s="44">
        <f ca="1">ROUND('TUSD BE'!$AM$39*(1-CUSTOS!$M$40),2)</f>
        <v>1390.33</v>
      </c>
      <c r="V23" s="44">
        <f>ROUND('TE BE'!$AA$30*(1-CUSTOS!$M$40),2)</f>
        <v>186.91</v>
      </c>
    </row>
    <row r="24" spans="12:22" ht="11.25" customHeight="1" x14ac:dyDescent="0.25">
      <c r="L24" s="143"/>
      <c r="M24" s="144"/>
      <c r="N24" s="144"/>
      <c r="O24" s="144"/>
      <c r="P24" s="92" t="s">
        <v>727</v>
      </c>
      <c r="Q24" s="44">
        <v>0</v>
      </c>
      <c r="R24" s="44">
        <f ca="1">ROUND(('TUSD BE'!$AM$40+'TUSD BF'!$AM$40+'TUSD CVA'!$AM$40)*(1-CUSTOS!$M$40),2)</f>
        <v>545.35</v>
      </c>
      <c r="S24" s="44">
        <f>ROUND(('TE BE'!$AA$31+'TE BF'!$AA$31+'TE CVA'!$AA$31)*(1-CUSTOS!$M$40),2)</f>
        <v>239.94</v>
      </c>
      <c r="T24" s="44">
        <v>0</v>
      </c>
      <c r="U24" s="44">
        <f ca="1">ROUND('TUSD BE'!$AM$40*(1-CUSTOS!$M$40),2)</f>
        <v>566.79</v>
      </c>
      <c r="V24" s="44">
        <f>ROUND('TE BE'!$AA$31*(1-CUSTOS!$M$40),2)</f>
        <v>186.91</v>
      </c>
    </row>
    <row r="25" spans="12:22" ht="11.25" customHeight="1" x14ac:dyDescent="0.25">
      <c r="L25" s="143"/>
      <c r="M25" s="92" t="s">
        <v>735</v>
      </c>
      <c r="N25" s="92" t="s">
        <v>738</v>
      </c>
      <c r="O25" s="92" t="s">
        <v>741</v>
      </c>
      <c r="P25" s="92" t="s">
        <v>729</v>
      </c>
      <c r="Q25" s="44">
        <v>0</v>
      </c>
      <c r="R25" s="44">
        <f ca="1">ROUND(('TUSD BE'!$AM$42+'TUSD BF'!$AM$42+'TUSD CVA'!$AM$42)*(1-CUSTOS!$M$40),2)</f>
        <v>891.96</v>
      </c>
      <c r="S25" s="44">
        <f>ROUND(('TE BE'!$AA$33+'TE BF'!$AA$33+'TE CVA'!$AA$33)*(1-CUSTOS!$M$40),2)</f>
        <v>239.94</v>
      </c>
      <c r="T25" s="44">
        <v>0</v>
      </c>
      <c r="U25" s="44">
        <f ca="1">ROUND(('TUSD BE'!$AM$42)*(1-CUSTOS!$M$40),2)</f>
        <v>946.89</v>
      </c>
      <c r="V25" s="44">
        <f>ROUND(('TE BE'!$AA$33)*(1-CUSTOS!$M$40),2)</f>
        <v>186.91</v>
      </c>
    </row>
    <row r="26" spans="12:22" ht="11.25" customHeight="1" x14ac:dyDescent="0.25">
      <c r="L26" s="144"/>
      <c r="M26" s="92" t="s">
        <v>737</v>
      </c>
      <c r="N26" s="92" t="s">
        <v>738</v>
      </c>
      <c r="O26" s="92" t="s">
        <v>741</v>
      </c>
      <c r="P26" s="92" t="s">
        <v>729</v>
      </c>
      <c r="Q26" s="44">
        <v>0</v>
      </c>
      <c r="R26" s="44">
        <f ca="1">ROUND(('TUSD BE'!$AM$33+'TUSD BF'!$AM$33+'TUSD CVA'!$AM$33)*(1-CUSTOS!$M$40),2)</f>
        <v>891.96</v>
      </c>
      <c r="S26" s="44">
        <f>ROUND(('TE BE'!$AA$24+'TE BF'!$AA$24+'TE CVA'!$AA$24)*(1-CUSTOS!$M$40),2)</f>
        <v>239.94</v>
      </c>
      <c r="T26" s="44">
        <v>0</v>
      </c>
      <c r="U26" s="44">
        <f ca="1">ROUND(('TUSD BE'!$AM$33)*(1-CUSTOS!$M$40),2)</f>
        <v>946.89</v>
      </c>
      <c r="V26" s="44">
        <f>ROUND(('TE BE'!$AA$24)*(1-CUSTOS!$M$40),2)</f>
        <v>186.91</v>
      </c>
    </row>
    <row r="27" spans="12:22" ht="11.25" customHeight="1" x14ac:dyDescent="0.25">
      <c r="L27" s="142" t="s">
        <v>39</v>
      </c>
      <c r="M27" s="142" t="s">
        <v>732</v>
      </c>
      <c r="N27" s="142" t="s">
        <v>729</v>
      </c>
      <c r="O27" s="142" t="s">
        <v>729</v>
      </c>
      <c r="P27" s="92" t="s">
        <v>726</v>
      </c>
      <c r="Q27" s="44">
        <v>0</v>
      </c>
      <c r="R27" s="44">
        <f ca="1">ROUND(('TUSD BE'!$AM$45+'TUSD BF'!$AM$45+'TUSD CVA'!$AM$45)*(1-CUSTOS!$M$31),2)</f>
        <v>2578.5500000000002</v>
      </c>
      <c r="S27" s="44">
        <f>ROUND(('TE BE'!$AA$36+'TE BF'!$AA$36+'TE CVA'!$AA$36)*(1-CUSTOS!$M$31),2)</f>
        <v>260.8</v>
      </c>
      <c r="T27" s="44">
        <v>0</v>
      </c>
      <c r="U27" s="44">
        <f ca="1">ROUND('TUSD BE'!$AM$45*(1-CUSTOS!$M$31),2)</f>
        <v>2793.72</v>
      </c>
      <c r="V27" s="44">
        <f>ROUND('TE BE'!$AA$36*(1-CUSTOS!$M$31),2)</f>
        <v>203.17</v>
      </c>
    </row>
    <row r="28" spans="12:22" ht="11.25" customHeight="1" x14ac:dyDescent="0.25">
      <c r="L28" s="143"/>
      <c r="M28" s="143"/>
      <c r="N28" s="143"/>
      <c r="O28" s="143"/>
      <c r="P28" s="92" t="s">
        <v>734</v>
      </c>
      <c r="Q28" s="44">
        <v>0</v>
      </c>
      <c r="R28" s="44">
        <f ca="1">ROUND(('TUSD BE'!$AM$46+'TUSD BF'!$AM$46+'TUSD CVA'!$AM$46)*(1-CUSTOS!$M$31),2)</f>
        <v>1620.98</v>
      </c>
      <c r="S28" s="44">
        <f>ROUND(('TE BE'!$AA$37+'TE BF'!$AA$37+'TE CVA'!$AA$37)*(1-CUSTOS!$M$31),2)</f>
        <v>260.8</v>
      </c>
      <c r="T28" s="44">
        <v>0</v>
      </c>
      <c r="U28" s="44">
        <f ca="1">ROUND('TUSD BE'!$AM$46*(1-CUSTOS!$M$31),2)</f>
        <v>1743.63</v>
      </c>
      <c r="V28" s="44">
        <f>ROUND('TE BE'!$AA$37*(1-CUSTOS!$M$31),2)</f>
        <v>203.17</v>
      </c>
    </row>
    <row r="29" spans="12:22" ht="11.25" customHeight="1" x14ac:dyDescent="0.25">
      <c r="L29" s="143"/>
      <c r="M29" s="144"/>
      <c r="N29" s="144"/>
      <c r="O29" s="144"/>
      <c r="P29" s="92" t="s">
        <v>727</v>
      </c>
      <c r="Q29" s="44">
        <v>0</v>
      </c>
      <c r="R29" s="44">
        <f ca="1">ROUND(('TUSD BE'!$AM$47+'TUSD BF'!$AM$47+'TUSD CVA'!$AM$47)*(1-CUSTOS!$M$31),2)</f>
        <v>663.41</v>
      </c>
      <c r="S29" s="44">
        <f>ROUND(('TE BE'!$AA$38+'TE BF'!$AA$38+'TE CVA'!$AA$38)*(1-CUSTOS!$M$31),2)</f>
        <v>260.8</v>
      </c>
      <c r="T29" s="44">
        <v>0</v>
      </c>
      <c r="U29" s="44">
        <f ca="1">ROUND('TUSD BE'!$AM$47*(1-CUSTOS!$M$31),2)</f>
        <v>693.54</v>
      </c>
      <c r="V29" s="44">
        <f>ROUND('TE BE'!$AA$38*(1-CUSTOS!$M$31),2)</f>
        <v>203.17</v>
      </c>
    </row>
    <row r="30" spans="12:22" ht="11.25" customHeight="1" x14ac:dyDescent="0.25">
      <c r="L30" s="143"/>
      <c r="M30" s="92" t="s">
        <v>735</v>
      </c>
      <c r="N30" s="92" t="s">
        <v>729</v>
      </c>
      <c r="O30" s="92" t="s">
        <v>729</v>
      </c>
      <c r="P30" s="92" t="s">
        <v>729</v>
      </c>
      <c r="Q30" s="44">
        <v>0</v>
      </c>
      <c r="R30" s="44">
        <f ca="1">ROUND(('TUSD BE'!$AM$49+'TUSD BF'!$AM$49+'TUSD CVA'!$AM$49)*(1-CUSTOS!$M$31),2)</f>
        <v>969.52</v>
      </c>
      <c r="S30" s="44">
        <f>ROUND(('TE BE'!$AA$40+'TE BF'!$AA$40+'TE CVA'!$AA$40)*(1-CUSTOS!$M$31),2)</f>
        <v>260.8</v>
      </c>
      <c r="T30" s="44">
        <v>0</v>
      </c>
      <c r="U30" s="44">
        <f ca="1">ROUND(('TUSD BE'!$AM$49)*(1-CUSTOS!$M$31),2)</f>
        <v>1029.22</v>
      </c>
      <c r="V30" s="44">
        <f>ROUND(('TE BE'!$AA$40)*(1-CUSTOS!$M$31),2)</f>
        <v>203.17</v>
      </c>
    </row>
    <row r="31" spans="12:22" ht="11.25" customHeight="1" x14ac:dyDescent="0.25">
      <c r="L31" s="144"/>
      <c r="M31" s="92" t="s">
        <v>737</v>
      </c>
      <c r="N31" s="92" t="s">
        <v>729</v>
      </c>
      <c r="O31" s="92" t="s">
        <v>729</v>
      </c>
      <c r="P31" s="92" t="s">
        <v>729</v>
      </c>
      <c r="Q31" s="44">
        <v>0</v>
      </c>
      <c r="R31" s="44">
        <f ca="1">ROUND(('TUSD BE'!$AM$48+'TUSD BF'!$AM$48+'TUSD CVA'!$AM$48)*(1-CUSTOS!$M$31),2)</f>
        <v>969.52</v>
      </c>
      <c r="S31" s="44">
        <f>ROUND(('TE BE'!$AA$39+'TE BF'!$AA$39+'TE CVA'!$AA$39)*(1-CUSTOS!$M$31),2)</f>
        <v>260.8</v>
      </c>
      <c r="T31" s="44">
        <v>0</v>
      </c>
      <c r="U31" s="44">
        <f ca="1">ROUND(('TUSD BE'!$AM$48)*(1-CUSTOS!$M$31),2)</f>
        <v>1029.22</v>
      </c>
      <c r="V31" s="44">
        <f>ROUND(('TE BE'!$AA$39)*(1-CUSTOS!$M$31),2)</f>
        <v>203.17</v>
      </c>
    </row>
    <row r="32" spans="12:22" ht="11.25" customHeight="1" x14ac:dyDescent="0.25">
      <c r="L32" s="142" t="s">
        <v>46</v>
      </c>
      <c r="M32" s="142" t="s">
        <v>737</v>
      </c>
      <c r="N32" s="142" t="s">
        <v>742</v>
      </c>
      <c r="O32" s="92" t="s">
        <v>743</v>
      </c>
      <c r="P32" s="92" t="s">
        <v>729</v>
      </c>
      <c r="Q32" s="44">
        <v>0</v>
      </c>
      <c r="R32" s="44">
        <f ca="1">ROUND(('TUSD BE'!$AM$50+'TUSD BF'!$AM$50+'TUSD CVA'!$AM$50),2)</f>
        <v>533.24</v>
      </c>
      <c r="S32" s="44">
        <f>ROUND(('TE BE'!$AA$41+'TE BF'!$AA$41+'TE CVA'!$AA$41),2)</f>
        <v>143.44</v>
      </c>
      <c r="T32" s="44">
        <v>0</v>
      </c>
      <c r="U32" s="44">
        <f ca="1">ROUND(('TUSD BE'!$AM$50),2)</f>
        <v>566.07000000000005</v>
      </c>
      <c r="V32" s="44">
        <f>ROUND(('TE BE'!$AA$41),2)</f>
        <v>111.74</v>
      </c>
    </row>
    <row r="33" spans="12:22" ht="11.25" customHeight="1" x14ac:dyDescent="0.25">
      <c r="L33" s="144"/>
      <c r="M33" s="144"/>
      <c r="N33" s="144"/>
      <c r="O33" s="92" t="s">
        <v>744</v>
      </c>
      <c r="P33" s="92" t="s">
        <v>729</v>
      </c>
      <c r="Q33" s="44">
        <v>0</v>
      </c>
      <c r="R33" s="44">
        <f ca="1">ROUND(('TUSD BE'!$AM$51+'TUSD BF'!$AM$51+'TUSD CVA'!$AM$51),2)</f>
        <v>581.71</v>
      </c>
      <c r="S33" s="44">
        <f>ROUND(('TE BE'!$AA$42+'TE BF'!$AA$42+'TE CVA'!$AA$42),2)</f>
        <v>156.47999999999999</v>
      </c>
      <c r="T33" s="44">
        <v>0</v>
      </c>
      <c r="U33" s="44">
        <f ca="1">ROUND(('TUSD BE'!$AM$51),2)</f>
        <v>617.53</v>
      </c>
      <c r="V33" s="44">
        <f>ROUND(('TE BE'!$AA$42),2)</f>
        <v>121.9</v>
      </c>
    </row>
    <row r="34" spans="12:22" ht="11.25" customHeight="1" x14ac:dyDescent="0.25">
      <c r="L34" s="142" t="s">
        <v>81</v>
      </c>
      <c r="M34" s="142" t="s">
        <v>745</v>
      </c>
      <c r="N34" s="92" t="s">
        <v>82</v>
      </c>
      <c r="O34" s="92" t="s">
        <v>729</v>
      </c>
      <c r="P34" s="92" t="s">
        <v>729</v>
      </c>
      <c r="Q34" s="44">
        <f ca="1">ROUND(('TUSD BE'!$AM$15+'TUSD BF'!$AM$15+'TUSD CVA'!$AM$15),2)</f>
        <v>7.15</v>
      </c>
      <c r="R34" s="44">
        <v>0</v>
      </c>
      <c r="S34" s="44">
        <v>0</v>
      </c>
      <c r="T34" s="44">
        <f ca="1">ROUND(('TUSD BE'!$AM$15),2)</f>
        <v>8.83</v>
      </c>
      <c r="U34" s="44">
        <v>0</v>
      </c>
      <c r="V34" s="44">
        <v>0</v>
      </c>
    </row>
    <row r="35" spans="12:22" ht="11.25" customHeight="1" x14ac:dyDescent="0.25">
      <c r="L35" s="144"/>
      <c r="M35" s="144"/>
      <c r="N35" s="92" t="s">
        <v>83</v>
      </c>
      <c r="O35" s="92" t="s">
        <v>729</v>
      </c>
      <c r="P35" s="92" t="s">
        <v>729</v>
      </c>
      <c r="Q35" s="44">
        <f ca="1">ROUND(('TUSD BE'!$AM$16+'TUSD BF'!$AM$16+'TUSD CVA'!$AM$16),2)</f>
        <v>23.01</v>
      </c>
      <c r="R35" s="44">
        <v>0</v>
      </c>
      <c r="S35" s="44">
        <v>0</v>
      </c>
      <c r="T35" s="44">
        <f ca="1">ROUND(('TUSD BE'!$AM$16),2)</f>
        <v>28.42</v>
      </c>
      <c r="U35" s="44">
        <v>0</v>
      </c>
      <c r="V35" s="44">
        <v>0</v>
      </c>
    </row>
  </sheetData>
  <mergeCells count="51">
    <mergeCell ref="C5:C6"/>
    <mergeCell ref="C7:C8"/>
    <mergeCell ref="C9:C11"/>
    <mergeCell ref="C12:C14"/>
    <mergeCell ref="A1:J1"/>
    <mergeCell ref="A2:A4"/>
    <mergeCell ref="B2:B4"/>
    <mergeCell ref="C2:C4"/>
    <mergeCell ref="D2:D4"/>
    <mergeCell ref="E2:G2"/>
    <mergeCell ref="E3:F3"/>
    <mergeCell ref="H2:J2"/>
    <mergeCell ref="H3:I3"/>
    <mergeCell ref="A5:A15"/>
    <mergeCell ref="B5:B6"/>
    <mergeCell ref="B7:B8"/>
    <mergeCell ref="B9:B11"/>
    <mergeCell ref="B12:B14"/>
    <mergeCell ref="L1:V1"/>
    <mergeCell ref="L2:L4"/>
    <mergeCell ref="M2:M4"/>
    <mergeCell ref="N2:N4"/>
    <mergeCell ref="O2:O4"/>
    <mergeCell ref="P2:P4"/>
    <mergeCell ref="Q2:S2"/>
    <mergeCell ref="Q3:R3"/>
    <mergeCell ref="T2:V2"/>
    <mergeCell ref="T3:U3"/>
    <mergeCell ref="L5:L11"/>
    <mergeCell ref="L12:L26"/>
    <mergeCell ref="N5:N7"/>
    <mergeCell ref="N12:N14"/>
    <mergeCell ref="L27:L31"/>
    <mergeCell ref="L32:L33"/>
    <mergeCell ref="L34:L35"/>
    <mergeCell ref="M32:M33"/>
    <mergeCell ref="M34:M35"/>
    <mergeCell ref="N17:N19"/>
    <mergeCell ref="N22:N24"/>
    <mergeCell ref="N27:N29"/>
    <mergeCell ref="N32:N33"/>
    <mergeCell ref="M5:M7"/>
    <mergeCell ref="M12:M14"/>
    <mergeCell ref="M17:M19"/>
    <mergeCell ref="M22:M24"/>
    <mergeCell ref="M27:M29"/>
    <mergeCell ref="O5:O7"/>
    <mergeCell ref="O12:O14"/>
    <mergeCell ref="O17:O19"/>
    <mergeCell ref="O22:O24"/>
    <mergeCell ref="O27:O29"/>
  </mergeCells>
  <pageMargins left="0.511811024" right="0.511811024" top="0.78740157499999996" bottom="0.78740157499999996" header="0.31496062000000002" footer="0.3149606200000000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DE840-00A9-4A27-8231-BA9CA02D079F}">
  <dimension ref="A1:AN469"/>
  <sheetViews>
    <sheetView showGridLines="0" workbookViewId="0">
      <selection sqref="A1:O469 Q1:AJ13"/>
    </sheetView>
  </sheetViews>
  <sheetFormatPr defaultRowHeight="11.25" customHeight="1" x14ac:dyDescent="0.25"/>
  <cols>
    <col min="1" max="1" width="19.140625" style="3" bestFit="1" customWidth="1"/>
    <col min="2" max="2" width="8.7109375" style="3" bestFit="1" customWidth="1"/>
    <col min="3" max="3" width="10.28515625" style="3" bestFit="1" customWidth="1"/>
    <col min="4" max="4" width="13.5703125" style="3" bestFit="1" customWidth="1"/>
    <col min="5" max="5" width="25.140625" style="3" bestFit="1" customWidth="1"/>
    <col min="6" max="6" width="12.85546875" style="3" bestFit="1" customWidth="1"/>
    <col min="7" max="8" width="10.28515625" style="3" bestFit="1" customWidth="1"/>
    <col min="9" max="9" width="8.7109375" style="6" bestFit="1" customWidth="1"/>
    <col min="10" max="10" width="10.140625" style="4" bestFit="1" customWidth="1"/>
    <col min="11" max="11" width="10.5703125" style="4" bestFit="1" customWidth="1"/>
    <col min="12" max="12" width="9.42578125" style="4" bestFit="1" customWidth="1"/>
    <col min="13" max="13" width="13.7109375" style="4" bestFit="1" customWidth="1"/>
    <col min="14" max="14" width="14.140625" style="4" bestFit="1" customWidth="1"/>
    <col min="15" max="15" width="12.85546875" style="4" bestFit="1" customWidth="1"/>
    <col min="16" max="16" width="7.85546875" style="4" bestFit="1" customWidth="1"/>
    <col min="17" max="17" width="9.28515625" style="3" bestFit="1" customWidth="1"/>
    <col min="18" max="18" width="18.85546875" style="3" bestFit="1" customWidth="1"/>
    <col min="19" max="19" width="20.28515625" style="3" bestFit="1" customWidth="1"/>
    <col min="20" max="20" width="18.140625" style="3" bestFit="1" customWidth="1"/>
    <col min="21" max="21" width="17" style="3" bestFit="1" customWidth="1"/>
    <col min="22" max="22" width="18.5703125" style="3" bestFit="1" customWidth="1"/>
    <col min="23" max="23" width="16.28515625" style="3" bestFit="1" customWidth="1"/>
    <col min="24" max="24" width="16.7109375" style="3" bestFit="1" customWidth="1"/>
    <col min="25" max="25" width="18.28515625" style="3" bestFit="1" customWidth="1"/>
    <col min="26" max="26" width="16" style="3" bestFit="1" customWidth="1"/>
    <col min="27" max="27" width="16.85546875" style="3" bestFit="1" customWidth="1"/>
    <col min="28" max="28" width="18.42578125" style="3" bestFit="1" customWidth="1"/>
    <col min="29" max="29" width="16.140625" style="3" bestFit="1" customWidth="1"/>
    <col min="30" max="30" width="17.28515625" style="3" bestFit="1" customWidth="1"/>
    <col min="31" max="31" width="21.5703125" style="3" bestFit="1" customWidth="1"/>
    <col min="32" max="32" width="11.42578125" style="3" bestFit="1" customWidth="1"/>
    <col min="33" max="33" width="12.85546875" style="3" bestFit="1" customWidth="1"/>
    <col min="34" max="34" width="10.7109375" style="3" bestFit="1" customWidth="1"/>
    <col min="35" max="35" width="11.7109375" style="3" bestFit="1" customWidth="1"/>
    <col min="36" max="36" width="16" style="3" bestFit="1" customWidth="1"/>
    <col min="37" max="37" width="9.140625" style="3"/>
    <col min="38" max="38" width="8.7109375" style="3" bestFit="1" customWidth="1"/>
    <col min="39" max="39" width="5.5703125" style="3" bestFit="1" customWidth="1"/>
    <col min="40" max="40" width="14.7109375" style="3" bestFit="1" customWidth="1"/>
    <col min="41" max="16384" width="9.140625" style="3"/>
  </cols>
  <sheetData>
    <row r="1" spans="1:40" s="1" customFormat="1" ht="11.25" customHeight="1" x14ac:dyDescent="0.25">
      <c r="A1" s="51" t="s">
        <v>0</v>
      </c>
      <c r="B1" s="51" t="s">
        <v>1</v>
      </c>
      <c r="C1" s="51" t="s">
        <v>2</v>
      </c>
      <c r="D1" s="51" t="s">
        <v>3</v>
      </c>
      <c r="E1" s="51" t="s">
        <v>4</v>
      </c>
      <c r="F1" s="51" t="s">
        <v>5</v>
      </c>
      <c r="G1" s="51" t="s">
        <v>6</v>
      </c>
      <c r="H1" s="51" t="s">
        <v>7</v>
      </c>
      <c r="I1" s="70" t="s">
        <v>8</v>
      </c>
      <c r="J1" s="85" t="s">
        <v>692</v>
      </c>
      <c r="K1" s="85" t="s">
        <v>693</v>
      </c>
      <c r="L1" s="85" t="s">
        <v>694</v>
      </c>
      <c r="M1" s="85" t="s">
        <v>695</v>
      </c>
      <c r="N1" s="85" t="s">
        <v>696</v>
      </c>
      <c r="O1" s="85" t="s">
        <v>697</v>
      </c>
      <c r="P1" s="84"/>
      <c r="Q1" s="139" t="s">
        <v>698</v>
      </c>
      <c r="R1" s="147"/>
      <c r="S1" s="147"/>
      <c r="T1" s="147"/>
      <c r="U1" s="147"/>
      <c r="V1" s="147"/>
      <c r="W1" s="147"/>
      <c r="X1" s="147"/>
      <c r="Y1" s="147"/>
      <c r="Z1" s="147"/>
      <c r="AA1" s="147"/>
      <c r="AB1" s="147"/>
      <c r="AC1" s="147"/>
      <c r="AD1" s="147"/>
      <c r="AE1" s="147"/>
      <c r="AF1" s="147"/>
      <c r="AG1" s="147"/>
      <c r="AH1" s="147"/>
      <c r="AI1" s="147"/>
      <c r="AJ1" s="147"/>
      <c r="AL1" s="51" t="s">
        <v>719</v>
      </c>
      <c r="AM1" s="51" t="s">
        <v>58</v>
      </c>
      <c r="AN1" s="51" t="s">
        <v>720</v>
      </c>
    </row>
    <row r="2" spans="1:40" ht="11.25" customHeight="1" x14ac:dyDescent="0.2">
      <c r="A2" s="52" t="s">
        <v>21</v>
      </c>
      <c r="B2" s="52" t="s">
        <v>33</v>
      </c>
      <c r="C2" s="52" t="s">
        <v>41</v>
      </c>
      <c r="D2" s="52" t="s">
        <v>40</v>
      </c>
      <c r="E2" s="52" t="s">
        <v>25</v>
      </c>
      <c r="F2" s="52" t="s">
        <v>25</v>
      </c>
      <c r="G2" s="52" t="s">
        <v>25</v>
      </c>
      <c r="H2" s="52" t="s">
        <v>36</v>
      </c>
      <c r="I2" s="71">
        <v>44287</v>
      </c>
      <c r="J2" s="72">
        <f ca="1">EFEITO!$J$2*EFEITO!$Y$2</f>
        <v>7173.2452207111919</v>
      </c>
      <c r="K2" s="72">
        <f ca="1">EFEITO!$L$2*EFEITO!$Z$2</f>
        <v>7526.0946146523038</v>
      </c>
      <c r="L2" s="72">
        <f>EFEITO!$N$2*EFEITO!$AA$2</f>
        <v>14342.086383501453</v>
      </c>
      <c r="M2" s="72">
        <f ca="1">$J$2-EFEITO!$K$2*EFEITO!$Y$2</f>
        <v>0</v>
      </c>
      <c r="N2" s="72">
        <f ca="1">$K$2-EFEITO!$M$2*EFEITO!$Z$2</f>
        <v>0</v>
      </c>
      <c r="O2" s="72">
        <f>$L$2-EFEITO!$O$2*EFEITO!$AA$2</f>
        <v>0</v>
      </c>
      <c r="P2" s="56"/>
      <c r="Q2" s="43" t="s">
        <v>61</v>
      </c>
      <c r="R2" s="43" t="s">
        <v>700</v>
      </c>
      <c r="S2" s="43" t="s">
        <v>701</v>
      </c>
      <c r="T2" s="43" t="s">
        <v>702</v>
      </c>
      <c r="U2" s="43" t="s">
        <v>703</v>
      </c>
      <c r="V2" s="43" t="s">
        <v>704</v>
      </c>
      <c r="W2" s="43" t="s">
        <v>705</v>
      </c>
      <c r="X2" s="73" t="s">
        <v>706</v>
      </c>
      <c r="Y2" s="73" t="s">
        <v>707</v>
      </c>
      <c r="Z2" s="73" t="s">
        <v>708</v>
      </c>
      <c r="AA2" s="73" t="s">
        <v>709</v>
      </c>
      <c r="AB2" s="73" t="s">
        <v>710</v>
      </c>
      <c r="AC2" s="73" t="s">
        <v>711</v>
      </c>
      <c r="AD2" s="73" t="s">
        <v>712</v>
      </c>
      <c r="AE2" s="73" t="s">
        <v>713</v>
      </c>
      <c r="AF2" s="73" t="s">
        <v>714</v>
      </c>
      <c r="AG2" s="73" t="s">
        <v>715</v>
      </c>
      <c r="AH2" s="73" t="s">
        <v>716</v>
      </c>
      <c r="AI2" s="73" t="s">
        <v>717</v>
      </c>
      <c r="AJ2" s="73" t="s">
        <v>718</v>
      </c>
      <c r="AL2" s="52"/>
      <c r="AM2" s="52"/>
      <c r="AN2" s="52"/>
    </row>
    <row r="3" spans="1:40" ht="11.25" customHeight="1" x14ac:dyDescent="0.2">
      <c r="A3" s="52" t="s">
        <v>21</v>
      </c>
      <c r="B3" s="52" t="s">
        <v>33</v>
      </c>
      <c r="C3" s="52" t="s">
        <v>41</v>
      </c>
      <c r="D3" s="52" t="s">
        <v>40</v>
      </c>
      <c r="E3" s="52" t="s">
        <v>25</v>
      </c>
      <c r="F3" s="52" t="s">
        <v>25</v>
      </c>
      <c r="G3" s="52" t="s">
        <v>25</v>
      </c>
      <c r="H3" s="52" t="s">
        <v>36</v>
      </c>
      <c r="I3" s="71">
        <v>44317</v>
      </c>
      <c r="J3" s="72">
        <f ca="1">EFEITO!$J$3*EFEITO!$Y$3</f>
        <v>7173.2452207111919</v>
      </c>
      <c r="K3" s="72">
        <f ca="1">EFEITO!$L$3*EFEITO!$Z$3</f>
        <v>7895.7480470456676</v>
      </c>
      <c r="L3" s="72">
        <f>EFEITO!$N$3*EFEITO!$AA$3</f>
        <v>15046.51566997653</v>
      </c>
      <c r="M3" s="72">
        <f ca="1">$J$3-EFEITO!$K$3*EFEITO!$Y$3</f>
        <v>0</v>
      </c>
      <c r="N3" s="72">
        <f ca="1">$K$3-EFEITO!$M$3*EFEITO!$Z$3</f>
        <v>0</v>
      </c>
      <c r="O3" s="72">
        <f>$L$3-EFEITO!$O$3*EFEITO!$AA$3</f>
        <v>0</v>
      </c>
      <c r="P3" s="56"/>
      <c r="Q3" s="72" t="s">
        <v>699</v>
      </c>
      <c r="R3" s="72">
        <f>SUMIF($B$2:$B$469,$Q$3,$J$2:$J$469)</f>
        <v>0</v>
      </c>
      <c r="S3" s="72">
        <f>SUMIF($B$2:$B$469,$Q$3,$K$2:$K$469)</f>
        <v>0</v>
      </c>
      <c r="T3" s="72">
        <f>SUMIF($B$2:$B$469,$Q$3,$L$2:$L$469)</f>
        <v>0</v>
      </c>
      <c r="U3" s="72">
        <f>SUMIF($B$2:$B$469,$Q$3,$M$2:$M$469)</f>
        <v>0</v>
      </c>
      <c r="V3" s="72">
        <f>SUMIF($B$2:$B$469,$Q$3,$N$2:$N$469)</f>
        <v>0</v>
      </c>
      <c r="W3" s="72">
        <f>SUMIF($B$2:$B$469,$Q$3,$O$2:$O$469)</f>
        <v>0</v>
      </c>
      <c r="X3" s="53">
        <f>$R$3-$U$3</f>
        <v>0</v>
      </c>
      <c r="Y3" s="53">
        <f>$S$3-$V$3</f>
        <v>0</v>
      </c>
      <c r="Z3" s="53">
        <f>$T$3-$W$3</f>
        <v>0</v>
      </c>
      <c r="AA3" s="53">
        <f>SUMIF(EFEITO!$B$2:$B$469,$Q$3,EFEITO!$AE$2:$AE$469)</f>
        <v>0</v>
      </c>
      <c r="AB3" s="53">
        <f>SUMIF(EFEITO!$B$2:$B$469,$Q$3,EFEITO!$AF$2:$AF$469)</f>
        <v>0</v>
      </c>
      <c r="AC3" s="53">
        <f>SUMIF(EFEITO!$B$2:$B$469,$Q$3,EFEITO!$AG$2:$AH$469)</f>
        <v>0</v>
      </c>
      <c r="AD3" s="53">
        <f>SUMIF(SUBSIDIO!$B$2:$B$469,$Q$3,SUBSIDIO!$AD$2:$AD$469)</f>
        <v>0</v>
      </c>
      <c r="AE3" s="53">
        <f>SUMIF(SUBSIDIO!$B$2:$B$469,$Q$3,SUBSIDIO!$AE$2:$AE$469)</f>
        <v>0</v>
      </c>
      <c r="AF3" s="53" t="str">
        <f>IF(ABS($X$3-$AA$3)&lt;0.01,"OK","ERRO")</f>
        <v>OK</v>
      </c>
      <c r="AG3" s="53" t="str">
        <f>IF(ABS($Y$3-$AB$3)&lt;0.01,"OK","ERRO")</f>
        <v>OK</v>
      </c>
      <c r="AH3" s="53" t="str">
        <f>IF(ABS($Z$3-$AC$3)&lt;0.01,"OK","ERRO")</f>
        <v>OK</v>
      </c>
      <c r="AI3" s="53" t="str">
        <f>IF(ABS($U$3-$AD$3)&lt;0.01,"OK","ERRO")</f>
        <v>OK</v>
      </c>
      <c r="AJ3" s="53" t="str">
        <f>IF(ABS(($V$3+$W$3)-$AE$3)&lt;0.01,"OK","ERRO")</f>
        <v>OK</v>
      </c>
    </row>
    <row r="4" spans="1:40" ht="11.25" customHeight="1" x14ac:dyDescent="0.2">
      <c r="A4" s="52" t="s">
        <v>21</v>
      </c>
      <c r="B4" s="52" t="s">
        <v>33</v>
      </c>
      <c r="C4" s="52" t="s">
        <v>41</v>
      </c>
      <c r="D4" s="52" t="s">
        <v>40</v>
      </c>
      <c r="E4" s="52" t="s">
        <v>25</v>
      </c>
      <c r="F4" s="52" t="s">
        <v>25</v>
      </c>
      <c r="G4" s="52" t="s">
        <v>25</v>
      </c>
      <c r="H4" s="52" t="s">
        <v>36</v>
      </c>
      <c r="I4" s="71">
        <v>44348</v>
      </c>
      <c r="J4" s="72">
        <f ca="1">EFEITO!$J$4*EFEITO!$Y$4</f>
        <v>7095.2751639643311</v>
      </c>
      <c r="K4" s="72">
        <f ca="1">EFEITO!$L$4*EFEITO!$Z$4</f>
        <v>7461.2239271460267</v>
      </c>
      <c r="L4" s="72">
        <f>EFEITO!$N$4*EFEITO!$AA$4</f>
        <v>14218.465694205199</v>
      </c>
      <c r="M4" s="72">
        <f ca="1">$J$4-EFEITO!$K$4*EFEITO!$Y$4</f>
        <v>0</v>
      </c>
      <c r="N4" s="72">
        <f ca="1">$K$4-EFEITO!$M$4*EFEITO!$Z$4</f>
        <v>0</v>
      </c>
      <c r="O4" s="72">
        <f>$L$4-EFEITO!$O$4*EFEITO!$AA$4</f>
        <v>0</v>
      </c>
      <c r="P4" s="56"/>
      <c r="Q4" s="72" t="s">
        <v>577</v>
      </c>
      <c r="R4" s="72">
        <f>SUMIF($B$2:$B$469,$Q$4,$J$2:$J$469)</f>
        <v>0</v>
      </c>
      <c r="S4" s="72">
        <f>SUMIF($B$2:$B$469,$Q$4,$K$2:$K$469)</f>
        <v>0</v>
      </c>
      <c r="T4" s="72">
        <f>SUMIF($B$2:$B$469,$Q$4,$L$2:$L$469)</f>
        <v>0</v>
      </c>
      <c r="U4" s="72">
        <f>SUMIF($B$2:$B$469,$Q$4,$M$2:$M$469)</f>
        <v>0</v>
      </c>
      <c r="V4" s="72">
        <f>SUMIF($B$2:$B$469,$Q$4,$N$2:$N$469)</f>
        <v>0</v>
      </c>
      <c r="W4" s="72">
        <f>SUMIF($B$2:$B$469,$Q$4,$O$2:$O$469)</f>
        <v>0</v>
      </c>
      <c r="X4" s="53">
        <f>$R$4-$U$4</f>
        <v>0</v>
      </c>
      <c r="Y4" s="53">
        <f>$S$4-$V$4</f>
        <v>0</v>
      </c>
      <c r="Z4" s="53">
        <f>$T$4-$W$4</f>
        <v>0</v>
      </c>
      <c r="AA4" s="53">
        <f>SUMIF(EFEITO!$B$2:$B$469,$Q$4,EFEITO!$AE$2:$AE$469)</f>
        <v>0</v>
      </c>
      <c r="AB4" s="53">
        <f>SUMIF(EFEITO!$B$2:$B$469,$Q$4,EFEITO!$AF$2:$AF$469)</f>
        <v>0</v>
      </c>
      <c r="AC4" s="53">
        <f>SUMIF(EFEITO!$B$2:$B$469,$Q$4,EFEITO!$AG$2:$AH$469)</f>
        <v>0</v>
      </c>
      <c r="AD4" s="53">
        <f>SUMIF(SUBSIDIO!$B$2:$B$469,$Q$4,SUBSIDIO!$AD$2:$AD$469)</f>
        <v>0</v>
      </c>
      <c r="AE4" s="53">
        <f>SUMIF(SUBSIDIO!$B$2:$B$469,$Q$4,SUBSIDIO!$AE$2:$AE$469)</f>
        <v>0</v>
      </c>
      <c r="AF4" s="53" t="str">
        <f>IF(ABS($X$4-$AA$4)&lt;0.01,"OK","ERRO")</f>
        <v>OK</v>
      </c>
      <c r="AG4" s="53" t="str">
        <f>IF(ABS($Y$4-$AB$4)&lt;0.01,"OK","ERRO")</f>
        <v>OK</v>
      </c>
      <c r="AH4" s="53" t="str">
        <f>IF(ABS($Z$4-$AC$4)&lt;0.01,"OK","ERRO")</f>
        <v>OK</v>
      </c>
      <c r="AI4" s="53" t="str">
        <f>IF(ABS($U$4-$AD$4)&lt;0.01,"OK","ERRO")</f>
        <v>OK</v>
      </c>
      <c r="AJ4" s="53" t="str">
        <f>IF(ABS(($V$4+$W$4)-$AE$4)&lt;0.01,"OK","ERRO")</f>
        <v>OK</v>
      </c>
    </row>
    <row r="5" spans="1:40" ht="11.25" customHeight="1" x14ac:dyDescent="0.2">
      <c r="A5" s="52" t="s">
        <v>21</v>
      </c>
      <c r="B5" s="52" t="s">
        <v>33</v>
      </c>
      <c r="C5" s="52" t="s">
        <v>41</v>
      </c>
      <c r="D5" s="52" t="s">
        <v>40</v>
      </c>
      <c r="E5" s="52" t="s">
        <v>25</v>
      </c>
      <c r="F5" s="52" t="s">
        <v>25</v>
      </c>
      <c r="G5" s="52" t="s">
        <v>25</v>
      </c>
      <c r="H5" s="52" t="s">
        <v>36</v>
      </c>
      <c r="I5" s="71">
        <v>44378</v>
      </c>
      <c r="J5" s="72">
        <f ca="1">EFEITO!$J$5*EFEITO!$Y$5</f>
        <v>7095.2751639643311</v>
      </c>
      <c r="K5" s="72">
        <f ca="1">EFEITO!$L$5*EFEITO!$Z$5</f>
        <v>7739.4562218723167</v>
      </c>
      <c r="L5" s="72">
        <f>EFEITO!$N$5*EFEITO!$AA$5</f>
        <v>14748.678481840827</v>
      </c>
      <c r="M5" s="72">
        <f ca="1">$J$5-EFEITO!$K$5*EFEITO!$Y$5</f>
        <v>0</v>
      </c>
      <c r="N5" s="72">
        <f ca="1">$K$5-EFEITO!$M$5*EFEITO!$Z$5</f>
        <v>0</v>
      </c>
      <c r="O5" s="72">
        <f>$L$5-EFEITO!$O$5*EFEITO!$AA$5</f>
        <v>0</v>
      </c>
      <c r="P5" s="56"/>
      <c r="Q5" s="72" t="s">
        <v>578</v>
      </c>
      <c r="R5" s="72">
        <f>SUMIF($B$2:$B$469,$Q$5,$J$2:$J$469)</f>
        <v>0</v>
      </c>
      <c r="S5" s="72">
        <f>SUMIF($B$2:$B$469,$Q$5,$K$2:$K$469)</f>
        <v>0</v>
      </c>
      <c r="T5" s="72">
        <f>SUMIF($B$2:$B$469,$Q$5,$L$2:$L$469)</f>
        <v>0</v>
      </c>
      <c r="U5" s="72">
        <f>SUMIF($B$2:$B$469,$Q$5,$M$2:$M$469)</f>
        <v>0</v>
      </c>
      <c r="V5" s="72">
        <f>SUMIF($B$2:$B$469,$Q$5,$N$2:$N$469)</f>
        <v>0</v>
      </c>
      <c r="W5" s="72">
        <f>SUMIF($B$2:$B$469,$Q$5,$O$2:$O$469)</f>
        <v>0</v>
      </c>
      <c r="X5" s="53">
        <f>$R$5-$U$5</f>
        <v>0</v>
      </c>
      <c r="Y5" s="53">
        <f>$S$5-$V$5</f>
        <v>0</v>
      </c>
      <c r="Z5" s="53">
        <f>$T$5-$W$5</f>
        <v>0</v>
      </c>
      <c r="AA5" s="53">
        <f>SUMIF(EFEITO!$B$2:$B$469,$Q$5,EFEITO!$AE$2:$AE$469)</f>
        <v>0</v>
      </c>
      <c r="AB5" s="53">
        <f>SUMIF(EFEITO!$B$2:$B$469,$Q$5,EFEITO!$AF$2:$AF$469)</f>
        <v>0</v>
      </c>
      <c r="AC5" s="53">
        <f>SUMIF(EFEITO!$B$2:$B$469,$Q$5,EFEITO!$AG$2:$AH$469)</f>
        <v>0</v>
      </c>
      <c r="AD5" s="53">
        <f>SUMIF(SUBSIDIO!$B$2:$B$469,$Q$5,SUBSIDIO!$AD$2:$AD$469)</f>
        <v>0</v>
      </c>
      <c r="AE5" s="53">
        <f>SUMIF(SUBSIDIO!$B$2:$B$469,$Q$5,SUBSIDIO!$AE$2:$AE$469)</f>
        <v>0</v>
      </c>
      <c r="AF5" s="53" t="str">
        <f>IF(ABS($X$5-$AA$5)&lt;0.01,"OK","ERRO")</f>
        <v>OK</v>
      </c>
      <c r="AG5" s="53" t="str">
        <f>IF(ABS($Y$5-$AB$5)&lt;0.01,"OK","ERRO")</f>
        <v>OK</v>
      </c>
      <c r="AH5" s="53" t="str">
        <f>IF(ABS($Z$5-$AC$5)&lt;0.01,"OK","ERRO")</f>
        <v>OK</v>
      </c>
      <c r="AI5" s="53" t="str">
        <f>IF(ABS($U$5-$AD$5)&lt;0.01,"OK","ERRO")</f>
        <v>OK</v>
      </c>
      <c r="AJ5" s="53" t="str">
        <f>IF(ABS(($V$5+$W$5)-$AE$5)&lt;0.01,"OK","ERRO")</f>
        <v>OK</v>
      </c>
    </row>
    <row r="6" spans="1:40" ht="11.25" customHeight="1" x14ac:dyDescent="0.2">
      <c r="A6" s="52" t="s">
        <v>21</v>
      </c>
      <c r="B6" s="52" t="s">
        <v>33</v>
      </c>
      <c r="C6" s="52" t="s">
        <v>41</v>
      </c>
      <c r="D6" s="52" t="s">
        <v>40</v>
      </c>
      <c r="E6" s="52" t="s">
        <v>25</v>
      </c>
      <c r="F6" s="52" t="s">
        <v>25</v>
      </c>
      <c r="G6" s="52" t="s">
        <v>25</v>
      </c>
      <c r="H6" s="52" t="s">
        <v>36</v>
      </c>
      <c r="I6" s="71">
        <v>44409</v>
      </c>
      <c r="J6" s="72">
        <f ca="1">EFEITO!$J$6*EFEITO!$Y$6</f>
        <v>7095.2751639643311</v>
      </c>
      <c r="K6" s="72">
        <f ca="1">EFEITO!$L$6*EFEITO!$Z$6</f>
        <v>7670.890368622011</v>
      </c>
      <c r="L6" s="72">
        <f>EFEITO!$N$6*EFEITO!$AA$6</f>
        <v>14618.016107711239</v>
      </c>
      <c r="M6" s="72">
        <f ca="1">$J$6-EFEITO!$K$6*EFEITO!$Y$6</f>
        <v>0</v>
      </c>
      <c r="N6" s="72">
        <f ca="1">$K$6-EFEITO!$M$6*EFEITO!$Z$6</f>
        <v>0</v>
      </c>
      <c r="O6" s="72">
        <f>$L$6-EFEITO!$O$6*EFEITO!$AA$6</f>
        <v>0</v>
      </c>
      <c r="P6" s="56"/>
      <c r="Q6" s="72" t="s">
        <v>579</v>
      </c>
      <c r="R6" s="72">
        <f>SUMIF($B$2:$B$469,$Q$6,$J$2:$J$469)</f>
        <v>0</v>
      </c>
      <c r="S6" s="72">
        <f>SUMIF($B$2:$B$469,$Q$6,$K$2:$K$469)</f>
        <v>0</v>
      </c>
      <c r="T6" s="72">
        <f>SUMIF($B$2:$B$469,$Q$6,$L$2:$L$469)</f>
        <v>0</v>
      </c>
      <c r="U6" s="72">
        <f>SUMIF($B$2:$B$469,$Q$6,$M$2:$M$469)</f>
        <v>0</v>
      </c>
      <c r="V6" s="72">
        <f>SUMIF($B$2:$B$469,$Q$6,$N$2:$N$469)</f>
        <v>0</v>
      </c>
      <c r="W6" s="72">
        <f>SUMIF($B$2:$B$469,$Q$6,$O$2:$O$469)</f>
        <v>0</v>
      </c>
      <c r="X6" s="53">
        <f>$R$6-$U$6</f>
        <v>0</v>
      </c>
      <c r="Y6" s="53">
        <f>$S$6-$V$6</f>
        <v>0</v>
      </c>
      <c r="Z6" s="53">
        <f>$T$6-$W$6</f>
        <v>0</v>
      </c>
      <c r="AA6" s="53">
        <f>SUMIF(EFEITO!$B$2:$B$469,$Q$6,EFEITO!$AE$2:$AE$469)</f>
        <v>0</v>
      </c>
      <c r="AB6" s="53">
        <f>SUMIF(EFEITO!$B$2:$B$469,$Q$6,EFEITO!$AF$2:$AF$469)</f>
        <v>0</v>
      </c>
      <c r="AC6" s="53">
        <f>SUMIF(EFEITO!$B$2:$B$469,$Q$6,EFEITO!$AG$2:$AH$469)</f>
        <v>0</v>
      </c>
      <c r="AD6" s="53">
        <f>SUMIF(SUBSIDIO!$B$2:$B$469,$Q$6,SUBSIDIO!$AD$2:$AD$469)</f>
        <v>0</v>
      </c>
      <c r="AE6" s="53">
        <f>SUMIF(SUBSIDIO!$B$2:$B$469,$Q$6,SUBSIDIO!$AE$2:$AE$469)</f>
        <v>0</v>
      </c>
      <c r="AF6" s="53" t="str">
        <f>IF(ABS($X$6-$AA$6)&lt;0.01,"OK","ERRO")</f>
        <v>OK</v>
      </c>
      <c r="AG6" s="53" t="str">
        <f>IF(ABS($Y$6-$AB$6)&lt;0.01,"OK","ERRO")</f>
        <v>OK</v>
      </c>
      <c r="AH6" s="53" t="str">
        <f>IF(ABS($Z$6-$AC$6)&lt;0.01,"OK","ERRO")</f>
        <v>OK</v>
      </c>
      <c r="AI6" s="53" t="str">
        <f>IF(ABS($U$6-$AD$6)&lt;0.01,"OK","ERRO")</f>
        <v>OK</v>
      </c>
      <c r="AJ6" s="53" t="str">
        <f>IF(ABS(($V$6+$W$6)-$AE$6)&lt;0.01,"OK","ERRO")</f>
        <v>OK</v>
      </c>
    </row>
    <row r="7" spans="1:40" ht="11.25" customHeight="1" x14ac:dyDescent="0.2">
      <c r="A7" s="52" t="s">
        <v>21</v>
      </c>
      <c r="B7" s="52" t="s">
        <v>33</v>
      </c>
      <c r="C7" s="52" t="s">
        <v>41</v>
      </c>
      <c r="D7" s="52" t="s">
        <v>40</v>
      </c>
      <c r="E7" s="52" t="s">
        <v>25</v>
      </c>
      <c r="F7" s="52" t="s">
        <v>25</v>
      </c>
      <c r="G7" s="52" t="s">
        <v>25</v>
      </c>
      <c r="H7" s="52" t="s">
        <v>36</v>
      </c>
      <c r="I7" s="71">
        <v>44440</v>
      </c>
      <c r="J7" s="72">
        <f ca="1">EFEITO!$J$7*EFEITO!$Y$7</f>
        <v>7173.2452207111919</v>
      </c>
      <c r="K7" s="72">
        <f ca="1">EFEITO!$L$7*EFEITO!$Z$7</f>
        <v>7377.8774109196074</v>
      </c>
      <c r="L7" s="72">
        <f>EFEITO!$N$7*EFEITO!$AA$7</f>
        <v>14059.636580742288</v>
      </c>
      <c r="M7" s="72">
        <f ca="1">$J$7-EFEITO!$K$7*EFEITO!$Y$7</f>
        <v>0</v>
      </c>
      <c r="N7" s="72">
        <f ca="1">$K$7-EFEITO!$M$7*EFEITO!$Z$7</f>
        <v>0</v>
      </c>
      <c r="O7" s="72">
        <f>$L$7-EFEITO!$O$7*EFEITO!$AA$7</f>
        <v>0</v>
      </c>
      <c r="P7" s="56"/>
      <c r="Q7" s="72" t="s">
        <v>33</v>
      </c>
      <c r="R7" s="72">
        <f ca="1">SUMIF($B$2:$B$469,$Q$7,$J$2:$J$469)</f>
        <v>1504463.3794359167</v>
      </c>
      <c r="S7" s="72">
        <f ca="1">SUMIF($B$2:$B$469,$Q$7,$K$2:$K$469)</f>
        <v>1009959.9678154573</v>
      </c>
      <c r="T7" s="72">
        <f>SUMIF($B$2:$B$469,$Q$7,$L$2:$L$469)</f>
        <v>1048815.9234062291</v>
      </c>
      <c r="U7" s="72">
        <f ca="1">SUMIF($B$2:$B$469,$Q$7,$M$2:$M$469)</f>
        <v>0</v>
      </c>
      <c r="V7" s="72">
        <f ca="1">SUMIF($B$2:$B$469,$Q$7,$N$2:$N$469)</f>
        <v>0</v>
      </c>
      <c r="W7" s="72">
        <f>SUMIF($B$2:$B$469,$Q$7,$O$2:$O$469)</f>
        <v>0</v>
      </c>
      <c r="X7" s="53">
        <f ca="1">$R$7-$U$7</f>
        <v>1504463.3794359167</v>
      </c>
      <c r="Y7" s="53">
        <f ca="1">$S$7-$V$7</f>
        <v>1009959.9678154573</v>
      </c>
      <c r="Z7" s="53">
        <f>$T$7-$W$7</f>
        <v>1048815.9234062291</v>
      </c>
      <c r="AA7" s="53">
        <f ca="1">SUMIF(EFEITO!$B$2:$B$469,$Q$7,EFEITO!$AE$2:$AE$469)</f>
        <v>1504463.3794359167</v>
      </c>
      <c r="AB7" s="53">
        <f ca="1">SUMIF(EFEITO!$B$2:$B$469,$Q$7,EFEITO!$AF$2:$AF$469)</f>
        <v>1009959.9678154573</v>
      </c>
      <c r="AC7" s="53">
        <f>SUMIF(EFEITO!$B$2:$B$469,$Q$7,EFEITO!$AG$2:$AH$469)</f>
        <v>1048815.9234062291</v>
      </c>
      <c r="AD7" s="53">
        <f>SUMIF(SUBSIDIO!$B$2:$B$469,$Q$7,SUBSIDIO!$AD$2:$AD$469)</f>
        <v>0</v>
      </c>
      <c r="AE7" s="53">
        <f>SUMIF(SUBSIDIO!$B$2:$B$469,$Q$7,SUBSIDIO!$AE$2:$AE$469)</f>
        <v>0</v>
      </c>
      <c r="AF7" s="53" t="str">
        <f ca="1">IF(ABS($X$7-$AA$7)&lt;0.01,"OK","ERRO")</f>
        <v>OK</v>
      </c>
      <c r="AG7" s="53" t="str">
        <f ca="1">IF(ABS($Y$7-$AB$7)&lt;0.01,"OK","ERRO")</f>
        <v>OK</v>
      </c>
      <c r="AH7" s="53" t="str">
        <f>IF(ABS($Z$7-$AC$7)&lt;0.01,"OK","ERRO")</f>
        <v>OK</v>
      </c>
      <c r="AI7" s="53" t="str">
        <f ca="1">IF(ABS($U$7-$AD$7)&lt;0.01,"OK","ERRO")</f>
        <v>OK</v>
      </c>
      <c r="AJ7" s="53" t="str">
        <f ca="1">IF(ABS(($V$7+$W$7)-$AE$7)&lt;0.01,"OK","ERRO")</f>
        <v>OK</v>
      </c>
    </row>
    <row r="8" spans="1:40" ht="11.25" customHeight="1" x14ac:dyDescent="0.2">
      <c r="A8" s="52" t="s">
        <v>21</v>
      </c>
      <c r="B8" s="52" t="s">
        <v>33</v>
      </c>
      <c r="C8" s="52" t="s">
        <v>41</v>
      </c>
      <c r="D8" s="52" t="s">
        <v>40</v>
      </c>
      <c r="E8" s="52" t="s">
        <v>25</v>
      </c>
      <c r="F8" s="52" t="s">
        <v>25</v>
      </c>
      <c r="G8" s="52" t="s">
        <v>25</v>
      </c>
      <c r="H8" s="52" t="s">
        <v>36</v>
      </c>
      <c r="I8" s="71">
        <v>44470</v>
      </c>
      <c r="J8" s="72">
        <f ca="1">EFEITO!$J$8*EFEITO!$Y$8</f>
        <v>7251.2152774580527</v>
      </c>
      <c r="K8" s="72">
        <f ca="1">EFEITO!$L$8*EFEITO!$Z$8</f>
        <v>7640.7816107077051</v>
      </c>
      <c r="L8" s="72">
        <f>EFEITO!$N$8*EFEITO!$AA$8</f>
        <v>14560.639416476692</v>
      </c>
      <c r="M8" s="72">
        <f ca="1">$J$8-EFEITO!$K$8*EFEITO!$Y$8</f>
        <v>0</v>
      </c>
      <c r="N8" s="72">
        <f ca="1">$K$8-EFEITO!$M$8*EFEITO!$Z$8</f>
        <v>0</v>
      </c>
      <c r="O8" s="72">
        <f>$L$8-EFEITO!$O$8*EFEITO!$AA$8</f>
        <v>0</v>
      </c>
      <c r="P8" s="56"/>
      <c r="Q8" s="72" t="s">
        <v>580</v>
      </c>
      <c r="R8" s="72">
        <f>SUMIF($B$2:$B$469,$Q$8,$J$2:$J$469)</f>
        <v>0</v>
      </c>
      <c r="S8" s="72">
        <f>SUMIF($B$2:$B$469,$Q$8,$K$2:$K$469)</f>
        <v>0</v>
      </c>
      <c r="T8" s="72">
        <f>SUMIF($B$2:$B$469,$Q$8,$L$2:$L$469)</f>
        <v>0</v>
      </c>
      <c r="U8" s="72">
        <f>SUMIF($B$2:$B$469,$Q$8,$M$2:$M$469)</f>
        <v>0</v>
      </c>
      <c r="V8" s="72">
        <f>SUMIF($B$2:$B$469,$Q$8,$N$2:$N$469)</f>
        <v>0</v>
      </c>
      <c r="W8" s="72">
        <f>SUMIF($B$2:$B$469,$Q$8,$O$2:$O$469)</f>
        <v>0</v>
      </c>
      <c r="X8" s="53">
        <f>$R$8-$U$8</f>
        <v>0</v>
      </c>
      <c r="Y8" s="53">
        <f>$S$8-$V$8</f>
        <v>0</v>
      </c>
      <c r="Z8" s="53">
        <f>$T$8-$W$8</f>
        <v>0</v>
      </c>
      <c r="AA8" s="53">
        <f>SUMIF(EFEITO!$B$2:$B$469,$Q$8,EFEITO!$AE$2:$AE$469)</f>
        <v>0</v>
      </c>
      <c r="AB8" s="53">
        <f>SUMIF(EFEITO!$B$2:$B$469,$Q$8,EFEITO!$AF$2:$AF$469)</f>
        <v>0</v>
      </c>
      <c r="AC8" s="53">
        <f>SUMIF(EFEITO!$B$2:$B$469,$Q$8,EFEITO!$AG$2:$AH$469)</f>
        <v>0</v>
      </c>
      <c r="AD8" s="53">
        <f>SUMIF(SUBSIDIO!$B$2:$B$469,$Q$8,SUBSIDIO!$AD$2:$AD$469)</f>
        <v>0</v>
      </c>
      <c r="AE8" s="53">
        <f>SUMIF(SUBSIDIO!$B$2:$B$469,$Q$8,SUBSIDIO!$AE$2:$AE$469)</f>
        <v>0</v>
      </c>
      <c r="AF8" s="53" t="str">
        <f>IF(ABS($X$8-$AA$8)&lt;0.01,"OK","ERRO")</f>
        <v>OK</v>
      </c>
      <c r="AG8" s="53" t="str">
        <f>IF(ABS($Y$8-$AB$8)&lt;0.01,"OK","ERRO")</f>
        <v>OK</v>
      </c>
      <c r="AH8" s="53" t="str">
        <f>IF(ABS($Z$8-$AC$8)&lt;0.01,"OK","ERRO")</f>
        <v>OK</v>
      </c>
      <c r="AI8" s="53" t="str">
        <f>IF(ABS($U$8-$AD$8)&lt;0.01,"OK","ERRO")</f>
        <v>OK</v>
      </c>
      <c r="AJ8" s="53" t="str">
        <f>IF(ABS(($V$8+$W$8)-$AE$8)&lt;0.01,"OK","ERRO")</f>
        <v>OK</v>
      </c>
    </row>
    <row r="9" spans="1:40" ht="11.25" customHeight="1" x14ac:dyDescent="0.2">
      <c r="A9" s="52" t="s">
        <v>21</v>
      </c>
      <c r="B9" s="52" t="s">
        <v>33</v>
      </c>
      <c r="C9" s="52" t="s">
        <v>41</v>
      </c>
      <c r="D9" s="52" t="s">
        <v>40</v>
      </c>
      <c r="E9" s="52" t="s">
        <v>25</v>
      </c>
      <c r="F9" s="52" t="s">
        <v>25</v>
      </c>
      <c r="G9" s="52" t="s">
        <v>25</v>
      </c>
      <c r="H9" s="52" t="s">
        <v>36</v>
      </c>
      <c r="I9" s="71">
        <v>44501</v>
      </c>
      <c r="J9" s="72">
        <f ca="1">EFEITO!$J$9*EFEITO!$Y$9</f>
        <v>7095.2751639643311</v>
      </c>
      <c r="K9" s="72">
        <f ca="1">EFEITO!$L$9*EFEITO!$Z$9</f>
        <v>7413.4604884546961</v>
      </c>
      <c r="L9" s="72">
        <f>EFEITO!$N$9*EFEITO!$AA$9</f>
        <v>14127.445397655845</v>
      </c>
      <c r="M9" s="72">
        <f ca="1">$J$9-EFEITO!$K$9*EFEITO!$Y$9</f>
        <v>0</v>
      </c>
      <c r="N9" s="72">
        <f ca="1">$K$9-EFEITO!$M$9*EFEITO!$Z$9</f>
        <v>0</v>
      </c>
      <c r="O9" s="72">
        <f>$L$9-EFEITO!$O$9*EFEITO!$AA$9</f>
        <v>0</v>
      </c>
      <c r="P9" s="56"/>
      <c r="Q9" s="72" t="s">
        <v>22</v>
      </c>
      <c r="R9" s="72">
        <f>SUMIF($B$2:$B$469,$Q$9,$J$2:$J$469)</f>
        <v>0</v>
      </c>
      <c r="S9" s="72">
        <f ca="1">SUMIF($B$2:$B$469,$Q$9,$K$2:$K$469)</f>
        <v>26665425.463648487</v>
      </c>
      <c r="T9" s="72">
        <f>SUMIF($B$2:$B$469,$Q$9,$L$2:$L$469)</f>
        <v>7213621.1303001717</v>
      </c>
      <c r="U9" s="72">
        <f>SUMIF($B$2:$B$469,$Q$9,$M$2:$M$469)</f>
        <v>0</v>
      </c>
      <c r="V9" s="72">
        <f ca="1">SUMIF($B$2:$B$469,$Q$9,$N$2:$N$469)</f>
        <v>306433.6073100057</v>
      </c>
      <c r="W9" s="72">
        <f>SUMIF($B$2:$B$469,$Q$9,$O$2:$O$469)</f>
        <v>95391.648004360817</v>
      </c>
      <c r="X9" s="53">
        <f>$R$9-$U$9</f>
        <v>0</v>
      </c>
      <c r="Y9" s="53">
        <f ca="1">$S$9-$V$9</f>
        <v>26358991.856338482</v>
      </c>
      <c r="Z9" s="53">
        <f>$T$9-$W$9</f>
        <v>7118229.4822958112</v>
      </c>
      <c r="AA9" s="53">
        <f>SUMIF(EFEITO!$B$2:$B$469,$Q$9,EFEITO!$AE$2:$AE$469)</f>
        <v>0</v>
      </c>
      <c r="AB9" s="53">
        <f ca="1">SUMIF(EFEITO!$B$2:$B$469,$Q$9,EFEITO!$AF$2:$AF$469)</f>
        <v>26358991.856338482</v>
      </c>
      <c r="AC9" s="53">
        <f>SUMIF(EFEITO!$B$2:$B$469,$Q$9,EFEITO!$AG$2:$AH$469)</f>
        <v>7118229.4822958177</v>
      </c>
      <c r="AD9" s="53">
        <f>SUMIF(SUBSIDIO!$B$2:$B$469,$Q$9,SUBSIDIO!$AD$2:$AD$469)</f>
        <v>0</v>
      </c>
      <c r="AE9" s="53">
        <f ca="1">SUMIF(SUBSIDIO!$B$2:$B$469,$Q$9,SUBSIDIO!$AE$2:$AE$469)</f>
        <v>401825.25531436637</v>
      </c>
      <c r="AF9" s="53" t="str">
        <f>IF(ABS($X$9-$AA$9)&lt;0.01,"OK","ERRO")</f>
        <v>OK</v>
      </c>
      <c r="AG9" s="53" t="str">
        <f ca="1">IF(ABS($Y$9-$AB$9)&lt;0.01,"OK","ERRO")</f>
        <v>OK</v>
      </c>
      <c r="AH9" s="53" t="str">
        <f>IF(ABS($Z$9-$AC$9)&lt;0.01,"OK","ERRO")</f>
        <v>OK</v>
      </c>
      <c r="AI9" s="53" t="str">
        <f>IF(ABS($U$9-$AD$9)&lt;0.01,"OK","ERRO")</f>
        <v>OK</v>
      </c>
      <c r="AJ9" s="53" t="str">
        <f ca="1">IF(ABS(($V$9+$W$9)-$AE$9)&lt;0.01,"OK","ERRO")</f>
        <v>OK</v>
      </c>
    </row>
    <row r="10" spans="1:40" ht="11.25" customHeight="1" x14ac:dyDescent="0.2">
      <c r="A10" s="52" t="s">
        <v>21</v>
      </c>
      <c r="B10" s="52" t="s">
        <v>33</v>
      </c>
      <c r="C10" s="52" t="s">
        <v>41</v>
      </c>
      <c r="D10" s="52" t="s">
        <v>40</v>
      </c>
      <c r="E10" s="52" t="s">
        <v>25</v>
      </c>
      <c r="F10" s="52" t="s">
        <v>25</v>
      </c>
      <c r="G10" s="52" t="s">
        <v>25</v>
      </c>
      <c r="H10" s="52" t="s">
        <v>36</v>
      </c>
      <c r="I10" s="71">
        <v>44531</v>
      </c>
      <c r="J10" s="72">
        <f ca="1">EFEITO!$J$10*EFEITO!$Y$10</f>
        <v>7017.3051072174703</v>
      </c>
      <c r="K10" s="72">
        <f ca="1">EFEITO!$L$10*EFEITO!$Z$10</f>
        <v>7461.0870691555083</v>
      </c>
      <c r="L10" s="72">
        <f>EFEITO!$N$10*EFEITO!$AA$10</f>
        <v>14218.204891063224</v>
      </c>
      <c r="M10" s="72">
        <f ca="1">$J$10-EFEITO!$K$10*EFEITO!$Y$10</f>
        <v>0</v>
      </c>
      <c r="N10" s="72">
        <f ca="1">$K$10-EFEITO!$M$10*EFEITO!$Z$10</f>
        <v>0</v>
      </c>
      <c r="O10" s="72">
        <f>$L$10-EFEITO!$O$10*EFEITO!$AA$10</f>
        <v>0</v>
      </c>
      <c r="P10" s="56"/>
      <c r="Q10" s="72" t="s">
        <v>43</v>
      </c>
      <c r="R10" s="72">
        <f>SUMIF($B$2:$B$469,$Q$10,$J$2:$J$469)</f>
        <v>0</v>
      </c>
      <c r="S10" s="72">
        <f ca="1">SUMIF($B$2:$B$469,$Q$10,$K$2:$K$469)</f>
        <v>3212420.6046237876</v>
      </c>
      <c r="T10" s="72">
        <f>SUMIF($B$2:$B$469,$Q$10,$L$2:$L$469)</f>
        <v>864146.43463641324</v>
      </c>
      <c r="U10" s="72">
        <f>SUMIF($B$2:$B$469,$Q$10,$M$2:$M$469)</f>
        <v>0</v>
      </c>
      <c r="V10" s="72">
        <f ca="1">SUMIF($B$2:$B$469,$Q$10,$N$2:$N$469)</f>
        <v>213579.81657498819</v>
      </c>
      <c r="W10" s="72">
        <f>SUMIF($B$2:$B$469,$Q$10,$O$2:$O$469)</f>
        <v>57453.322500149407</v>
      </c>
      <c r="X10" s="53">
        <f>$R$10-$U$10</f>
        <v>0</v>
      </c>
      <c r="Y10" s="53">
        <f ca="1">$S$10-$V$10</f>
        <v>2998840.7880487991</v>
      </c>
      <c r="Z10" s="53">
        <f>$T$10-$W$10</f>
        <v>806693.11213626387</v>
      </c>
      <c r="AA10" s="53">
        <f>SUMIF(EFEITO!$B$2:$B$469,$Q$10,EFEITO!$AE$2:$AE$469)</f>
        <v>0</v>
      </c>
      <c r="AB10" s="53">
        <f ca="1">SUMIF(EFEITO!$B$2:$B$469,$Q$10,EFEITO!$AF$2:$AF$469)</f>
        <v>2998840.7880487991</v>
      </c>
      <c r="AC10" s="53">
        <f>SUMIF(EFEITO!$B$2:$B$469,$Q$10,EFEITO!$AG$2:$AH$469)</f>
        <v>806693.11213626387</v>
      </c>
      <c r="AD10" s="53">
        <f>SUMIF(SUBSIDIO!$B$2:$B$469,$Q$10,SUBSIDIO!$AD$2:$AD$469)</f>
        <v>0</v>
      </c>
      <c r="AE10" s="53">
        <f ca="1">SUMIF(SUBSIDIO!$B$2:$B$469,$Q$10,SUBSIDIO!$AE$2:$AE$469)</f>
        <v>271033.13907513762</v>
      </c>
      <c r="AF10" s="53" t="str">
        <f>IF(ABS($X$10-$AA$10)&lt;0.01,"OK","ERRO")</f>
        <v>OK</v>
      </c>
      <c r="AG10" s="53" t="str">
        <f ca="1">IF(ABS($Y$10-$AB$10)&lt;0.01,"OK","ERRO")</f>
        <v>OK</v>
      </c>
      <c r="AH10" s="53" t="str">
        <f>IF(ABS($Z$10-$AC$10)&lt;0.01,"OK","ERRO")</f>
        <v>OK</v>
      </c>
      <c r="AI10" s="53" t="str">
        <f>IF(ABS($U$10-$AD$10)&lt;0.01,"OK","ERRO")</f>
        <v>OK</v>
      </c>
      <c r="AJ10" s="53" t="str">
        <f ca="1">IF(ABS(($V$10+$W$10)-$AE$10)&lt;0.01,"OK","ERRO")</f>
        <v>OK</v>
      </c>
    </row>
    <row r="11" spans="1:40" ht="11.25" customHeight="1" x14ac:dyDescent="0.2">
      <c r="A11" s="52" t="s">
        <v>21</v>
      </c>
      <c r="B11" s="52" t="s">
        <v>33</v>
      </c>
      <c r="C11" s="52" t="s">
        <v>41</v>
      </c>
      <c r="D11" s="52" t="s">
        <v>40</v>
      </c>
      <c r="E11" s="52" t="s">
        <v>25</v>
      </c>
      <c r="F11" s="52" t="s">
        <v>25</v>
      </c>
      <c r="G11" s="52" t="s">
        <v>25</v>
      </c>
      <c r="H11" s="52" t="s">
        <v>36</v>
      </c>
      <c r="I11" s="71">
        <v>44562</v>
      </c>
      <c r="J11" s="72">
        <f ca="1">EFEITO!$J$11*EFEITO!$Y$11</f>
        <v>7017.3051072174703</v>
      </c>
      <c r="K11" s="72">
        <f ca="1">EFEITO!$L$11*EFEITO!$Z$11</f>
        <v>7328.8822503136007</v>
      </c>
      <c r="L11" s="72">
        <f>EFEITO!$N$11*EFEITO!$AA$11</f>
        <v>13966.26905591516</v>
      </c>
      <c r="M11" s="72">
        <f ca="1">$J$11-EFEITO!$K$11*EFEITO!$Y$11</f>
        <v>0</v>
      </c>
      <c r="N11" s="72">
        <f ca="1">$K$11-EFEITO!$M$11*EFEITO!$Z$11</f>
        <v>0</v>
      </c>
      <c r="O11" s="72">
        <f>$L$11-EFEITO!$O$11*EFEITO!$AA$11</f>
        <v>0</v>
      </c>
      <c r="P11" s="56"/>
      <c r="Q11" s="72" t="s">
        <v>39</v>
      </c>
      <c r="R11" s="72">
        <f>SUMIF($B$2:$B$469,$Q$11,$J$2:$J$469)</f>
        <v>0</v>
      </c>
      <c r="S11" s="72">
        <f ca="1">SUMIF($B$2:$B$469,$Q$11,$K$2:$K$469)</f>
        <v>4481388.8171264213</v>
      </c>
      <c r="T11" s="72">
        <f>SUMIF($B$2:$B$469,$Q$11,$L$2:$L$469)</f>
        <v>1205500.9742389617</v>
      </c>
      <c r="U11" s="72">
        <f>SUMIF($B$2:$B$469,$Q$11,$M$2:$M$469)</f>
        <v>0</v>
      </c>
      <c r="V11" s="72">
        <f ca="1">SUMIF($B$2:$B$469,$Q$11,$N$2:$N$469)</f>
        <v>6066.7189987312304</v>
      </c>
      <c r="W11" s="72">
        <f>SUMIF($B$2:$B$469,$Q$11,$O$2:$O$469)</f>
        <v>1631.9574046900234</v>
      </c>
      <c r="X11" s="53">
        <f>$R$11-$U$11</f>
        <v>0</v>
      </c>
      <c r="Y11" s="53">
        <f ca="1">$S$11-$V$11</f>
        <v>4475322.0981276901</v>
      </c>
      <c r="Z11" s="53">
        <f>$T$11-$W$11</f>
        <v>1203869.0168342716</v>
      </c>
      <c r="AA11" s="53">
        <f>SUMIF(EFEITO!$B$2:$B$469,$Q$11,EFEITO!$AE$2:$AE$469)</f>
        <v>0</v>
      </c>
      <c r="AB11" s="53">
        <f ca="1">SUMIF(EFEITO!$B$2:$B$469,$Q$11,EFEITO!$AF$2:$AF$469)</f>
        <v>4475322.0981276892</v>
      </c>
      <c r="AC11" s="53">
        <f>SUMIF(EFEITO!$B$2:$B$469,$Q$11,EFEITO!$AG$2:$AH$469)</f>
        <v>1203869.0168342714</v>
      </c>
      <c r="AD11" s="53">
        <f>SUMIF(SUBSIDIO!$B$2:$B$469,$Q$11,SUBSIDIO!$AD$2:$AD$469)</f>
        <v>0</v>
      </c>
      <c r="AE11" s="53">
        <f ca="1">SUMIF(SUBSIDIO!$B$2:$B$469,$Q$11,SUBSIDIO!$AE$2:$AE$469)</f>
        <v>7698.6764034212401</v>
      </c>
      <c r="AF11" s="53" t="str">
        <f>IF(ABS($X$11-$AA$11)&lt;0.01,"OK","ERRO")</f>
        <v>OK</v>
      </c>
      <c r="AG11" s="53" t="str">
        <f ca="1">IF(ABS($Y$11-$AB$11)&lt;0.01,"OK","ERRO")</f>
        <v>OK</v>
      </c>
      <c r="AH11" s="53" t="str">
        <f>IF(ABS($Z$11-$AC$11)&lt;0.01,"OK","ERRO")</f>
        <v>OK</v>
      </c>
      <c r="AI11" s="53" t="str">
        <f>IF(ABS($U$11-$AD$11)&lt;0.01,"OK","ERRO")</f>
        <v>OK</v>
      </c>
      <c r="AJ11" s="53" t="str">
        <f ca="1">IF(ABS(($V$11+$W$11)-$AE$11)&lt;0.01,"OK","ERRO")</f>
        <v>OK</v>
      </c>
    </row>
    <row r="12" spans="1:40" ht="11.25" customHeight="1" x14ac:dyDescent="0.2">
      <c r="A12" s="52" t="s">
        <v>21</v>
      </c>
      <c r="B12" s="52" t="s">
        <v>33</v>
      </c>
      <c r="C12" s="52" t="s">
        <v>41</v>
      </c>
      <c r="D12" s="52" t="s">
        <v>40</v>
      </c>
      <c r="E12" s="52" t="s">
        <v>25</v>
      </c>
      <c r="F12" s="52" t="s">
        <v>25</v>
      </c>
      <c r="G12" s="52" t="s">
        <v>25</v>
      </c>
      <c r="H12" s="52" t="s">
        <v>36</v>
      </c>
      <c r="I12" s="71">
        <v>44593</v>
      </c>
      <c r="J12" s="72">
        <f ca="1">EFEITO!$J$12*EFEITO!$Y$12</f>
        <v>7017.3051072174703</v>
      </c>
      <c r="K12" s="72">
        <f ca="1">EFEITO!$L$12*EFEITO!$Z$12</f>
        <v>6769.1330690885516</v>
      </c>
      <c r="L12" s="72">
        <f>EFEITO!$N$12*EFEITO!$AA$12</f>
        <v>12899.584205236497</v>
      </c>
      <c r="M12" s="72">
        <f ca="1">$J$12-EFEITO!$K$12*EFEITO!$Y$12</f>
        <v>0</v>
      </c>
      <c r="N12" s="72">
        <f ca="1">$K$12-EFEITO!$M$12*EFEITO!$Z$12</f>
        <v>0</v>
      </c>
      <c r="O12" s="72">
        <f>$L$12-EFEITO!$O$12*EFEITO!$AA$12</f>
        <v>0</v>
      </c>
      <c r="P12" s="56"/>
      <c r="Q12" s="72" t="s">
        <v>46</v>
      </c>
      <c r="R12" s="72">
        <f>SUMIF($B$2:$B$469,$Q$12,$J$2:$J$469)</f>
        <v>0</v>
      </c>
      <c r="S12" s="72">
        <f ca="1">SUMIF($B$2:$B$469,$Q$12,$K$2:$K$469)</f>
        <v>1784835.0255056559</v>
      </c>
      <c r="T12" s="72">
        <f>SUMIF($B$2:$B$469,$Q$12,$L$2:$L$469)</f>
        <v>480123.56211540749</v>
      </c>
      <c r="U12" s="72">
        <f>SUMIF($B$2:$B$469,$Q$12,$M$2:$M$469)</f>
        <v>0</v>
      </c>
      <c r="V12" s="72">
        <f ca="1">SUMIF($B$2:$B$469,$Q$12,$N$2:$N$469)</f>
        <v>0</v>
      </c>
      <c r="W12" s="72">
        <f>SUMIF($B$2:$B$469,$Q$12,$O$2:$O$469)</f>
        <v>0</v>
      </c>
      <c r="X12" s="53">
        <f>$R$12-$U$12</f>
        <v>0</v>
      </c>
      <c r="Y12" s="53">
        <f ca="1">$S$12-$V$12</f>
        <v>1784835.0255056559</v>
      </c>
      <c r="Z12" s="53">
        <f>$T$12-$W$12</f>
        <v>480123.56211540749</v>
      </c>
      <c r="AA12" s="53">
        <f>SUMIF(EFEITO!$B$2:$B$469,$Q$12,EFEITO!$AE$2:$AE$469)</f>
        <v>0</v>
      </c>
      <c r="AB12" s="53">
        <f ca="1">SUMIF(EFEITO!$B$2:$B$469,$Q$12,EFEITO!$AF$2:$AF$469)</f>
        <v>1784835.0255056559</v>
      </c>
      <c r="AC12" s="53">
        <f>SUMIF(EFEITO!$B$2:$B$469,$Q$12,EFEITO!$AG$2:$AH$469)</f>
        <v>480123.56211540749</v>
      </c>
      <c r="AD12" s="53">
        <f>SUMIF(SUBSIDIO!$B$2:$B$469,$Q$12,SUBSIDIO!$AD$2:$AD$469)</f>
        <v>0</v>
      </c>
      <c r="AE12" s="53">
        <f>SUMIF(SUBSIDIO!$B$2:$B$469,$Q$12,SUBSIDIO!$AE$2:$AE$469)</f>
        <v>0</v>
      </c>
      <c r="AF12" s="53" t="str">
        <f>IF(ABS($X$12-$AA$12)&lt;0.01,"OK","ERRO")</f>
        <v>OK</v>
      </c>
      <c r="AG12" s="53" t="str">
        <f ca="1">IF(ABS($Y$12-$AB$12)&lt;0.01,"OK","ERRO")</f>
        <v>OK</v>
      </c>
      <c r="AH12" s="53" t="str">
        <f>IF(ABS($Z$12-$AC$12)&lt;0.01,"OK","ERRO")</f>
        <v>OK</v>
      </c>
      <c r="AI12" s="53" t="str">
        <f>IF(ABS($U$12-$AD$12)&lt;0.01,"OK","ERRO")</f>
        <v>OK</v>
      </c>
      <c r="AJ12" s="53" t="str">
        <f ca="1">IF(ABS(($V$12+$W$12)-$AE$12)&lt;0.01,"OK","ERRO")</f>
        <v>OK</v>
      </c>
    </row>
    <row r="13" spans="1:40" ht="11.25" customHeight="1" x14ac:dyDescent="0.2">
      <c r="A13" s="52" t="s">
        <v>21</v>
      </c>
      <c r="B13" s="52" t="s">
        <v>33</v>
      </c>
      <c r="C13" s="52" t="s">
        <v>41</v>
      </c>
      <c r="D13" s="52" t="s">
        <v>40</v>
      </c>
      <c r="E13" s="52" t="s">
        <v>25</v>
      </c>
      <c r="F13" s="52" t="s">
        <v>25</v>
      </c>
      <c r="G13" s="52" t="s">
        <v>25</v>
      </c>
      <c r="H13" s="52" t="s">
        <v>36</v>
      </c>
      <c r="I13" s="71">
        <v>44621</v>
      </c>
      <c r="J13" s="72">
        <f ca="1">EFEITO!$J$13*EFEITO!$Y$13</f>
        <v>7173.2452207111919</v>
      </c>
      <c r="K13" s="72">
        <f ca="1">EFEITO!$L$13*EFEITO!$Z$13</f>
        <v>7726.0441388013996</v>
      </c>
      <c r="L13" s="72">
        <f>EFEITO!$N$13*EFEITO!$AA$13</f>
        <v>14723.119773927256</v>
      </c>
      <c r="M13" s="72">
        <f ca="1">$J$13-EFEITO!$K$13*EFEITO!$Y$13</f>
        <v>0</v>
      </c>
      <c r="N13" s="72">
        <f ca="1">$K$13-EFEITO!$M$13*EFEITO!$Z$13</f>
        <v>0</v>
      </c>
      <c r="O13" s="72">
        <f>$L$13-EFEITO!$O$13*EFEITO!$AA$13</f>
        <v>0</v>
      </c>
      <c r="P13" s="56"/>
      <c r="Q13" s="72" t="s">
        <v>81</v>
      </c>
      <c r="R13" s="72">
        <f>SUMIF($B$2:$B$469,$Q$13,$J$2:$J$469)</f>
        <v>0</v>
      </c>
      <c r="S13" s="72">
        <f>SUMIF($B$2:$B$469,$Q$13,$K$2:$K$469)</f>
        <v>0</v>
      </c>
      <c r="T13" s="72">
        <f>SUMIF($B$2:$B$469,$Q$13,$L$2:$L$469)</f>
        <v>0</v>
      </c>
      <c r="U13" s="72">
        <f>SUMIF($B$2:$B$469,$Q$13,$M$2:$M$469)</f>
        <v>0</v>
      </c>
      <c r="V13" s="72">
        <f>SUMIF($B$2:$B$469,$Q$13,$N$2:$N$469)</f>
        <v>0</v>
      </c>
      <c r="W13" s="72">
        <f>SUMIF($B$2:$B$469,$Q$13,$O$2:$O$469)</f>
        <v>0</v>
      </c>
      <c r="X13" s="53">
        <f>$R$13-$U$13</f>
        <v>0</v>
      </c>
      <c r="Y13" s="53">
        <f>$S$13-$V$13</f>
        <v>0</v>
      </c>
      <c r="Z13" s="53">
        <f>$T$13-$W$13</f>
        <v>0</v>
      </c>
      <c r="AA13" s="53">
        <f>SUMIF(EFEITO!$B$2:$B$469,$Q$13,EFEITO!$AE$2:$AE$469)</f>
        <v>0</v>
      </c>
      <c r="AB13" s="53">
        <f>SUMIF(EFEITO!$B$2:$B$469,$Q$13,EFEITO!$AF$2:$AF$469)</f>
        <v>0</v>
      </c>
      <c r="AC13" s="53">
        <f>SUMIF(EFEITO!$B$2:$B$469,$Q$13,EFEITO!$AG$2:$AH$469)</f>
        <v>0</v>
      </c>
      <c r="AD13" s="53">
        <f>SUMIF(SUBSIDIO!$B$2:$B$469,$Q$13,SUBSIDIO!$AD$2:$AD$469)</f>
        <v>0</v>
      </c>
      <c r="AE13" s="53">
        <f>SUMIF(SUBSIDIO!$B$2:$B$469,$Q$13,SUBSIDIO!$AE$2:$AE$469)</f>
        <v>0</v>
      </c>
      <c r="AF13" s="53" t="str">
        <f>IF(ABS($X$13-$AA$13)&lt;0.01,"OK","ERRO")</f>
        <v>OK</v>
      </c>
      <c r="AG13" s="53" t="str">
        <f>IF(ABS($Y$13-$AB$13)&lt;0.01,"OK","ERRO")</f>
        <v>OK</v>
      </c>
      <c r="AH13" s="53" t="str">
        <f>IF(ABS($Z$13-$AC$13)&lt;0.01,"OK","ERRO")</f>
        <v>OK</v>
      </c>
      <c r="AI13" s="53" t="str">
        <f>IF(ABS($U$13-$AD$13)&lt;0.01,"OK","ERRO")</f>
        <v>OK</v>
      </c>
      <c r="AJ13" s="53" t="str">
        <f>IF(ABS(($V$13+$W$13)-$AE$13)&lt;0.01,"OK","ERRO")</f>
        <v>OK</v>
      </c>
    </row>
    <row r="14" spans="1:40" ht="11.25" customHeight="1" x14ac:dyDescent="0.2">
      <c r="A14" s="52" t="s">
        <v>21</v>
      </c>
      <c r="B14" s="52" t="s">
        <v>33</v>
      </c>
      <c r="C14" s="52" t="s">
        <v>41</v>
      </c>
      <c r="D14" s="52" t="s">
        <v>40</v>
      </c>
      <c r="E14" s="52" t="s">
        <v>25</v>
      </c>
      <c r="F14" s="52" t="s">
        <v>25</v>
      </c>
      <c r="G14" s="52" t="s">
        <v>25</v>
      </c>
      <c r="H14" s="52" t="s">
        <v>35</v>
      </c>
      <c r="I14" s="71">
        <v>44287</v>
      </c>
      <c r="J14" s="72">
        <f ca="1">EFEITO!$J$14*EFEITO!$Y$14</f>
        <v>6324.6666433278542</v>
      </c>
      <c r="K14" s="72">
        <f ca="1">EFEITO!$L$14*EFEITO!$Z$14</f>
        <v>245.93380896367088</v>
      </c>
      <c r="L14" s="72">
        <f>EFEITO!$N$14*EFEITO!$AA$14</f>
        <v>468.66324612947545</v>
      </c>
      <c r="M14" s="72">
        <f ca="1">$J$14-EFEITO!$K$14*EFEITO!$Y$14</f>
        <v>0</v>
      </c>
      <c r="N14" s="72">
        <f ca="1">$K$14-EFEITO!$M$14*EFEITO!$Z$14</f>
        <v>0</v>
      </c>
      <c r="O14" s="72">
        <f>$L$14-EFEITO!$O$14*EFEITO!$AA$14</f>
        <v>0</v>
      </c>
      <c r="P14" s="56"/>
      <c r="Q14" s="56"/>
      <c r="R14" s="56"/>
      <c r="S14" s="56"/>
      <c r="T14" s="56"/>
      <c r="U14" s="56"/>
      <c r="V14" s="56"/>
      <c r="W14" s="56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</row>
    <row r="15" spans="1:40" ht="11.25" customHeight="1" x14ac:dyDescent="0.2">
      <c r="A15" s="52" t="s">
        <v>21</v>
      </c>
      <c r="B15" s="52" t="s">
        <v>33</v>
      </c>
      <c r="C15" s="52" t="s">
        <v>41</v>
      </c>
      <c r="D15" s="52" t="s">
        <v>40</v>
      </c>
      <c r="E15" s="52" t="s">
        <v>25</v>
      </c>
      <c r="F15" s="52" t="s">
        <v>25</v>
      </c>
      <c r="G15" s="52" t="s">
        <v>25</v>
      </c>
      <c r="H15" s="52" t="s">
        <v>35</v>
      </c>
      <c r="I15" s="71">
        <v>44317</v>
      </c>
      <c r="J15" s="72">
        <f ca="1">EFEITO!$J$15*EFEITO!$Y$15</f>
        <v>6324.6666433278542</v>
      </c>
      <c r="K15" s="72">
        <f ca="1">EFEITO!$L$15*EFEITO!$Z$15</f>
        <v>258.93531806303025</v>
      </c>
      <c r="L15" s="72">
        <f>EFEITO!$N$15*EFEITO!$AA$15</f>
        <v>493.43954461712161</v>
      </c>
      <c r="M15" s="72">
        <f ca="1">$J$15-EFEITO!$K$15*EFEITO!$Y$15</f>
        <v>0</v>
      </c>
      <c r="N15" s="72">
        <f ca="1">$K$15-EFEITO!$M$15*EFEITO!$Z$15</f>
        <v>0</v>
      </c>
      <c r="O15" s="72">
        <f>$L$15-EFEITO!$O$15*EFEITO!$AA$15</f>
        <v>0</v>
      </c>
      <c r="P15" s="56"/>
      <c r="Q15" s="56"/>
      <c r="R15" s="56"/>
      <c r="S15" s="56"/>
      <c r="T15" s="56"/>
      <c r="U15" s="56"/>
      <c r="V15" s="56"/>
      <c r="W15" s="56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</row>
    <row r="16" spans="1:40" ht="11.25" customHeight="1" x14ac:dyDescent="0.2">
      <c r="A16" s="52" t="s">
        <v>21</v>
      </c>
      <c r="B16" s="52" t="s">
        <v>33</v>
      </c>
      <c r="C16" s="52" t="s">
        <v>41</v>
      </c>
      <c r="D16" s="52" t="s">
        <v>40</v>
      </c>
      <c r="E16" s="52" t="s">
        <v>25</v>
      </c>
      <c r="F16" s="52" t="s">
        <v>25</v>
      </c>
      <c r="G16" s="52" t="s">
        <v>25</v>
      </c>
      <c r="H16" s="52" t="s">
        <v>35</v>
      </c>
      <c r="I16" s="71">
        <v>44348</v>
      </c>
      <c r="J16" s="72">
        <f ca="1">EFEITO!$J$16*EFEITO!$Y$16</f>
        <v>6324.6666433278542</v>
      </c>
      <c r="K16" s="72">
        <f ca="1">EFEITO!$L$16*EFEITO!$Z$16</f>
        <v>258.66160208199108</v>
      </c>
      <c r="L16" s="72">
        <f>EFEITO!$N$16*EFEITO!$AA$16</f>
        <v>492.91793833317115</v>
      </c>
      <c r="M16" s="72">
        <f ca="1">$J$16-EFEITO!$K$16*EFEITO!$Y$16</f>
        <v>0</v>
      </c>
      <c r="N16" s="72">
        <f ca="1">$K$16-EFEITO!$M$16*EFEITO!$Z$16</f>
        <v>0</v>
      </c>
      <c r="O16" s="72">
        <f>$L$16-EFEITO!$O$16*EFEITO!$AA$16</f>
        <v>0</v>
      </c>
      <c r="P16" s="56"/>
      <c r="Q16" s="56"/>
      <c r="R16" s="56"/>
      <c r="S16" s="56"/>
      <c r="T16" s="56"/>
      <c r="U16" s="56"/>
      <c r="V16" s="56"/>
      <c r="W16" s="56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</row>
    <row r="17" spans="1:36" ht="11.25" customHeight="1" x14ac:dyDescent="0.2">
      <c r="A17" s="52" t="s">
        <v>21</v>
      </c>
      <c r="B17" s="52" t="s">
        <v>33</v>
      </c>
      <c r="C17" s="52" t="s">
        <v>41</v>
      </c>
      <c r="D17" s="52" t="s">
        <v>40</v>
      </c>
      <c r="E17" s="52" t="s">
        <v>25</v>
      </c>
      <c r="F17" s="52" t="s">
        <v>25</v>
      </c>
      <c r="G17" s="52" t="s">
        <v>25</v>
      </c>
      <c r="H17" s="52" t="s">
        <v>35</v>
      </c>
      <c r="I17" s="71">
        <v>44378</v>
      </c>
      <c r="J17" s="72">
        <f ca="1">EFEITO!$J$17*EFEITO!$Y$17</f>
        <v>6324.6666433278542</v>
      </c>
      <c r="K17" s="72">
        <f ca="1">EFEITO!$L$17*EFEITO!$Z$17</f>
        <v>266.18879156056755</v>
      </c>
      <c r="L17" s="72">
        <f>EFEITO!$N$17*EFEITO!$AA$17</f>
        <v>507.26211114180842</v>
      </c>
      <c r="M17" s="72">
        <f ca="1">$J$17-EFEITO!$K$17*EFEITO!$Y$17</f>
        <v>0</v>
      </c>
      <c r="N17" s="72">
        <f ca="1">$K$17-EFEITO!$M$17*EFEITO!$Z$17</f>
        <v>0</v>
      </c>
      <c r="O17" s="72">
        <f>$L$17-EFEITO!$O$17*EFEITO!$AA$17</f>
        <v>0</v>
      </c>
      <c r="P17" s="56"/>
      <c r="Q17" s="56"/>
      <c r="R17" s="56"/>
      <c r="S17" s="56"/>
      <c r="T17" s="56"/>
      <c r="U17" s="56"/>
      <c r="V17" s="56"/>
      <c r="W17" s="56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</row>
    <row r="18" spans="1:36" ht="11.25" customHeight="1" x14ac:dyDescent="0.2">
      <c r="A18" s="52" t="s">
        <v>21</v>
      </c>
      <c r="B18" s="52" t="s">
        <v>33</v>
      </c>
      <c r="C18" s="52" t="s">
        <v>41</v>
      </c>
      <c r="D18" s="52" t="s">
        <v>40</v>
      </c>
      <c r="E18" s="52" t="s">
        <v>25</v>
      </c>
      <c r="F18" s="52" t="s">
        <v>25</v>
      </c>
      <c r="G18" s="52" t="s">
        <v>25</v>
      </c>
      <c r="H18" s="52" t="s">
        <v>35</v>
      </c>
      <c r="I18" s="71">
        <v>44409</v>
      </c>
      <c r="J18" s="72">
        <f ca="1">EFEITO!$J$18*EFEITO!$Y$18</f>
        <v>6127.0208107238586</v>
      </c>
      <c r="K18" s="72">
        <f ca="1">EFEITO!$L$18*EFEITO!$Z$18</f>
        <v>264.82021165537185</v>
      </c>
      <c r="L18" s="72">
        <f>EFEITO!$N$18*EFEITO!$AA$18</f>
        <v>504.65407972205622</v>
      </c>
      <c r="M18" s="72">
        <f ca="1">$J$18-EFEITO!$K$18*EFEITO!$Y$18</f>
        <v>0</v>
      </c>
      <c r="N18" s="72">
        <f ca="1">$K$18-EFEITO!$M$18*EFEITO!$Z$18</f>
        <v>0</v>
      </c>
      <c r="O18" s="72">
        <f>$L$18-EFEITO!$O$18*EFEITO!$AA$18</f>
        <v>0</v>
      </c>
      <c r="P18" s="56"/>
      <c r="Q18" s="56"/>
      <c r="R18" s="56"/>
      <c r="S18" s="56"/>
      <c r="T18" s="56"/>
      <c r="U18" s="56"/>
      <c r="V18" s="56"/>
      <c r="W18" s="56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</row>
    <row r="19" spans="1:36" ht="11.25" customHeight="1" x14ac:dyDescent="0.2">
      <c r="A19" s="52" t="s">
        <v>21</v>
      </c>
      <c r="B19" s="52" t="s">
        <v>33</v>
      </c>
      <c r="C19" s="52" t="s">
        <v>41</v>
      </c>
      <c r="D19" s="52" t="s">
        <v>40</v>
      </c>
      <c r="E19" s="52" t="s">
        <v>25</v>
      </c>
      <c r="F19" s="52" t="s">
        <v>25</v>
      </c>
      <c r="G19" s="52" t="s">
        <v>25</v>
      </c>
      <c r="H19" s="52" t="s">
        <v>35</v>
      </c>
      <c r="I19" s="71">
        <v>44440</v>
      </c>
      <c r="J19" s="72">
        <f ca="1">EFEITO!$J$19*EFEITO!$Y$19</f>
        <v>6917.604141139841</v>
      </c>
      <c r="K19" s="72">
        <f ca="1">EFEITO!$L$19*EFEITO!$Z$19</f>
        <v>253.59785643276695</v>
      </c>
      <c r="L19" s="72">
        <f>EFEITO!$N$19*EFEITO!$AA$19</f>
        <v>483.26822208008792</v>
      </c>
      <c r="M19" s="72">
        <f ca="1">$J$19-EFEITO!$K$19*EFEITO!$Y$19</f>
        <v>0</v>
      </c>
      <c r="N19" s="72">
        <f ca="1">$K$19-EFEITO!$M$19*EFEITO!$Z$19</f>
        <v>0</v>
      </c>
      <c r="O19" s="72">
        <f>$L$19-EFEITO!$O$19*EFEITO!$AA$19</f>
        <v>0</v>
      </c>
      <c r="P19" s="56"/>
      <c r="Q19" s="56"/>
      <c r="R19" s="56"/>
      <c r="S19" s="56"/>
      <c r="T19" s="56"/>
      <c r="U19" s="56"/>
      <c r="V19" s="56"/>
      <c r="W19" s="56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</row>
    <row r="20" spans="1:36" ht="11.25" customHeight="1" x14ac:dyDescent="0.2">
      <c r="A20" s="52" t="s">
        <v>21</v>
      </c>
      <c r="B20" s="52" t="s">
        <v>33</v>
      </c>
      <c r="C20" s="52" t="s">
        <v>41</v>
      </c>
      <c r="D20" s="52" t="s">
        <v>40</v>
      </c>
      <c r="E20" s="52" t="s">
        <v>25</v>
      </c>
      <c r="F20" s="52" t="s">
        <v>25</v>
      </c>
      <c r="G20" s="52" t="s">
        <v>25</v>
      </c>
      <c r="H20" s="52" t="s">
        <v>35</v>
      </c>
      <c r="I20" s="71">
        <v>44470</v>
      </c>
      <c r="J20" s="72">
        <f ca="1">EFEITO!$J$20*EFEITO!$Y$20</f>
        <v>6127.0208107238586</v>
      </c>
      <c r="K20" s="72">
        <f ca="1">EFEITO!$L$20*EFEITO!$Z$20</f>
        <v>241.41749527652505</v>
      </c>
      <c r="L20" s="72">
        <f>EFEITO!$N$20*EFEITO!$AA$20</f>
        <v>460.05674244429309</v>
      </c>
      <c r="M20" s="72">
        <f ca="1">$J$20-EFEITO!$K$20*EFEITO!$Y$20</f>
        <v>0</v>
      </c>
      <c r="N20" s="72">
        <f ca="1">$K$20-EFEITO!$M$20*EFEITO!$Z$20</f>
        <v>0</v>
      </c>
      <c r="O20" s="72">
        <f>$L$20-EFEITO!$O$20*EFEITO!$AA$20</f>
        <v>0</v>
      </c>
      <c r="P20" s="56"/>
      <c r="Q20" s="56"/>
      <c r="R20" s="56"/>
      <c r="S20" s="56"/>
      <c r="T20" s="56"/>
      <c r="U20" s="56"/>
      <c r="V20" s="56"/>
      <c r="W20" s="56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</row>
    <row r="21" spans="1:36" ht="11.25" customHeight="1" x14ac:dyDescent="0.2">
      <c r="A21" s="52" t="s">
        <v>21</v>
      </c>
      <c r="B21" s="52" t="s">
        <v>33</v>
      </c>
      <c r="C21" s="52" t="s">
        <v>41</v>
      </c>
      <c r="D21" s="52" t="s">
        <v>40</v>
      </c>
      <c r="E21" s="52" t="s">
        <v>25</v>
      </c>
      <c r="F21" s="52" t="s">
        <v>25</v>
      </c>
      <c r="G21" s="52" t="s">
        <v>25</v>
      </c>
      <c r="H21" s="52" t="s">
        <v>35</v>
      </c>
      <c r="I21" s="71">
        <v>44501</v>
      </c>
      <c r="J21" s="72">
        <f ca="1">EFEITO!$J$21*EFEITO!$Y$21</f>
        <v>6127.0208107238586</v>
      </c>
      <c r="K21" s="72">
        <f ca="1">EFEITO!$L$21*EFEITO!$Z$21</f>
        <v>242.23864321964246</v>
      </c>
      <c r="L21" s="72">
        <f>EFEITO!$N$21*EFEITO!$AA$21</f>
        <v>461.62156129614442</v>
      </c>
      <c r="M21" s="72">
        <f ca="1">$J$21-EFEITO!$K$21*EFEITO!$Y$21</f>
        <v>0</v>
      </c>
      <c r="N21" s="72">
        <f ca="1">$K$21-EFEITO!$M$21*EFEITO!$Z$21</f>
        <v>0</v>
      </c>
      <c r="O21" s="72">
        <f>$L$21-EFEITO!$O$21*EFEITO!$AA$21</f>
        <v>0</v>
      </c>
      <c r="P21" s="56"/>
      <c r="Q21" s="56"/>
      <c r="R21" s="56"/>
      <c r="S21" s="56"/>
      <c r="T21" s="56"/>
      <c r="U21" s="56"/>
      <c r="V21" s="56"/>
      <c r="W21" s="56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</row>
    <row r="22" spans="1:36" ht="11.25" customHeight="1" x14ac:dyDescent="0.2">
      <c r="A22" s="52" t="s">
        <v>21</v>
      </c>
      <c r="B22" s="52" t="s">
        <v>33</v>
      </c>
      <c r="C22" s="52" t="s">
        <v>41</v>
      </c>
      <c r="D22" s="52" t="s">
        <v>40</v>
      </c>
      <c r="E22" s="52" t="s">
        <v>25</v>
      </c>
      <c r="F22" s="52" t="s">
        <v>25</v>
      </c>
      <c r="G22" s="52" t="s">
        <v>25</v>
      </c>
      <c r="H22" s="52" t="s">
        <v>35</v>
      </c>
      <c r="I22" s="71">
        <v>44531</v>
      </c>
      <c r="J22" s="72">
        <f ca="1">EFEITO!$J$22*EFEITO!$Y$22</f>
        <v>6324.6666433278542</v>
      </c>
      <c r="K22" s="72">
        <f ca="1">EFEITO!$L$22*EFEITO!$Z$22</f>
        <v>271.79996917187003</v>
      </c>
      <c r="L22" s="72">
        <f>EFEITO!$N$22*EFEITO!$AA$22</f>
        <v>517.95503996279251</v>
      </c>
      <c r="M22" s="72">
        <f ca="1">$J$22-EFEITO!$K$22*EFEITO!$Y$22</f>
        <v>0</v>
      </c>
      <c r="N22" s="72">
        <f ca="1">$K$22-EFEITO!$M$22*EFEITO!$Z$22</f>
        <v>0</v>
      </c>
      <c r="O22" s="72">
        <f>$L$22-EFEITO!$O$22*EFEITO!$AA$22</f>
        <v>0</v>
      </c>
      <c r="P22" s="56"/>
      <c r="Q22" s="56"/>
      <c r="R22" s="56"/>
      <c r="S22" s="56"/>
      <c r="T22" s="56"/>
      <c r="U22" s="56"/>
      <c r="V22" s="56"/>
      <c r="W22" s="56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</row>
    <row r="23" spans="1:36" ht="11.25" customHeight="1" x14ac:dyDescent="0.2">
      <c r="A23" s="52" t="s">
        <v>21</v>
      </c>
      <c r="B23" s="52" t="s">
        <v>33</v>
      </c>
      <c r="C23" s="52" t="s">
        <v>41</v>
      </c>
      <c r="D23" s="52" t="s">
        <v>40</v>
      </c>
      <c r="E23" s="52" t="s">
        <v>25</v>
      </c>
      <c r="F23" s="52" t="s">
        <v>25</v>
      </c>
      <c r="G23" s="52" t="s">
        <v>25</v>
      </c>
      <c r="H23" s="52" t="s">
        <v>35</v>
      </c>
      <c r="I23" s="71">
        <v>44562</v>
      </c>
      <c r="J23" s="72">
        <f ca="1">EFEITO!$J$23*EFEITO!$Y$23</f>
        <v>6324.6666433278542</v>
      </c>
      <c r="K23" s="72">
        <f ca="1">EFEITO!$L$23*EFEITO!$Z$23</f>
        <v>242.37550121016201</v>
      </c>
      <c r="L23" s="72">
        <f>EFEITO!$N$23*EFEITO!$AA$23</f>
        <v>461.88236443811962</v>
      </c>
      <c r="M23" s="72">
        <f ca="1">$J$23-EFEITO!$K$23*EFEITO!$Y$23</f>
        <v>0</v>
      </c>
      <c r="N23" s="72">
        <f ca="1">$K$23-EFEITO!$M$23*EFEITO!$Z$23</f>
        <v>0</v>
      </c>
      <c r="O23" s="72">
        <f>$L$23-EFEITO!$O$23*EFEITO!$AA$23</f>
        <v>0</v>
      </c>
      <c r="P23" s="56"/>
      <c r="Q23" s="56"/>
      <c r="R23" s="56"/>
      <c r="S23" s="56"/>
      <c r="T23" s="56"/>
      <c r="U23" s="56"/>
      <c r="V23" s="56"/>
      <c r="W23" s="56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</row>
    <row r="24" spans="1:36" ht="11.25" customHeight="1" x14ac:dyDescent="0.2">
      <c r="A24" s="52" t="s">
        <v>21</v>
      </c>
      <c r="B24" s="52" t="s">
        <v>33</v>
      </c>
      <c r="C24" s="52" t="s">
        <v>41</v>
      </c>
      <c r="D24" s="52" t="s">
        <v>40</v>
      </c>
      <c r="E24" s="52" t="s">
        <v>25</v>
      </c>
      <c r="F24" s="52" t="s">
        <v>25</v>
      </c>
      <c r="G24" s="52" t="s">
        <v>25</v>
      </c>
      <c r="H24" s="52" t="s">
        <v>35</v>
      </c>
      <c r="I24" s="71">
        <v>44593</v>
      </c>
      <c r="J24" s="72">
        <f ca="1">EFEITO!$J$24*EFEITO!$Y$24</f>
        <v>6324.6666433278542</v>
      </c>
      <c r="K24" s="72">
        <f ca="1">EFEITO!$L$24*EFEITO!$Z$24</f>
        <v>241.69121125756416</v>
      </c>
      <c r="L24" s="72">
        <f>EFEITO!$N$24*EFEITO!$AA$24</f>
        <v>460.57834872824355</v>
      </c>
      <c r="M24" s="72">
        <f ca="1">$J$24-EFEITO!$K$24*EFEITO!$Y$24</f>
        <v>0</v>
      </c>
      <c r="N24" s="72">
        <f ca="1">$K$24-EFEITO!$M$24*EFEITO!$Z$24</f>
        <v>0</v>
      </c>
      <c r="O24" s="72">
        <f>$L$24-EFEITO!$O$24*EFEITO!$AA$24</f>
        <v>0</v>
      </c>
      <c r="P24" s="56"/>
      <c r="Q24" s="56"/>
      <c r="R24" s="56"/>
      <c r="S24" s="56"/>
      <c r="T24" s="56"/>
      <c r="U24" s="56"/>
      <c r="V24" s="56"/>
      <c r="W24" s="56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</row>
    <row r="25" spans="1:36" ht="11.25" customHeight="1" x14ac:dyDescent="0.2">
      <c r="A25" s="52" t="s">
        <v>21</v>
      </c>
      <c r="B25" s="52" t="s">
        <v>33</v>
      </c>
      <c r="C25" s="52" t="s">
        <v>41</v>
      </c>
      <c r="D25" s="52" t="s">
        <v>40</v>
      </c>
      <c r="E25" s="52" t="s">
        <v>25</v>
      </c>
      <c r="F25" s="52" t="s">
        <v>25</v>
      </c>
      <c r="G25" s="52" t="s">
        <v>25</v>
      </c>
      <c r="H25" s="52" t="s">
        <v>35</v>
      </c>
      <c r="I25" s="71">
        <v>44621</v>
      </c>
      <c r="J25" s="72">
        <f ca="1">EFEITO!$J$25*EFEITO!$Y$25</f>
        <v>6324.6666433278542</v>
      </c>
      <c r="K25" s="72">
        <f ca="1">EFEITO!$L$25*EFEITO!$Z$25</f>
        <v>268.92595137095901</v>
      </c>
      <c r="L25" s="72">
        <f>EFEITO!$N$25*EFEITO!$AA$25</f>
        <v>512.47817398131292</v>
      </c>
      <c r="M25" s="72">
        <f ca="1">$J$25-EFEITO!$K$25*EFEITO!$Y$25</f>
        <v>0</v>
      </c>
      <c r="N25" s="72">
        <f ca="1">$K$25-EFEITO!$M$25*EFEITO!$Z$25</f>
        <v>0</v>
      </c>
      <c r="O25" s="72">
        <f>$L$25-EFEITO!$O$25*EFEITO!$AA$25</f>
        <v>0</v>
      </c>
      <c r="P25" s="56"/>
      <c r="Q25" s="56"/>
      <c r="R25" s="56"/>
      <c r="S25" s="56"/>
      <c r="T25" s="56"/>
      <c r="U25" s="56"/>
      <c r="V25" s="56"/>
      <c r="W25" s="56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</row>
    <row r="26" spans="1:36" ht="11.25" customHeight="1" x14ac:dyDescent="0.2">
      <c r="A26" s="52" t="s">
        <v>21</v>
      </c>
      <c r="B26" s="52" t="s">
        <v>33</v>
      </c>
      <c r="C26" s="52" t="s">
        <v>34</v>
      </c>
      <c r="D26" s="52" t="s">
        <v>42</v>
      </c>
      <c r="E26" s="52" t="s">
        <v>25</v>
      </c>
      <c r="F26" s="52" t="s">
        <v>25</v>
      </c>
      <c r="G26" s="52" t="s">
        <v>25</v>
      </c>
      <c r="H26" s="52" t="s">
        <v>36</v>
      </c>
      <c r="I26" s="71">
        <v>44287</v>
      </c>
      <c r="J26" s="72">
        <f>EFEITO!$J$26*EFEITO!$Y$26</f>
        <v>0</v>
      </c>
      <c r="K26" s="72">
        <f ca="1">EFEITO!$L$26*EFEITO!$Z$26</f>
        <v>5587.0906049710075</v>
      </c>
      <c r="L26" s="72">
        <f>EFEITO!$N$26*EFEITO!$AA$26</f>
        <v>10647.027467996497</v>
      </c>
      <c r="M26" s="72">
        <f>$J$26-EFEITO!$K$26*EFEITO!$Y$26</f>
        <v>0</v>
      </c>
      <c r="N26" s="72">
        <f ca="1">$K$26-EFEITO!$M$26*EFEITO!$Z$26</f>
        <v>0</v>
      </c>
      <c r="O26" s="72">
        <f>$L$26-EFEITO!$O$26*EFEITO!$AA$26</f>
        <v>0</v>
      </c>
      <c r="P26" s="56"/>
      <c r="Q26" s="56"/>
      <c r="R26" s="56"/>
      <c r="S26" s="56"/>
      <c r="T26" s="56"/>
      <c r="U26" s="56"/>
      <c r="V26" s="56"/>
      <c r="W26" s="56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</row>
    <row r="27" spans="1:36" ht="11.25" customHeight="1" x14ac:dyDescent="0.2">
      <c r="A27" s="52" t="s">
        <v>21</v>
      </c>
      <c r="B27" s="52" t="s">
        <v>33</v>
      </c>
      <c r="C27" s="52" t="s">
        <v>34</v>
      </c>
      <c r="D27" s="52" t="s">
        <v>42</v>
      </c>
      <c r="E27" s="52" t="s">
        <v>25</v>
      </c>
      <c r="F27" s="52" t="s">
        <v>25</v>
      </c>
      <c r="G27" s="52" t="s">
        <v>25</v>
      </c>
      <c r="H27" s="52" t="s">
        <v>36</v>
      </c>
      <c r="I27" s="71">
        <v>44317</v>
      </c>
      <c r="J27" s="72">
        <f>EFEITO!$J$27*EFEITO!$Y$27</f>
        <v>0</v>
      </c>
      <c r="K27" s="72">
        <f ca="1">EFEITO!$L$27*EFEITO!$Z$27</f>
        <v>5691.3763937469212</v>
      </c>
      <c r="L27" s="72">
        <f>EFEITO!$N$27*EFEITO!$AA$27</f>
        <v>10845.759462181617</v>
      </c>
      <c r="M27" s="72">
        <f>$J$27-EFEITO!$K$27*EFEITO!$Y$27</f>
        <v>0</v>
      </c>
      <c r="N27" s="72">
        <f ca="1">$K$27-EFEITO!$M$27*EFEITO!$Z$27</f>
        <v>0</v>
      </c>
      <c r="O27" s="72">
        <f>$L$27-EFEITO!$O$27*EFEITO!$AA$27</f>
        <v>0</v>
      </c>
      <c r="P27" s="56"/>
      <c r="Q27" s="56"/>
      <c r="R27" s="56"/>
      <c r="S27" s="56"/>
      <c r="T27" s="56"/>
      <c r="U27" s="56"/>
      <c r="V27" s="56"/>
      <c r="W27" s="56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</row>
    <row r="28" spans="1:36" ht="11.25" customHeight="1" x14ac:dyDescent="0.2">
      <c r="A28" s="52" t="s">
        <v>21</v>
      </c>
      <c r="B28" s="52" t="s">
        <v>33</v>
      </c>
      <c r="C28" s="52" t="s">
        <v>34</v>
      </c>
      <c r="D28" s="52" t="s">
        <v>42</v>
      </c>
      <c r="E28" s="52" t="s">
        <v>25</v>
      </c>
      <c r="F28" s="52" t="s">
        <v>25</v>
      </c>
      <c r="G28" s="52" t="s">
        <v>25</v>
      </c>
      <c r="H28" s="52" t="s">
        <v>36</v>
      </c>
      <c r="I28" s="71">
        <v>44348</v>
      </c>
      <c r="J28" s="72">
        <f>EFEITO!$J$28*EFEITO!$Y$28</f>
        <v>0</v>
      </c>
      <c r="K28" s="72">
        <f ca="1">EFEITO!$L$28*EFEITO!$Z$28</f>
        <v>5294.8987952117213</v>
      </c>
      <c r="L28" s="72">
        <f>EFEITO!$N$28*EFEITO!$AA$28</f>
        <v>10090.212759879396</v>
      </c>
      <c r="M28" s="72">
        <f>$J$28-EFEITO!$K$28*EFEITO!$Y$28</f>
        <v>0</v>
      </c>
      <c r="N28" s="72">
        <f ca="1">$K$28-EFEITO!$M$28*EFEITO!$Z$28</f>
        <v>0</v>
      </c>
      <c r="O28" s="72">
        <f>$L$28-EFEITO!$O$28*EFEITO!$AA$28</f>
        <v>0</v>
      </c>
      <c r="P28" s="56"/>
      <c r="Q28" s="56"/>
      <c r="R28" s="56"/>
      <c r="S28" s="56"/>
      <c r="T28" s="56"/>
      <c r="U28" s="56"/>
      <c r="V28" s="56"/>
      <c r="W28" s="56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</row>
    <row r="29" spans="1:36" ht="11.25" customHeight="1" x14ac:dyDescent="0.2">
      <c r="A29" s="52" t="s">
        <v>21</v>
      </c>
      <c r="B29" s="52" t="s">
        <v>33</v>
      </c>
      <c r="C29" s="52" t="s">
        <v>34</v>
      </c>
      <c r="D29" s="52" t="s">
        <v>42</v>
      </c>
      <c r="E29" s="52" t="s">
        <v>25</v>
      </c>
      <c r="F29" s="52" t="s">
        <v>25</v>
      </c>
      <c r="G29" s="52" t="s">
        <v>25</v>
      </c>
      <c r="H29" s="52" t="s">
        <v>36</v>
      </c>
      <c r="I29" s="71">
        <v>44378</v>
      </c>
      <c r="J29" s="72">
        <f>EFEITO!$J$29*EFEITO!$Y$29</f>
        <v>0</v>
      </c>
      <c r="K29" s="72">
        <f ca="1">EFEITO!$L$29*EFEITO!$Z$29</f>
        <v>5147.3658814316223</v>
      </c>
      <c r="L29" s="72">
        <f>EFEITO!$N$29*EFEITO!$AA$29</f>
        <v>9809.0669728301054</v>
      </c>
      <c r="M29" s="72">
        <f>$J$29-EFEITO!$K$29*EFEITO!$Y$29</f>
        <v>0</v>
      </c>
      <c r="N29" s="72">
        <f ca="1">$K$29-EFEITO!$M$29*EFEITO!$Z$29</f>
        <v>0</v>
      </c>
      <c r="O29" s="72">
        <f>$L$29-EFEITO!$O$29*EFEITO!$AA$29</f>
        <v>0</v>
      </c>
      <c r="P29" s="56"/>
      <c r="Q29" s="56"/>
      <c r="R29" s="56"/>
      <c r="S29" s="56"/>
      <c r="T29" s="56"/>
      <c r="U29" s="56"/>
      <c r="V29" s="56"/>
      <c r="W29" s="56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</row>
    <row r="30" spans="1:36" ht="11.25" customHeight="1" x14ac:dyDescent="0.2">
      <c r="A30" s="52" t="s">
        <v>21</v>
      </c>
      <c r="B30" s="52" t="s">
        <v>33</v>
      </c>
      <c r="C30" s="52" t="s">
        <v>34</v>
      </c>
      <c r="D30" s="52" t="s">
        <v>42</v>
      </c>
      <c r="E30" s="52" t="s">
        <v>25</v>
      </c>
      <c r="F30" s="52" t="s">
        <v>25</v>
      </c>
      <c r="G30" s="52" t="s">
        <v>25</v>
      </c>
      <c r="H30" s="52" t="s">
        <v>36</v>
      </c>
      <c r="I30" s="71">
        <v>44409</v>
      </c>
      <c r="J30" s="72">
        <f>EFEITO!$J$30*EFEITO!$Y$30</f>
        <v>0</v>
      </c>
      <c r="K30" s="72">
        <f ca="1">EFEITO!$L$30*EFEITO!$Z$30</f>
        <v>5199.5087758195796</v>
      </c>
      <c r="L30" s="72">
        <f>EFEITO!$N$30*EFEITO!$AA$30</f>
        <v>9908.4329699226655</v>
      </c>
      <c r="M30" s="72">
        <f>$J$30-EFEITO!$K$30*EFEITO!$Y$30</f>
        <v>0</v>
      </c>
      <c r="N30" s="72">
        <f ca="1">$K$30-EFEITO!$M$30*EFEITO!$Z$30</f>
        <v>0</v>
      </c>
      <c r="O30" s="72">
        <f>$L$30-EFEITO!$O$30*EFEITO!$AA$30</f>
        <v>0</v>
      </c>
      <c r="P30" s="56"/>
      <c r="Q30" s="56"/>
      <c r="R30" s="56"/>
      <c r="S30" s="56"/>
      <c r="T30" s="56"/>
      <c r="U30" s="56"/>
      <c r="V30" s="56"/>
      <c r="W30" s="56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</row>
    <row r="31" spans="1:36" ht="11.25" customHeight="1" x14ac:dyDescent="0.2">
      <c r="A31" s="52" t="s">
        <v>21</v>
      </c>
      <c r="B31" s="52" t="s">
        <v>33</v>
      </c>
      <c r="C31" s="52" t="s">
        <v>34</v>
      </c>
      <c r="D31" s="52" t="s">
        <v>42</v>
      </c>
      <c r="E31" s="52" t="s">
        <v>25</v>
      </c>
      <c r="F31" s="52" t="s">
        <v>25</v>
      </c>
      <c r="G31" s="52" t="s">
        <v>25</v>
      </c>
      <c r="H31" s="52" t="s">
        <v>36</v>
      </c>
      <c r="I31" s="71">
        <v>44440</v>
      </c>
      <c r="J31" s="72">
        <f>EFEITO!$J$31*EFEITO!$Y$31</f>
        <v>0</v>
      </c>
      <c r="K31" s="72">
        <f ca="1">EFEITO!$L$31*EFEITO!$Z$31</f>
        <v>5600.5026880419255</v>
      </c>
      <c r="L31" s="72">
        <f>EFEITO!$N$31*EFEITO!$AA$31</f>
        <v>10672.586175910068</v>
      </c>
      <c r="M31" s="72">
        <f>$J$31-EFEITO!$K$31*EFEITO!$Y$31</f>
        <v>0</v>
      </c>
      <c r="N31" s="72">
        <f ca="1">$K$31-EFEITO!$M$31*EFEITO!$Z$31</f>
        <v>0</v>
      </c>
      <c r="O31" s="72">
        <f>$L$31-EFEITO!$O$31*EFEITO!$AA$31</f>
        <v>0</v>
      </c>
      <c r="P31" s="56"/>
      <c r="Q31" s="56"/>
      <c r="R31" s="56"/>
      <c r="S31" s="56"/>
      <c r="T31" s="56"/>
      <c r="U31" s="56"/>
      <c r="V31" s="56"/>
      <c r="W31" s="56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</row>
    <row r="32" spans="1:36" ht="11.25" customHeight="1" x14ac:dyDescent="0.2">
      <c r="A32" s="52" t="s">
        <v>21</v>
      </c>
      <c r="B32" s="52" t="s">
        <v>33</v>
      </c>
      <c r="C32" s="52" t="s">
        <v>34</v>
      </c>
      <c r="D32" s="52" t="s">
        <v>42</v>
      </c>
      <c r="E32" s="52" t="s">
        <v>25</v>
      </c>
      <c r="F32" s="52" t="s">
        <v>25</v>
      </c>
      <c r="G32" s="52" t="s">
        <v>25</v>
      </c>
      <c r="H32" s="52" t="s">
        <v>36</v>
      </c>
      <c r="I32" s="71">
        <v>44470</v>
      </c>
      <c r="J32" s="72">
        <f>EFEITO!$J$32*EFEITO!$Y$32</f>
        <v>0</v>
      </c>
      <c r="K32" s="72">
        <f ca="1">EFEITO!$L$32*EFEITO!$Z$32</f>
        <v>5668.3842513396339</v>
      </c>
      <c r="L32" s="72">
        <f>EFEITO!$N$32*EFEITO!$AA$32</f>
        <v>10801.944534329779</v>
      </c>
      <c r="M32" s="72">
        <f>$J$32-EFEITO!$K$32*EFEITO!$Y$32</f>
        <v>0</v>
      </c>
      <c r="N32" s="72">
        <f ca="1">$K$32-EFEITO!$M$32*EFEITO!$Z$32</f>
        <v>0</v>
      </c>
      <c r="O32" s="72">
        <f>$L$32-EFEITO!$O$32*EFEITO!$AA$32</f>
        <v>0</v>
      </c>
      <c r="P32" s="56"/>
      <c r="Q32" s="56"/>
      <c r="R32" s="56"/>
      <c r="S32" s="56"/>
      <c r="T32" s="56"/>
      <c r="U32" s="56"/>
      <c r="V32" s="56"/>
      <c r="W32" s="56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</row>
    <row r="33" spans="1:36" ht="11.25" customHeight="1" x14ac:dyDescent="0.2">
      <c r="A33" s="52" t="s">
        <v>21</v>
      </c>
      <c r="B33" s="52" t="s">
        <v>33</v>
      </c>
      <c r="C33" s="52" t="s">
        <v>34</v>
      </c>
      <c r="D33" s="52" t="s">
        <v>42</v>
      </c>
      <c r="E33" s="52" t="s">
        <v>25</v>
      </c>
      <c r="F33" s="52" t="s">
        <v>25</v>
      </c>
      <c r="G33" s="52" t="s">
        <v>25</v>
      </c>
      <c r="H33" s="52" t="s">
        <v>36</v>
      </c>
      <c r="I33" s="71">
        <v>44501</v>
      </c>
      <c r="J33" s="72">
        <f>EFEITO!$J$33*EFEITO!$Y$33</f>
        <v>0</v>
      </c>
      <c r="K33" s="72">
        <f ca="1">EFEITO!$L$33*EFEITO!$Z$33</f>
        <v>5585.9957410468514</v>
      </c>
      <c r="L33" s="72">
        <f>EFEITO!$N$33*EFEITO!$AA$33</f>
        <v>10644.941042860697</v>
      </c>
      <c r="M33" s="72">
        <f>$J$33-EFEITO!$K$33*EFEITO!$Y$33</f>
        <v>0</v>
      </c>
      <c r="N33" s="72">
        <f ca="1">$K$33-EFEITO!$M$33*EFEITO!$Z$33</f>
        <v>0</v>
      </c>
      <c r="O33" s="72">
        <f>$L$33-EFEITO!$O$33*EFEITO!$AA$33</f>
        <v>0</v>
      </c>
      <c r="P33" s="56"/>
      <c r="Q33" s="56"/>
      <c r="R33" s="56"/>
      <c r="S33" s="56"/>
      <c r="T33" s="56"/>
      <c r="U33" s="56"/>
      <c r="V33" s="56"/>
      <c r="W33" s="56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</row>
    <row r="34" spans="1:36" ht="11.25" customHeight="1" x14ac:dyDescent="0.2">
      <c r="A34" s="52" t="s">
        <v>21</v>
      </c>
      <c r="B34" s="52" t="s">
        <v>33</v>
      </c>
      <c r="C34" s="52" t="s">
        <v>34</v>
      </c>
      <c r="D34" s="52" t="s">
        <v>42</v>
      </c>
      <c r="E34" s="52" t="s">
        <v>25</v>
      </c>
      <c r="F34" s="52" t="s">
        <v>25</v>
      </c>
      <c r="G34" s="52" t="s">
        <v>25</v>
      </c>
      <c r="H34" s="52" t="s">
        <v>36</v>
      </c>
      <c r="I34" s="71">
        <v>44531</v>
      </c>
      <c r="J34" s="72">
        <f>EFEITO!$J$34*EFEITO!$Y$34</f>
        <v>0</v>
      </c>
      <c r="K34" s="72">
        <f ca="1">EFEITO!$L$34*EFEITO!$Z$34</f>
        <v>6759.8267257332209</v>
      </c>
      <c r="L34" s="72">
        <f>EFEITO!$N$34*EFEITO!$AA$34</f>
        <v>12881.849591582182</v>
      </c>
      <c r="M34" s="72">
        <f>$J$34-EFEITO!$K$34*EFEITO!$Y$34</f>
        <v>0</v>
      </c>
      <c r="N34" s="72">
        <f ca="1">$K$34-EFEITO!$M$34*EFEITO!$Z$34</f>
        <v>0</v>
      </c>
      <c r="O34" s="72">
        <f>$L$34-EFEITO!$O$34*EFEITO!$AA$34</f>
        <v>0</v>
      </c>
      <c r="P34" s="56"/>
      <c r="Q34" s="56"/>
      <c r="R34" s="56"/>
      <c r="S34" s="56"/>
      <c r="T34" s="56"/>
      <c r="U34" s="56"/>
      <c r="V34" s="56"/>
      <c r="W34" s="56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</row>
    <row r="35" spans="1:36" ht="11.25" customHeight="1" x14ac:dyDescent="0.2">
      <c r="A35" s="52" t="s">
        <v>21</v>
      </c>
      <c r="B35" s="52" t="s">
        <v>33</v>
      </c>
      <c r="C35" s="52" t="s">
        <v>34</v>
      </c>
      <c r="D35" s="52" t="s">
        <v>42</v>
      </c>
      <c r="E35" s="52" t="s">
        <v>25</v>
      </c>
      <c r="F35" s="52" t="s">
        <v>25</v>
      </c>
      <c r="G35" s="52" t="s">
        <v>25</v>
      </c>
      <c r="H35" s="52" t="s">
        <v>36</v>
      </c>
      <c r="I35" s="71">
        <v>44562</v>
      </c>
      <c r="J35" s="72">
        <f>EFEITO!$J$35*EFEITO!$Y$35</f>
        <v>0</v>
      </c>
      <c r="K35" s="72">
        <f ca="1">EFEITO!$L$35*EFEITO!$Z$35</f>
        <v>6967.7140133324501</v>
      </c>
      <c r="L35" s="72">
        <f>EFEITO!$N$35*EFEITO!$AA$35</f>
        <v>13278.009564242546</v>
      </c>
      <c r="M35" s="72">
        <f>$J$35-EFEITO!$K$35*EFEITO!$Y$35</f>
        <v>0</v>
      </c>
      <c r="N35" s="72">
        <f ca="1">$K$35-EFEITO!$M$35*EFEITO!$Z$35</f>
        <v>0</v>
      </c>
      <c r="O35" s="72">
        <f>$L$35-EFEITO!$O$35*EFEITO!$AA$35</f>
        <v>0</v>
      </c>
      <c r="P35" s="56"/>
      <c r="Q35" s="56"/>
      <c r="R35" s="56"/>
      <c r="S35" s="56"/>
      <c r="T35" s="56"/>
      <c r="U35" s="56"/>
      <c r="V35" s="56"/>
      <c r="W35" s="56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</row>
    <row r="36" spans="1:36" ht="11.25" customHeight="1" x14ac:dyDescent="0.2">
      <c r="A36" s="52" t="s">
        <v>21</v>
      </c>
      <c r="B36" s="52" t="s">
        <v>33</v>
      </c>
      <c r="C36" s="52" t="s">
        <v>34</v>
      </c>
      <c r="D36" s="52" t="s">
        <v>42</v>
      </c>
      <c r="E36" s="52" t="s">
        <v>25</v>
      </c>
      <c r="F36" s="52" t="s">
        <v>25</v>
      </c>
      <c r="G36" s="52" t="s">
        <v>25</v>
      </c>
      <c r="H36" s="52" t="s">
        <v>36</v>
      </c>
      <c r="I36" s="71">
        <v>44593</v>
      </c>
      <c r="J36" s="72">
        <f>EFEITO!$J$36*EFEITO!$Y$36</f>
        <v>0</v>
      </c>
      <c r="K36" s="72">
        <f ca="1">EFEITO!$L$36*EFEITO!$Z$36</f>
        <v>5983.1576295346495</v>
      </c>
      <c r="L36" s="72">
        <f>EFEITO!$N$36*EFEITO!$AA$36</f>
        <v>11401.791760872793</v>
      </c>
      <c r="M36" s="72">
        <f>$J$36-EFEITO!$K$36*EFEITO!$Y$36</f>
        <v>0</v>
      </c>
      <c r="N36" s="72">
        <f ca="1">$K$36-EFEITO!$M$36*EFEITO!$Z$36</f>
        <v>0</v>
      </c>
      <c r="O36" s="72">
        <f>$L$36-EFEITO!$O$36*EFEITO!$AA$36</f>
        <v>0</v>
      </c>
      <c r="P36" s="56"/>
      <c r="Q36" s="56"/>
      <c r="R36" s="56"/>
      <c r="S36" s="56"/>
      <c r="T36" s="56"/>
      <c r="U36" s="56"/>
      <c r="V36" s="56"/>
      <c r="W36" s="56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</row>
    <row r="37" spans="1:36" ht="11.25" customHeight="1" x14ac:dyDescent="0.2">
      <c r="A37" s="52" t="s">
        <v>21</v>
      </c>
      <c r="B37" s="52" t="s">
        <v>33</v>
      </c>
      <c r="C37" s="52" t="s">
        <v>34</v>
      </c>
      <c r="D37" s="52" t="s">
        <v>42</v>
      </c>
      <c r="E37" s="52" t="s">
        <v>25</v>
      </c>
      <c r="F37" s="52" t="s">
        <v>25</v>
      </c>
      <c r="G37" s="52" t="s">
        <v>25</v>
      </c>
      <c r="H37" s="52" t="s">
        <v>36</v>
      </c>
      <c r="I37" s="71">
        <v>44621</v>
      </c>
      <c r="J37" s="72">
        <f>EFEITO!$J$37*EFEITO!$Y$37</f>
        <v>0</v>
      </c>
      <c r="K37" s="72">
        <f ca="1">EFEITO!$L$37*EFEITO!$Z$37</f>
        <v>6776.2496845955684</v>
      </c>
      <c r="L37" s="72">
        <f>EFEITO!$N$37*EFEITO!$AA$37</f>
        <v>12913.145968619208</v>
      </c>
      <c r="M37" s="72">
        <f>$J$37-EFEITO!$K$37*EFEITO!$Y$37</f>
        <v>0</v>
      </c>
      <c r="N37" s="72">
        <f ca="1">$K$37-EFEITO!$M$37*EFEITO!$Z$37</f>
        <v>0</v>
      </c>
      <c r="O37" s="72">
        <f>$L$37-EFEITO!$O$37*EFEITO!$AA$37</f>
        <v>0</v>
      </c>
      <c r="P37" s="56"/>
      <c r="Q37" s="56"/>
      <c r="R37" s="56"/>
      <c r="S37" s="56"/>
      <c r="T37" s="56"/>
      <c r="U37" s="56"/>
      <c r="V37" s="56"/>
      <c r="W37" s="56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</row>
    <row r="38" spans="1:36" ht="11.25" customHeight="1" x14ac:dyDescent="0.2">
      <c r="A38" s="52" t="s">
        <v>21</v>
      </c>
      <c r="B38" s="52" t="s">
        <v>33</v>
      </c>
      <c r="C38" s="52" t="s">
        <v>34</v>
      </c>
      <c r="D38" s="52" t="s">
        <v>42</v>
      </c>
      <c r="E38" s="52" t="s">
        <v>25</v>
      </c>
      <c r="F38" s="52" t="s">
        <v>25</v>
      </c>
      <c r="G38" s="52" t="s">
        <v>25</v>
      </c>
      <c r="H38" s="52" t="s">
        <v>25</v>
      </c>
      <c r="I38" s="71">
        <v>44287</v>
      </c>
      <c r="J38" s="72">
        <f ca="1">EFEITO!$J$38*EFEITO!$Y$38</f>
        <v>12319.268966004003</v>
      </c>
      <c r="K38" s="72">
        <f>EFEITO!$L$38*EFEITO!$Z$38</f>
        <v>0</v>
      </c>
      <c r="L38" s="72">
        <f>EFEITO!$N$38*EFEITO!$AA$38</f>
        <v>0</v>
      </c>
      <c r="M38" s="72">
        <f ca="1">$J$38-EFEITO!$K$38*EFEITO!$Y$38</f>
        <v>0</v>
      </c>
      <c r="N38" s="72">
        <f>$K$38-EFEITO!$M$38*EFEITO!$Z$38</f>
        <v>0</v>
      </c>
      <c r="O38" s="72">
        <f>$L$38-EFEITO!$O$38*EFEITO!$AA$38</f>
        <v>0</v>
      </c>
      <c r="P38" s="56"/>
      <c r="Q38" s="56"/>
      <c r="R38" s="56"/>
      <c r="S38" s="56"/>
      <c r="T38" s="56"/>
      <c r="U38" s="56"/>
      <c r="V38" s="56"/>
      <c r="W38" s="56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</row>
    <row r="39" spans="1:36" ht="11.25" customHeight="1" x14ac:dyDescent="0.2">
      <c r="A39" s="52" t="s">
        <v>21</v>
      </c>
      <c r="B39" s="52" t="s">
        <v>33</v>
      </c>
      <c r="C39" s="52" t="s">
        <v>34</v>
      </c>
      <c r="D39" s="52" t="s">
        <v>42</v>
      </c>
      <c r="E39" s="52" t="s">
        <v>25</v>
      </c>
      <c r="F39" s="52" t="s">
        <v>25</v>
      </c>
      <c r="G39" s="52" t="s">
        <v>25</v>
      </c>
      <c r="H39" s="52" t="s">
        <v>25</v>
      </c>
      <c r="I39" s="71">
        <v>44317</v>
      </c>
      <c r="J39" s="72">
        <f ca="1">EFEITO!$J$39*EFEITO!$Y$39</f>
        <v>12319.268966004003</v>
      </c>
      <c r="K39" s="72">
        <f>EFEITO!$L$39*EFEITO!$Z$39</f>
        <v>0</v>
      </c>
      <c r="L39" s="72">
        <f>EFEITO!$N$39*EFEITO!$AA$39</f>
        <v>0</v>
      </c>
      <c r="M39" s="72">
        <f ca="1">$J$39-EFEITO!$K$39*EFEITO!$Y$39</f>
        <v>0</v>
      </c>
      <c r="N39" s="72">
        <f>$K$39-EFEITO!$M$39*EFEITO!$Z$39</f>
        <v>0</v>
      </c>
      <c r="O39" s="72">
        <f>$L$39-EFEITO!$O$39*EFEITO!$AA$39</f>
        <v>0</v>
      </c>
      <c r="P39" s="56"/>
      <c r="Q39" s="56"/>
      <c r="R39" s="56"/>
      <c r="S39" s="56"/>
      <c r="T39" s="56"/>
      <c r="U39" s="56"/>
      <c r="V39" s="56"/>
      <c r="W39" s="56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</row>
    <row r="40" spans="1:36" ht="11.25" customHeight="1" x14ac:dyDescent="0.2">
      <c r="A40" s="52" t="s">
        <v>21</v>
      </c>
      <c r="B40" s="52" t="s">
        <v>33</v>
      </c>
      <c r="C40" s="52" t="s">
        <v>34</v>
      </c>
      <c r="D40" s="52" t="s">
        <v>42</v>
      </c>
      <c r="E40" s="52" t="s">
        <v>25</v>
      </c>
      <c r="F40" s="52" t="s">
        <v>25</v>
      </c>
      <c r="G40" s="52" t="s">
        <v>25</v>
      </c>
      <c r="H40" s="52" t="s">
        <v>25</v>
      </c>
      <c r="I40" s="71">
        <v>44348</v>
      </c>
      <c r="J40" s="72">
        <f ca="1">EFEITO!$J$40*EFEITO!$Y$40</f>
        <v>12319.268966004003</v>
      </c>
      <c r="K40" s="72">
        <f>EFEITO!$L$40*EFEITO!$Z$40</f>
        <v>0</v>
      </c>
      <c r="L40" s="72">
        <f>EFEITO!$N$40*EFEITO!$AA$40</f>
        <v>0</v>
      </c>
      <c r="M40" s="72">
        <f ca="1">$J$40-EFEITO!$K$40*EFEITO!$Y$40</f>
        <v>0</v>
      </c>
      <c r="N40" s="72">
        <f>$K$40-EFEITO!$M$40*EFEITO!$Z$40</f>
        <v>0</v>
      </c>
      <c r="O40" s="72">
        <f>$L$40-EFEITO!$O$40*EFEITO!$AA$40</f>
        <v>0</v>
      </c>
      <c r="P40" s="56"/>
      <c r="Q40" s="56"/>
      <c r="R40" s="56"/>
      <c r="S40" s="56"/>
      <c r="T40" s="56"/>
      <c r="U40" s="56"/>
      <c r="V40" s="56"/>
      <c r="W40" s="56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</row>
    <row r="41" spans="1:36" ht="11.25" customHeight="1" x14ac:dyDescent="0.2">
      <c r="A41" s="52" t="s">
        <v>21</v>
      </c>
      <c r="B41" s="52" t="s">
        <v>33</v>
      </c>
      <c r="C41" s="52" t="s">
        <v>34</v>
      </c>
      <c r="D41" s="52" t="s">
        <v>42</v>
      </c>
      <c r="E41" s="52" t="s">
        <v>25</v>
      </c>
      <c r="F41" s="52" t="s">
        <v>25</v>
      </c>
      <c r="G41" s="52" t="s">
        <v>25</v>
      </c>
      <c r="H41" s="52" t="s">
        <v>25</v>
      </c>
      <c r="I41" s="71">
        <v>44378</v>
      </c>
      <c r="J41" s="72">
        <f ca="1">EFEITO!$J$41*EFEITO!$Y$41</f>
        <v>12943.02941997889</v>
      </c>
      <c r="K41" s="72">
        <f>EFEITO!$L$41*EFEITO!$Z$41</f>
        <v>0</v>
      </c>
      <c r="L41" s="72">
        <f>EFEITO!$N$41*EFEITO!$AA$41</f>
        <v>0</v>
      </c>
      <c r="M41" s="72">
        <f ca="1">$J$41-EFEITO!$K$41*EFEITO!$Y$41</f>
        <v>0</v>
      </c>
      <c r="N41" s="72">
        <f>$K$41-EFEITO!$M$41*EFEITO!$Z$41</f>
        <v>0</v>
      </c>
      <c r="O41" s="72">
        <f>$L$41-EFEITO!$O$41*EFEITO!$AA$41</f>
        <v>0</v>
      </c>
      <c r="P41" s="56"/>
      <c r="Q41" s="56"/>
      <c r="R41" s="56"/>
      <c r="S41" s="56"/>
      <c r="T41" s="56"/>
      <c r="U41" s="56"/>
      <c r="V41" s="56"/>
      <c r="W41" s="56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</row>
    <row r="42" spans="1:36" ht="11.25" customHeight="1" x14ac:dyDescent="0.2">
      <c r="A42" s="52" t="s">
        <v>21</v>
      </c>
      <c r="B42" s="52" t="s">
        <v>33</v>
      </c>
      <c r="C42" s="52" t="s">
        <v>34</v>
      </c>
      <c r="D42" s="52" t="s">
        <v>42</v>
      </c>
      <c r="E42" s="52" t="s">
        <v>25</v>
      </c>
      <c r="F42" s="52" t="s">
        <v>25</v>
      </c>
      <c r="G42" s="52" t="s">
        <v>25</v>
      </c>
      <c r="H42" s="52" t="s">
        <v>25</v>
      </c>
      <c r="I42" s="71">
        <v>44409</v>
      </c>
      <c r="J42" s="72">
        <f ca="1">EFEITO!$J$42*EFEITO!$Y$42</f>
        <v>12319.268966004003</v>
      </c>
      <c r="K42" s="72">
        <f>EFEITO!$L$42*EFEITO!$Z$42</f>
        <v>0</v>
      </c>
      <c r="L42" s="72">
        <f>EFEITO!$N$42*EFEITO!$AA$42</f>
        <v>0</v>
      </c>
      <c r="M42" s="72">
        <f ca="1">$J$42-EFEITO!$K$42*EFEITO!$Y$42</f>
        <v>0</v>
      </c>
      <c r="N42" s="72">
        <f>$K$42-EFEITO!$M$42*EFEITO!$Z$42</f>
        <v>0</v>
      </c>
      <c r="O42" s="72">
        <f>$L$42-EFEITO!$O$42*EFEITO!$AA$42</f>
        <v>0</v>
      </c>
      <c r="P42" s="56"/>
      <c r="Q42" s="56"/>
      <c r="R42" s="56"/>
      <c r="S42" s="56"/>
      <c r="T42" s="56"/>
      <c r="U42" s="56"/>
      <c r="V42" s="56"/>
      <c r="W42" s="56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</row>
    <row r="43" spans="1:36" ht="11.25" customHeight="1" x14ac:dyDescent="0.2">
      <c r="A43" s="52" t="s">
        <v>21</v>
      </c>
      <c r="B43" s="52" t="s">
        <v>33</v>
      </c>
      <c r="C43" s="52" t="s">
        <v>34</v>
      </c>
      <c r="D43" s="52" t="s">
        <v>42</v>
      </c>
      <c r="E43" s="52" t="s">
        <v>25</v>
      </c>
      <c r="F43" s="52" t="s">
        <v>25</v>
      </c>
      <c r="G43" s="52" t="s">
        <v>25</v>
      </c>
      <c r="H43" s="52" t="s">
        <v>25</v>
      </c>
      <c r="I43" s="71">
        <v>44440</v>
      </c>
      <c r="J43" s="72">
        <f ca="1">EFEITO!$J$43*EFEITO!$Y$43</f>
        <v>12319.268966004003</v>
      </c>
      <c r="K43" s="72">
        <f>EFEITO!$L$43*EFEITO!$Z$43</f>
        <v>0</v>
      </c>
      <c r="L43" s="72">
        <f>EFEITO!$N$43*EFEITO!$AA$43</f>
        <v>0</v>
      </c>
      <c r="M43" s="72">
        <f ca="1">$J$43-EFEITO!$K$43*EFEITO!$Y$43</f>
        <v>0</v>
      </c>
      <c r="N43" s="72">
        <f>$K$43-EFEITO!$M$43*EFEITO!$Z$43</f>
        <v>0</v>
      </c>
      <c r="O43" s="72">
        <f>$L$43-EFEITO!$O$43*EFEITO!$AA$43</f>
        <v>0</v>
      </c>
      <c r="P43" s="56"/>
      <c r="Q43" s="56"/>
      <c r="R43" s="56"/>
      <c r="S43" s="56"/>
      <c r="T43" s="56"/>
      <c r="U43" s="56"/>
      <c r="V43" s="56"/>
      <c r="W43" s="56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</row>
    <row r="44" spans="1:36" ht="11.25" customHeight="1" x14ac:dyDescent="0.2">
      <c r="A44" s="52" t="s">
        <v>21</v>
      </c>
      <c r="B44" s="52" t="s">
        <v>33</v>
      </c>
      <c r="C44" s="52" t="s">
        <v>34</v>
      </c>
      <c r="D44" s="52" t="s">
        <v>42</v>
      </c>
      <c r="E44" s="52" t="s">
        <v>25</v>
      </c>
      <c r="F44" s="52" t="s">
        <v>25</v>
      </c>
      <c r="G44" s="52" t="s">
        <v>25</v>
      </c>
      <c r="H44" s="52" t="s">
        <v>25</v>
      </c>
      <c r="I44" s="71">
        <v>44470</v>
      </c>
      <c r="J44" s="72">
        <f ca="1">EFEITO!$J$44*EFEITO!$Y$44</f>
        <v>12709.119249738307</v>
      </c>
      <c r="K44" s="72">
        <f>EFEITO!$L$44*EFEITO!$Z$44</f>
        <v>0</v>
      </c>
      <c r="L44" s="72">
        <f>EFEITO!$N$44*EFEITO!$AA$44</f>
        <v>0</v>
      </c>
      <c r="M44" s="72">
        <f ca="1">$J$44-EFEITO!$K$44*EFEITO!$Y$44</f>
        <v>0</v>
      </c>
      <c r="N44" s="72">
        <f>$K$44-EFEITO!$M$44*EFEITO!$Z$44</f>
        <v>0</v>
      </c>
      <c r="O44" s="72">
        <f>$L$44-EFEITO!$O$44*EFEITO!$AA$44</f>
        <v>0</v>
      </c>
      <c r="P44" s="56"/>
      <c r="Q44" s="56"/>
      <c r="R44" s="56"/>
      <c r="S44" s="56"/>
      <c r="T44" s="56"/>
      <c r="U44" s="56"/>
      <c r="V44" s="56"/>
      <c r="W44" s="56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</row>
    <row r="45" spans="1:36" ht="11.25" customHeight="1" x14ac:dyDescent="0.2">
      <c r="A45" s="52" t="s">
        <v>21</v>
      </c>
      <c r="B45" s="52" t="s">
        <v>33</v>
      </c>
      <c r="C45" s="52" t="s">
        <v>34</v>
      </c>
      <c r="D45" s="52" t="s">
        <v>42</v>
      </c>
      <c r="E45" s="52" t="s">
        <v>25</v>
      </c>
      <c r="F45" s="52" t="s">
        <v>25</v>
      </c>
      <c r="G45" s="52" t="s">
        <v>25</v>
      </c>
      <c r="H45" s="52" t="s">
        <v>25</v>
      </c>
      <c r="I45" s="71">
        <v>44501</v>
      </c>
      <c r="J45" s="72">
        <f ca="1">EFEITO!$J$45*EFEITO!$Y$45</f>
        <v>12319.268966004003</v>
      </c>
      <c r="K45" s="72">
        <f>EFEITO!$L$45*EFEITO!$Z$45</f>
        <v>0</v>
      </c>
      <c r="L45" s="72">
        <f>EFEITO!$N$45*EFEITO!$AA$45</f>
        <v>0</v>
      </c>
      <c r="M45" s="72">
        <f ca="1">$J$45-EFEITO!$K$45*EFEITO!$Y$45</f>
        <v>0</v>
      </c>
      <c r="N45" s="72">
        <f>$K$45-EFEITO!$M$45*EFEITO!$Z$45</f>
        <v>0</v>
      </c>
      <c r="O45" s="72">
        <f>$L$45-EFEITO!$O$45*EFEITO!$AA$45</f>
        <v>0</v>
      </c>
      <c r="P45" s="56"/>
      <c r="Q45" s="56"/>
      <c r="R45" s="56"/>
      <c r="S45" s="56"/>
      <c r="T45" s="56"/>
      <c r="U45" s="56"/>
      <c r="V45" s="56"/>
      <c r="W45" s="56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</row>
    <row r="46" spans="1:36" ht="11.25" customHeight="1" x14ac:dyDescent="0.2">
      <c r="A46" s="52" t="s">
        <v>21</v>
      </c>
      <c r="B46" s="52" t="s">
        <v>33</v>
      </c>
      <c r="C46" s="52" t="s">
        <v>34</v>
      </c>
      <c r="D46" s="52" t="s">
        <v>42</v>
      </c>
      <c r="E46" s="52" t="s">
        <v>25</v>
      </c>
      <c r="F46" s="52" t="s">
        <v>25</v>
      </c>
      <c r="G46" s="52" t="s">
        <v>25</v>
      </c>
      <c r="H46" s="52" t="s">
        <v>25</v>
      </c>
      <c r="I46" s="71">
        <v>44531</v>
      </c>
      <c r="J46" s="72">
        <f ca="1">EFEITO!$J$46*EFEITO!$Y$46</f>
        <v>13020.99947672575</v>
      </c>
      <c r="K46" s="72">
        <f>EFEITO!$L$46*EFEITO!$Z$46</f>
        <v>0</v>
      </c>
      <c r="L46" s="72">
        <f>EFEITO!$N$46*EFEITO!$AA$46</f>
        <v>0</v>
      </c>
      <c r="M46" s="72">
        <f ca="1">$J$46-EFEITO!$K$46*EFEITO!$Y$46</f>
        <v>0</v>
      </c>
      <c r="N46" s="72">
        <f>$K$46-EFEITO!$M$46*EFEITO!$Z$46</f>
        <v>0</v>
      </c>
      <c r="O46" s="72">
        <f>$L$46-EFEITO!$O$46*EFEITO!$AA$46</f>
        <v>0</v>
      </c>
      <c r="P46" s="56"/>
      <c r="Q46" s="56"/>
      <c r="R46" s="56"/>
      <c r="S46" s="56"/>
      <c r="T46" s="56"/>
      <c r="U46" s="56"/>
      <c r="V46" s="56"/>
      <c r="W46" s="56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</row>
    <row r="47" spans="1:36" ht="11.25" customHeight="1" x14ac:dyDescent="0.2">
      <c r="A47" s="52" t="s">
        <v>21</v>
      </c>
      <c r="B47" s="52" t="s">
        <v>33</v>
      </c>
      <c r="C47" s="52" t="s">
        <v>34</v>
      </c>
      <c r="D47" s="52" t="s">
        <v>42</v>
      </c>
      <c r="E47" s="52" t="s">
        <v>25</v>
      </c>
      <c r="F47" s="52" t="s">
        <v>25</v>
      </c>
      <c r="G47" s="52" t="s">
        <v>25</v>
      </c>
      <c r="H47" s="52" t="s">
        <v>25</v>
      </c>
      <c r="I47" s="71">
        <v>44562</v>
      </c>
      <c r="J47" s="72">
        <f ca="1">EFEITO!$J$47*EFEITO!$Y$47</f>
        <v>13722.729987447497</v>
      </c>
      <c r="K47" s="72">
        <f>EFEITO!$L$47*EFEITO!$Z$47</f>
        <v>0</v>
      </c>
      <c r="L47" s="72">
        <f>EFEITO!$N$47*EFEITO!$AA$47</f>
        <v>0</v>
      </c>
      <c r="M47" s="72">
        <f ca="1">$J$47-EFEITO!$K$47*EFEITO!$Y$47</f>
        <v>0</v>
      </c>
      <c r="N47" s="72">
        <f>$K$47-EFEITO!$M$47*EFEITO!$Z$47</f>
        <v>0</v>
      </c>
      <c r="O47" s="72">
        <f>$L$47-EFEITO!$O$47*EFEITO!$AA$47</f>
        <v>0</v>
      </c>
      <c r="P47" s="56"/>
      <c r="Q47" s="56"/>
      <c r="R47" s="56"/>
      <c r="S47" s="56"/>
      <c r="T47" s="56"/>
      <c r="U47" s="56"/>
      <c r="V47" s="56"/>
      <c r="W47" s="56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</row>
    <row r="48" spans="1:36" ht="11.25" customHeight="1" x14ac:dyDescent="0.2">
      <c r="A48" s="52" t="s">
        <v>21</v>
      </c>
      <c r="B48" s="52" t="s">
        <v>33</v>
      </c>
      <c r="C48" s="52" t="s">
        <v>34</v>
      </c>
      <c r="D48" s="52" t="s">
        <v>42</v>
      </c>
      <c r="E48" s="52" t="s">
        <v>25</v>
      </c>
      <c r="F48" s="52" t="s">
        <v>25</v>
      </c>
      <c r="G48" s="52" t="s">
        <v>25</v>
      </c>
      <c r="H48" s="52" t="s">
        <v>25</v>
      </c>
      <c r="I48" s="71">
        <v>44593</v>
      </c>
      <c r="J48" s="72">
        <f ca="1">EFEITO!$J$48*EFEITO!$Y$48</f>
        <v>13098.969533472611</v>
      </c>
      <c r="K48" s="72">
        <f>EFEITO!$L$48*EFEITO!$Z$48</f>
        <v>0</v>
      </c>
      <c r="L48" s="72">
        <f>EFEITO!$N$48*EFEITO!$AA$48</f>
        <v>0</v>
      </c>
      <c r="M48" s="72">
        <f ca="1">$J$48-EFEITO!$K$48*EFEITO!$Y$48</f>
        <v>0</v>
      </c>
      <c r="N48" s="72">
        <f>$K$48-EFEITO!$M$48*EFEITO!$Z$48</f>
        <v>0</v>
      </c>
      <c r="O48" s="72">
        <f>$L$48-EFEITO!$O$48*EFEITO!$AA$48</f>
        <v>0</v>
      </c>
      <c r="P48" s="56"/>
      <c r="Q48" s="56"/>
      <c r="R48" s="56"/>
      <c r="S48" s="56"/>
      <c r="T48" s="56"/>
      <c r="U48" s="56"/>
      <c r="V48" s="56"/>
      <c r="W48" s="56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</row>
    <row r="49" spans="1:36" ht="11.25" customHeight="1" x14ac:dyDescent="0.2">
      <c r="A49" s="52" t="s">
        <v>21</v>
      </c>
      <c r="B49" s="52" t="s">
        <v>33</v>
      </c>
      <c r="C49" s="52" t="s">
        <v>34</v>
      </c>
      <c r="D49" s="52" t="s">
        <v>42</v>
      </c>
      <c r="E49" s="52" t="s">
        <v>25</v>
      </c>
      <c r="F49" s="52" t="s">
        <v>25</v>
      </c>
      <c r="G49" s="52" t="s">
        <v>25</v>
      </c>
      <c r="H49" s="52" t="s">
        <v>25</v>
      </c>
      <c r="I49" s="71">
        <v>44621</v>
      </c>
      <c r="J49" s="72">
        <f ca="1">EFEITO!$J$49*EFEITO!$Y$49</f>
        <v>13176.939590219472</v>
      </c>
      <c r="K49" s="72">
        <f>EFEITO!$L$49*EFEITO!$Z$49</f>
        <v>0</v>
      </c>
      <c r="L49" s="72">
        <f>EFEITO!$N$49*EFEITO!$AA$49</f>
        <v>0</v>
      </c>
      <c r="M49" s="72">
        <f ca="1">$J$49-EFEITO!$K$49*EFEITO!$Y$49</f>
        <v>0</v>
      </c>
      <c r="N49" s="72">
        <f>$K$49-EFEITO!$M$49*EFEITO!$Z$49</f>
        <v>0</v>
      </c>
      <c r="O49" s="72">
        <f>$L$49-EFEITO!$O$49*EFEITO!$AA$49</f>
        <v>0</v>
      </c>
      <c r="P49" s="56"/>
      <c r="Q49" s="56"/>
      <c r="R49" s="56"/>
      <c r="S49" s="56"/>
      <c r="T49" s="56"/>
      <c r="U49" s="56"/>
      <c r="V49" s="56"/>
      <c r="W49" s="56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</row>
    <row r="50" spans="1:36" ht="11.25" customHeight="1" x14ac:dyDescent="0.2">
      <c r="A50" s="52" t="s">
        <v>21</v>
      </c>
      <c r="B50" s="52" t="s">
        <v>33</v>
      </c>
      <c r="C50" s="52" t="s">
        <v>34</v>
      </c>
      <c r="D50" s="52" t="s">
        <v>42</v>
      </c>
      <c r="E50" s="52" t="s">
        <v>25</v>
      </c>
      <c r="F50" s="52" t="s">
        <v>25</v>
      </c>
      <c r="G50" s="52" t="s">
        <v>25</v>
      </c>
      <c r="H50" s="52" t="s">
        <v>35</v>
      </c>
      <c r="I50" s="71">
        <v>44287</v>
      </c>
      <c r="J50" s="72">
        <f>EFEITO!$J$50*EFEITO!$Y$50</f>
        <v>0</v>
      </c>
      <c r="K50" s="72">
        <f ca="1">EFEITO!$L$50*EFEITO!$Z$50</f>
        <v>13927.465932993351</v>
      </c>
      <c r="L50" s="72">
        <f>EFEITO!$N$50*EFEITO!$AA$50</f>
        <v>742.76734834543458</v>
      </c>
      <c r="M50" s="72">
        <f>$J$50-EFEITO!$K$50*EFEITO!$Y$50</f>
        <v>0</v>
      </c>
      <c r="N50" s="72">
        <f ca="1">$K$50-EFEITO!$M$50*EFEITO!$Z$50</f>
        <v>0</v>
      </c>
      <c r="O50" s="72">
        <f>$L$50-EFEITO!$O$50*EFEITO!$AA$50</f>
        <v>0</v>
      </c>
      <c r="P50" s="56"/>
      <c r="Q50" s="56"/>
      <c r="R50" s="56"/>
      <c r="S50" s="56"/>
      <c r="T50" s="56"/>
      <c r="U50" s="56"/>
      <c r="V50" s="56"/>
      <c r="W50" s="56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</row>
    <row r="51" spans="1:36" ht="11.25" customHeight="1" x14ac:dyDescent="0.2">
      <c r="A51" s="52" t="s">
        <v>21</v>
      </c>
      <c r="B51" s="52" t="s">
        <v>33</v>
      </c>
      <c r="C51" s="52" t="s">
        <v>34</v>
      </c>
      <c r="D51" s="52" t="s">
        <v>42</v>
      </c>
      <c r="E51" s="52" t="s">
        <v>25</v>
      </c>
      <c r="F51" s="52" t="s">
        <v>25</v>
      </c>
      <c r="G51" s="52" t="s">
        <v>25</v>
      </c>
      <c r="H51" s="52" t="s">
        <v>35</v>
      </c>
      <c r="I51" s="71">
        <v>44317</v>
      </c>
      <c r="J51" s="72">
        <f>EFEITO!$J$51*EFEITO!$Y$51</f>
        <v>0</v>
      </c>
      <c r="K51" s="72">
        <f ca="1">EFEITO!$L$51*EFEITO!$Z$51</f>
        <v>13761.197027894415</v>
      </c>
      <c r="L51" s="72">
        <f>EFEITO!$N$51*EFEITO!$AA$51</f>
        <v>733.90004151827713</v>
      </c>
      <c r="M51" s="72">
        <f>$J$51-EFEITO!$K$51*EFEITO!$Y$51</f>
        <v>0</v>
      </c>
      <c r="N51" s="72">
        <f ca="1">$K$51-EFEITO!$M$51*EFEITO!$Z$51</f>
        <v>0</v>
      </c>
      <c r="O51" s="72">
        <f>$L$51-EFEITO!$O$51*EFEITO!$AA$51</f>
        <v>0</v>
      </c>
      <c r="P51" s="56"/>
      <c r="Q51" s="56"/>
      <c r="R51" s="56"/>
      <c r="S51" s="56"/>
      <c r="T51" s="56"/>
      <c r="U51" s="56"/>
      <c r="V51" s="56"/>
      <c r="W51" s="56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</row>
    <row r="52" spans="1:36" ht="11.25" customHeight="1" x14ac:dyDescent="0.2">
      <c r="A52" s="52" t="s">
        <v>21</v>
      </c>
      <c r="B52" s="52" t="s">
        <v>33</v>
      </c>
      <c r="C52" s="52" t="s">
        <v>34</v>
      </c>
      <c r="D52" s="52" t="s">
        <v>42</v>
      </c>
      <c r="E52" s="52" t="s">
        <v>25</v>
      </c>
      <c r="F52" s="52" t="s">
        <v>25</v>
      </c>
      <c r="G52" s="52" t="s">
        <v>25</v>
      </c>
      <c r="H52" s="52" t="s">
        <v>35</v>
      </c>
      <c r="I52" s="71">
        <v>44348</v>
      </c>
      <c r="J52" s="72">
        <f>EFEITO!$J$52*EFEITO!$Y$52</f>
        <v>0</v>
      </c>
      <c r="K52" s="72">
        <f ca="1">EFEITO!$L$52*EFEITO!$Z$52</f>
        <v>13321.073455573698</v>
      </c>
      <c r="L52" s="72">
        <f>EFEITO!$N$52*EFEITO!$AA$52</f>
        <v>710.4277587405071</v>
      </c>
      <c r="M52" s="72">
        <f>$J$52-EFEITO!$K$52*EFEITO!$Y$52</f>
        <v>0</v>
      </c>
      <c r="N52" s="72">
        <f ca="1">$K$52-EFEITO!$M$52*EFEITO!$Z$52</f>
        <v>0</v>
      </c>
      <c r="O52" s="72">
        <f>$L$52-EFEITO!$O$52*EFEITO!$AA$52</f>
        <v>0</v>
      </c>
      <c r="P52" s="56"/>
      <c r="Q52" s="56"/>
      <c r="R52" s="56"/>
      <c r="S52" s="56"/>
      <c r="T52" s="56"/>
      <c r="U52" s="56"/>
      <c r="V52" s="56"/>
      <c r="W52" s="56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</row>
    <row r="53" spans="1:36" ht="11.25" customHeight="1" x14ac:dyDescent="0.2">
      <c r="A53" s="52" t="s">
        <v>21</v>
      </c>
      <c r="B53" s="52" t="s">
        <v>33</v>
      </c>
      <c r="C53" s="52" t="s">
        <v>34</v>
      </c>
      <c r="D53" s="52" t="s">
        <v>42</v>
      </c>
      <c r="E53" s="52" t="s">
        <v>25</v>
      </c>
      <c r="F53" s="52" t="s">
        <v>25</v>
      </c>
      <c r="G53" s="52" t="s">
        <v>25</v>
      </c>
      <c r="H53" s="52" t="s">
        <v>35</v>
      </c>
      <c r="I53" s="71">
        <v>44378</v>
      </c>
      <c r="J53" s="72">
        <f>EFEITO!$J$53*EFEITO!$Y$53</f>
        <v>0</v>
      </c>
      <c r="K53" s="72">
        <f ca="1">EFEITO!$L$53*EFEITO!$Z$53</f>
        <v>13247.719526853578</v>
      </c>
      <c r="L53" s="72">
        <f>EFEITO!$N$53*EFEITO!$AA$53</f>
        <v>706.51571161087872</v>
      </c>
      <c r="M53" s="72">
        <f>$J$53-EFEITO!$K$53*EFEITO!$Y$53</f>
        <v>0</v>
      </c>
      <c r="N53" s="72">
        <f ca="1">$K$53-EFEITO!$M$53*EFEITO!$Z$53</f>
        <v>0</v>
      </c>
      <c r="O53" s="72">
        <f>$L$53-EFEITO!$O$53*EFEITO!$AA$53</f>
        <v>0</v>
      </c>
      <c r="P53" s="56"/>
      <c r="Q53" s="56"/>
      <c r="R53" s="56"/>
      <c r="S53" s="56"/>
      <c r="T53" s="56"/>
      <c r="U53" s="56"/>
      <c r="V53" s="56"/>
      <c r="W53" s="56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</row>
    <row r="54" spans="1:36" ht="11.25" customHeight="1" x14ac:dyDescent="0.2">
      <c r="A54" s="52" t="s">
        <v>21</v>
      </c>
      <c r="B54" s="52" t="s">
        <v>33</v>
      </c>
      <c r="C54" s="52" t="s">
        <v>34</v>
      </c>
      <c r="D54" s="52" t="s">
        <v>42</v>
      </c>
      <c r="E54" s="52" t="s">
        <v>25</v>
      </c>
      <c r="F54" s="52" t="s">
        <v>25</v>
      </c>
      <c r="G54" s="52" t="s">
        <v>25</v>
      </c>
      <c r="H54" s="52" t="s">
        <v>35</v>
      </c>
      <c r="I54" s="71">
        <v>44409</v>
      </c>
      <c r="J54" s="72">
        <f>EFEITO!$J$54*EFEITO!$Y$54</f>
        <v>0</v>
      </c>
      <c r="K54" s="72">
        <f ca="1">EFEITO!$L$54*EFEITO!$Z$54</f>
        <v>14098.625100006964</v>
      </c>
      <c r="L54" s="72">
        <f>EFEITO!$N$54*EFEITO!$AA$54</f>
        <v>751.89545831456746</v>
      </c>
      <c r="M54" s="72">
        <f>$J$54-EFEITO!$K$54*EFEITO!$Y$54</f>
        <v>0</v>
      </c>
      <c r="N54" s="72">
        <f ca="1">$K$54-EFEITO!$M$54*EFEITO!$Z$54</f>
        <v>0</v>
      </c>
      <c r="O54" s="72">
        <f>$L$54-EFEITO!$O$54*EFEITO!$AA$54</f>
        <v>0</v>
      </c>
      <c r="P54" s="56"/>
      <c r="Q54" s="56"/>
      <c r="R54" s="56"/>
      <c r="S54" s="56"/>
      <c r="T54" s="56"/>
      <c r="U54" s="56"/>
      <c r="V54" s="56"/>
      <c r="W54" s="56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</row>
    <row r="55" spans="1:36" ht="11.25" customHeight="1" x14ac:dyDescent="0.2">
      <c r="A55" s="52" t="s">
        <v>21</v>
      </c>
      <c r="B55" s="52" t="s">
        <v>33</v>
      </c>
      <c r="C55" s="52" t="s">
        <v>34</v>
      </c>
      <c r="D55" s="52" t="s">
        <v>42</v>
      </c>
      <c r="E55" s="52" t="s">
        <v>25</v>
      </c>
      <c r="F55" s="52" t="s">
        <v>25</v>
      </c>
      <c r="G55" s="52" t="s">
        <v>25</v>
      </c>
      <c r="H55" s="52" t="s">
        <v>35</v>
      </c>
      <c r="I55" s="71">
        <v>44440</v>
      </c>
      <c r="J55" s="72">
        <f>EFEITO!$J$55*EFEITO!$Y$55</f>
        <v>0</v>
      </c>
      <c r="K55" s="72">
        <f ca="1">EFEITO!$L$55*EFEITO!$Z$55</f>
        <v>14705.017577426619</v>
      </c>
      <c r="L55" s="72">
        <f>EFEITO!$N$55*EFEITO!$AA$55</f>
        <v>784.23504791949517</v>
      </c>
      <c r="M55" s="72">
        <f>$J$55-EFEITO!$K$55*EFEITO!$Y$55</f>
        <v>0</v>
      </c>
      <c r="N55" s="72">
        <f ca="1">$K$55-EFEITO!$M$55*EFEITO!$Z$55</f>
        <v>0</v>
      </c>
      <c r="O55" s="72">
        <f>$L$55-EFEITO!$O$55*EFEITO!$AA$55</f>
        <v>0</v>
      </c>
      <c r="P55" s="56"/>
      <c r="Q55" s="56"/>
      <c r="R55" s="56"/>
      <c r="S55" s="56"/>
      <c r="T55" s="56"/>
      <c r="U55" s="56"/>
      <c r="V55" s="56"/>
      <c r="W55" s="56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</row>
    <row r="56" spans="1:36" ht="11.25" customHeight="1" x14ac:dyDescent="0.2">
      <c r="A56" s="52" t="s">
        <v>21</v>
      </c>
      <c r="B56" s="52" t="s">
        <v>33</v>
      </c>
      <c r="C56" s="52" t="s">
        <v>34</v>
      </c>
      <c r="D56" s="52" t="s">
        <v>42</v>
      </c>
      <c r="E56" s="52" t="s">
        <v>25</v>
      </c>
      <c r="F56" s="52" t="s">
        <v>25</v>
      </c>
      <c r="G56" s="52" t="s">
        <v>25</v>
      </c>
      <c r="H56" s="52" t="s">
        <v>35</v>
      </c>
      <c r="I56" s="71">
        <v>44470</v>
      </c>
      <c r="J56" s="72">
        <f>EFEITO!$J$56*EFEITO!$Y$56</f>
        <v>0</v>
      </c>
      <c r="K56" s="72">
        <f ca="1">EFEITO!$L$56*EFEITO!$Z$56</f>
        <v>12846.718049850257</v>
      </c>
      <c r="L56" s="72">
        <f>EFEITO!$N$56*EFEITO!$AA$56</f>
        <v>685.12985396891031</v>
      </c>
      <c r="M56" s="72">
        <f>$J$56-EFEITO!$K$56*EFEITO!$Y$56</f>
        <v>0</v>
      </c>
      <c r="N56" s="72">
        <f ca="1">$K$56-EFEITO!$M$56*EFEITO!$Z$56</f>
        <v>0</v>
      </c>
      <c r="O56" s="72">
        <f>$L$56-EFEITO!$O$56*EFEITO!$AA$56</f>
        <v>0</v>
      </c>
      <c r="P56" s="56"/>
      <c r="Q56" s="56"/>
      <c r="R56" s="56"/>
      <c r="S56" s="56"/>
      <c r="T56" s="56"/>
      <c r="U56" s="56"/>
      <c r="V56" s="56"/>
      <c r="W56" s="56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</row>
    <row r="57" spans="1:36" ht="11.25" customHeight="1" x14ac:dyDescent="0.2">
      <c r="A57" s="52" t="s">
        <v>21</v>
      </c>
      <c r="B57" s="52" t="s">
        <v>33</v>
      </c>
      <c r="C57" s="52" t="s">
        <v>34</v>
      </c>
      <c r="D57" s="52" t="s">
        <v>42</v>
      </c>
      <c r="E57" s="52" t="s">
        <v>25</v>
      </c>
      <c r="F57" s="52" t="s">
        <v>25</v>
      </c>
      <c r="G57" s="52" t="s">
        <v>25</v>
      </c>
      <c r="H57" s="52" t="s">
        <v>35</v>
      </c>
      <c r="I57" s="71">
        <v>44501</v>
      </c>
      <c r="J57" s="72">
        <f>EFEITO!$J$57*EFEITO!$Y$57</f>
        <v>0</v>
      </c>
      <c r="K57" s="72">
        <f ca="1">EFEITO!$L$57*EFEITO!$Z$57</f>
        <v>20284.806422070371</v>
      </c>
      <c r="L57" s="72">
        <f>EFEITO!$N$57*EFEITO!$AA$57</f>
        <v>1081.8114329132243</v>
      </c>
      <c r="M57" s="72">
        <f>$J$57-EFEITO!$K$57*EFEITO!$Y$57</f>
        <v>0</v>
      </c>
      <c r="N57" s="72">
        <f ca="1">$K$57-EFEITO!$M$57*EFEITO!$Z$57</f>
        <v>0</v>
      </c>
      <c r="O57" s="72">
        <f>$L$57-EFEITO!$O$57*EFEITO!$AA$57</f>
        <v>0</v>
      </c>
      <c r="P57" s="56"/>
      <c r="Q57" s="56"/>
      <c r="R57" s="56"/>
      <c r="S57" s="56"/>
      <c r="T57" s="56"/>
      <c r="U57" s="56"/>
      <c r="V57" s="56"/>
      <c r="W57" s="56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</row>
    <row r="58" spans="1:36" ht="11.25" customHeight="1" x14ac:dyDescent="0.2">
      <c r="A58" s="52" t="s">
        <v>21</v>
      </c>
      <c r="B58" s="52" t="s">
        <v>33</v>
      </c>
      <c r="C58" s="52" t="s">
        <v>34</v>
      </c>
      <c r="D58" s="52" t="s">
        <v>42</v>
      </c>
      <c r="E58" s="52" t="s">
        <v>25</v>
      </c>
      <c r="F58" s="52" t="s">
        <v>25</v>
      </c>
      <c r="G58" s="52" t="s">
        <v>25</v>
      </c>
      <c r="H58" s="52" t="s">
        <v>35</v>
      </c>
      <c r="I58" s="71">
        <v>44531</v>
      </c>
      <c r="J58" s="72">
        <f>EFEITO!$J$58*EFEITO!$Y$58</f>
        <v>0</v>
      </c>
      <c r="K58" s="72">
        <f ca="1">EFEITO!$L$58*EFEITO!$Z$58</f>
        <v>24783.847383571032</v>
      </c>
      <c r="L58" s="72">
        <f>EFEITO!$N$58*EFEITO!$AA$58</f>
        <v>1321.7503235304293</v>
      </c>
      <c r="M58" s="72">
        <f>$J$58-EFEITO!$K$58*EFEITO!$Y$58</f>
        <v>0</v>
      </c>
      <c r="N58" s="72">
        <f ca="1">$K$58-EFEITO!$M$58*EFEITO!$Z$58</f>
        <v>0</v>
      </c>
      <c r="O58" s="72">
        <f>$L$58-EFEITO!$O$58*EFEITO!$AA$58</f>
        <v>0</v>
      </c>
      <c r="P58" s="56"/>
      <c r="Q58" s="56"/>
      <c r="R58" s="56"/>
      <c r="S58" s="56"/>
      <c r="T58" s="56"/>
      <c r="U58" s="56"/>
      <c r="V58" s="56"/>
      <c r="W58" s="56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</row>
    <row r="59" spans="1:36" ht="11.25" customHeight="1" x14ac:dyDescent="0.2">
      <c r="A59" s="52" t="s">
        <v>21</v>
      </c>
      <c r="B59" s="52" t="s">
        <v>33</v>
      </c>
      <c r="C59" s="52" t="s">
        <v>34</v>
      </c>
      <c r="D59" s="52" t="s">
        <v>42</v>
      </c>
      <c r="E59" s="52" t="s">
        <v>25</v>
      </c>
      <c r="F59" s="52" t="s">
        <v>25</v>
      </c>
      <c r="G59" s="52" t="s">
        <v>25</v>
      </c>
      <c r="H59" s="52" t="s">
        <v>35</v>
      </c>
      <c r="I59" s="71">
        <v>44562</v>
      </c>
      <c r="J59" s="72">
        <f>EFEITO!$J$59*EFEITO!$Y$59</f>
        <v>0</v>
      </c>
      <c r="K59" s="72">
        <f ca="1">EFEITO!$L$59*EFEITO!$Z$59</f>
        <v>23791.124214892086</v>
      </c>
      <c r="L59" s="72">
        <f>EFEITO!$N$59*EFEITO!$AA$59</f>
        <v>1268.8072857094592</v>
      </c>
      <c r="M59" s="72">
        <f>$J$59-EFEITO!$K$59*EFEITO!$Y$59</f>
        <v>0</v>
      </c>
      <c r="N59" s="72">
        <f ca="1">$K$59-EFEITO!$M$59*EFEITO!$Z$59</f>
        <v>0</v>
      </c>
      <c r="O59" s="72">
        <f>$L$59-EFEITO!$O$59*EFEITO!$AA$59</f>
        <v>0</v>
      </c>
      <c r="P59" s="56"/>
      <c r="Q59" s="56"/>
      <c r="R59" s="56"/>
      <c r="S59" s="56"/>
      <c r="T59" s="56"/>
      <c r="U59" s="56"/>
      <c r="V59" s="56"/>
      <c r="W59" s="56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</row>
    <row r="60" spans="1:36" ht="11.25" customHeight="1" x14ac:dyDescent="0.2">
      <c r="A60" s="52" t="s">
        <v>21</v>
      </c>
      <c r="B60" s="52" t="s">
        <v>33</v>
      </c>
      <c r="C60" s="52" t="s">
        <v>34</v>
      </c>
      <c r="D60" s="52" t="s">
        <v>42</v>
      </c>
      <c r="E60" s="52" t="s">
        <v>25</v>
      </c>
      <c r="F60" s="52" t="s">
        <v>25</v>
      </c>
      <c r="G60" s="52" t="s">
        <v>25</v>
      </c>
      <c r="H60" s="52" t="s">
        <v>35</v>
      </c>
      <c r="I60" s="71">
        <v>44593</v>
      </c>
      <c r="J60" s="72">
        <f>EFEITO!$J$60*EFEITO!$Y$60</f>
        <v>0</v>
      </c>
      <c r="K60" s="72">
        <f ca="1">EFEITO!$L$60*EFEITO!$Z$60</f>
        <v>23375.451952144744</v>
      </c>
      <c r="L60" s="72">
        <f>EFEITO!$N$60*EFEITO!$AA$60</f>
        <v>1246.6390186415651</v>
      </c>
      <c r="M60" s="72">
        <f>$J$60-EFEITO!$K$60*EFEITO!$Y$60</f>
        <v>0</v>
      </c>
      <c r="N60" s="72">
        <f ca="1">$K$60-EFEITO!$M$60*EFEITO!$Z$60</f>
        <v>0</v>
      </c>
      <c r="O60" s="72">
        <f>$L$60-EFEITO!$O$60*EFEITO!$AA$60</f>
        <v>0</v>
      </c>
      <c r="P60" s="56"/>
      <c r="Q60" s="56"/>
      <c r="R60" s="56"/>
      <c r="S60" s="56"/>
      <c r="T60" s="56"/>
      <c r="U60" s="56"/>
      <c r="V60" s="56"/>
      <c r="W60" s="56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</row>
    <row r="61" spans="1:36" ht="11.25" customHeight="1" x14ac:dyDescent="0.2">
      <c r="A61" s="52" t="s">
        <v>21</v>
      </c>
      <c r="B61" s="52" t="s">
        <v>33</v>
      </c>
      <c r="C61" s="52" t="s">
        <v>34</v>
      </c>
      <c r="D61" s="52" t="s">
        <v>42</v>
      </c>
      <c r="E61" s="52" t="s">
        <v>25</v>
      </c>
      <c r="F61" s="52" t="s">
        <v>25</v>
      </c>
      <c r="G61" s="52" t="s">
        <v>25</v>
      </c>
      <c r="H61" s="52" t="s">
        <v>35</v>
      </c>
      <c r="I61" s="71">
        <v>44621</v>
      </c>
      <c r="J61" s="72">
        <f>EFEITO!$J$61*EFEITO!$Y$61</f>
        <v>0</v>
      </c>
      <c r="K61" s="72">
        <f ca="1">EFEITO!$L$61*EFEITO!$Z$61</f>
        <v>20641.79554184162</v>
      </c>
      <c r="L61" s="72">
        <f>EFEITO!$N$61*EFEITO!$AA$61</f>
        <v>1100.8500622774156</v>
      </c>
      <c r="M61" s="72">
        <f>$J$61-EFEITO!$K$61*EFEITO!$Y$61</f>
        <v>0</v>
      </c>
      <c r="N61" s="72">
        <f ca="1">$K$61-EFEITO!$M$61*EFEITO!$Z$61</f>
        <v>0</v>
      </c>
      <c r="O61" s="72">
        <f>$L$61-EFEITO!$O$61*EFEITO!$AA$61</f>
        <v>0</v>
      </c>
      <c r="P61" s="56"/>
      <c r="Q61" s="56"/>
      <c r="R61" s="56"/>
      <c r="S61" s="56"/>
      <c r="T61" s="56"/>
      <c r="U61" s="56"/>
      <c r="V61" s="56"/>
      <c r="W61" s="56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</row>
    <row r="62" spans="1:36" ht="11.25" customHeight="1" x14ac:dyDescent="0.2">
      <c r="A62" s="52" t="s">
        <v>21</v>
      </c>
      <c r="B62" s="52" t="s">
        <v>33</v>
      </c>
      <c r="C62" s="52" t="s">
        <v>34</v>
      </c>
      <c r="D62" s="52" t="s">
        <v>40</v>
      </c>
      <c r="E62" s="52" t="s">
        <v>25</v>
      </c>
      <c r="F62" s="52" t="s">
        <v>25</v>
      </c>
      <c r="G62" s="52" t="s">
        <v>25</v>
      </c>
      <c r="H62" s="52" t="s">
        <v>36</v>
      </c>
      <c r="I62" s="71">
        <v>44287</v>
      </c>
      <c r="J62" s="72">
        <f>EFEITO!$J$62*EFEITO!$Y$62</f>
        <v>0</v>
      </c>
      <c r="K62" s="72">
        <f ca="1">EFEITO!$L$62*EFEITO!$Z$62</f>
        <v>32268.103288723651</v>
      </c>
      <c r="L62" s="72">
        <f>EFEITO!$N$62*EFEITO!$AA$62</f>
        <v>61491.643208634086</v>
      </c>
      <c r="M62" s="72">
        <f>$J$62-EFEITO!$K$62*EFEITO!$Y$62</f>
        <v>0</v>
      </c>
      <c r="N62" s="72">
        <f ca="1">$K$62-EFEITO!$M$62*EFEITO!$Z$62</f>
        <v>0</v>
      </c>
      <c r="O62" s="72">
        <f>$L$62-EFEITO!$O$62*EFEITO!$AA$62</f>
        <v>0</v>
      </c>
      <c r="P62" s="56"/>
      <c r="Q62" s="56"/>
      <c r="R62" s="56"/>
      <c r="S62" s="56"/>
      <c r="T62" s="56"/>
      <c r="U62" s="56"/>
      <c r="V62" s="56"/>
      <c r="W62" s="56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</row>
    <row r="63" spans="1:36" ht="11.25" customHeight="1" x14ac:dyDescent="0.2">
      <c r="A63" s="52" t="s">
        <v>21</v>
      </c>
      <c r="B63" s="52" t="s">
        <v>33</v>
      </c>
      <c r="C63" s="52" t="s">
        <v>34</v>
      </c>
      <c r="D63" s="52" t="s">
        <v>40</v>
      </c>
      <c r="E63" s="52" t="s">
        <v>25</v>
      </c>
      <c r="F63" s="52" t="s">
        <v>25</v>
      </c>
      <c r="G63" s="52" t="s">
        <v>25</v>
      </c>
      <c r="H63" s="52" t="s">
        <v>36</v>
      </c>
      <c r="I63" s="71">
        <v>44317</v>
      </c>
      <c r="J63" s="72">
        <f>EFEITO!$J$63*EFEITO!$Y$63</f>
        <v>0</v>
      </c>
      <c r="K63" s="72">
        <f ca="1">EFEITO!$L$63*EFEITO!$Z$63</f>
        <v>21797.645866033272</v>
      </c>
      <c r="L63" s="72">
        <f>EFEITO!$N$63*EFEITO!$AA$63</f>
        <v>41538.638028677691</v>
      </c>
      <c r="M63" s="72">
        <f>$J$63-EFEITO!$K$63*EFEITO!$Y$63</f>
        <v>0</v>
      </c>
      <c r="N63" s="72">
        <f ca="1">$K$63-EFEITO!$M$63*EFEITO!$Z$63</f>
        <v>0</v>
      </c>
      <c r="O63" s="72">
        <f>$L$63-EFEITO!$O$63*EFEITO!$AA$63</f>
        <v>0</v>
      </c>
      <c r="P63" s="56"/>
      <c r="Q63" s="56"/>
      <c r="R63" s="56"/>
      <c r="S63" s="56"/>
      <c r="T63" s="56"/>
      <c r="U63" s="56"/>
      <c r="V63" s="56"/>
      <c r="W63" s="56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</row>
    <row r="64" spans="1:36" ht="11.25" customHeight="1" x14ac:dyDescent="0.2">
      <c r="A64" s="52" t="s">
        <v>21</v>
      </c>
      <c r="B64" s="52" t="s">
        <v>33</v>
      </c>
      <c r="C64" s="52" t="s">
        <v>34</v>
      </c>
      <c r="D64" s="52" t="s">
        <v>40</v>
      </c>
      <c r="E64" s="52" t="s">
        <v>25</v>
      </c>
      <c r="F64" s="52" t="s">
        <v>25</v>
      </c>
      <c r="G64" s="52" t="s">
        <v>25</v>
      </c>
      <c r="H64" s="52" t="s">
        <v>36</v>
      </c>
      <c r="I64" s="71">
        <v>44348</v>
      </c>
      <c r="J64" s="72">
        <f>EFEITO!$J$64*EFEITO!$Y$64</f>
        <v>0</v>
      </c>
      <c r="K64" s="72">
        <f ca="1">EFEITO!$L$64*EFEITO!$Z$64</f>
        <v>25695.087720049647</v>
      </c>
      <c r="L64" s="72">
        <f>EFEITO!$N$64*EFEITO!$AA$64</f>
        <v>48965.789905848091</v>
      </c>
      <c r="M64" s="72">
        <f>$J$64-EFEITO!$K$64*EFEITO!$Y$64</f>
        <v>0</v>
      </c>
      <c r="N64" s="72">
        <f ca="1">$K$64-EFEITO!$M$64*EFEITO!$Z$64</f>
        <v>0</v>
      </c>
      <c r="O64" s="72">
        <f>$L$64-EFEITO!$O$64*EFEITO!$AA$64</f>
        <v>0</v>
      </c>
      <c r="P64" s="56"/>
      <c r="Q64" s="56"/>
      <c r="R64" s="56"/>
      <c r="S64" s="56"/>
      <c r="T64" s="56"/>
      <c r="U64" s="56"/>
      <c r="V64" s="56"/>
      <c r="W64" s="56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</row>
    <row r="65" spans="1:36" ht="11.25" customHeight="1" x14ac:dyDescent="0.2">
      <c r="A65" s="52" t="s">
        <v>21</v>
      </c>
      <c r="B65" s="52" t="s">
        <v>33</v>
      </c>
      <c r="C65" s="52" t="s">
        <v>34</v>
      </c>
      <c r="D65" s="52" t="s">
        <v>40</v>
      </c>
      <c r="E65" s="52" t="s">
        <v>25</v>
      </c>
      <c r="F65" s="52" t="s">
        <v>25</v>
      </c>
      <c r="G65" s="52" t="s">
        <v>25</v>
      </c>
      <c r="H65" s="52" t="s">
        <v>36</v>
      </c>
      <c r="I65" s="71">
        <v>44378</v>
      </c>
      <c r="J65" s="72">
        <f>EFEITO!$J$65*EFEITO!$Y$65</f>
        <v>0</v>
      </c>
      <c r="K65" s="72">
        <f ca="1">EFEITO!$L$65*EFEITO!$Z$65</f>
        <v>24142.707533586141</v>
      </c>
      <c r="L65" s="72">
        <f>EFEITO!$N$65*EFEITO!$AA$65</f>
        <v>46007.499866423139</v>
      </c>
      <c r="M65" s="72">
        <f>$J$65-EFEITO!$K$65*EFEITO!$Y$65</f>
        <v>0</v>
      </c>
      <c r="N65" s="72">
        <f ca="1">$K$65-EFEITO!$M$65*EFEITO!$Z$65</f>
        <v>0</v>
      </c>
      <c r="O65" s="72">
        <f>$L$65-EFEITO!$O$65*EFEITO!$AA$65</f>
        <v>0</v>
      </c>
      <c r="P65" s="56"/>
      <c r="Q65" s="56"/>
      <c r="R65" s="56"/>
      <c r="S65" s="56"/>
      <c r="T65" s="56"/>
      <c r="U65" s="56"/>
      <c r="V65" s="56"/>
      <c r="W65" s="56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</row>
    <row r="66" spans="1:36" ht="11.25" customHeight="1" x14ac:dyDescent="0.2">
      <c r="A66" s="52" t="s">
        <v>21</v>
      </c>
      <c r="B66" s="52" t="s">
        <v>33</v>
      </c>
      <c r="C66" s="52" t="s">
        <v>34</v>
      </c>
      <c r="D66" s="52" t="s">
        <v>40</v>
      </c>
      <c r="E66" s="52" t="s">
        <v>25</v>
      </c>
      <c r="F66" s="52" t="s">
        <v>25</v>
      </c>
      <c r="G66" s="52" t="s">
        <v>25</v>
      </c>
      <c r="H66" s="52" t="s">
        <v>36</v>
      </c>
      <c r="I66" s="71">
        <v>44409</v>
      </c>
      <c r="J66" s="72">
        <f>EFEITO!$J$66*EFEITO!$Y$66</f>
        <v>0</v>
      </c>
      <c r="K66" s="72">
        <f ca="1">EFEITO!$L$66*EFEITO!$Z$66</f>
        <v>27415.803234852225</v>
      </c>
      <c r="L66" s="72">
        <f>EFEITO!$N$66*EFEITO!$AA$66</f>
        <v>52244.867809902571</v>
      </c>
      <c r="M66" s="72">
        <f>$J$66-EFEITO!$K$66*EFEITO!$Y$66</f>
        <v>0</v>
      </c>
      <c r="N66" s="72">
        <f ca="1">$K$66-EFEITO!$M$66*EFEITO!$Z$66</f>
        <v>0</v>
      </c>
      <c r="O66" s="72">
        <f>$L$66-EFEITO!$O$66*EFEITO!$AA$66</f>
        <v>0</v>
      </c>
      <c r="P66" s="56"/>
      <c r="Q66" s="56"/>
      <c r="R66" s="56"/>
      <c r="S66" s="56"/>
      <c r="T66" s="56"/>
      <c r="U66" s="56"/>
      <c r="V66" s="56"/>
      <c r="W66" s="56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</row>
    <row r="67" spans="1:36" ht="11.25" customHeight="1" x14ac:dyDescent="0.2">
      <c r="A67" s="52" t="s">
        <v>21</v>
      </c>
      <c r="B67" s="52" t="s">
        <v>33</v>
      </c>
      <c r="C67" s="52" t="s">
        <v>34</v>
      </c>
      <c r="D67" s="52" t="s">
        <v>40</v>
      </c>
      <c r="E67" s="52" t="s">
        <v>25</v>
      </c>
      <c r="F67" s="52" t="s">
        <v>25</v>
      </c>
      <c r="G67" s="52" t="s">
        <v>25</v>
      </c>
      <c r="H67" s="52" t="s">
        <v>36</v>
      </c>
      <c r="I67" s="71">
        <v>44440</v>
      </c>
      <c r="J67" s="72">
        <f>EFEITO!$J$67*EFEITO!$Y$67</f>
        <v>0</v>
      </c>
      <c r="K67" s="72">
        <f ca="1">EFEITO!$L$67*EFEITO!$Z$67</f>
        <v>28237.361751941215</v>
      </c>
      <c r="L67" s="72">
        <f>EFEITO!$N$67*EFEITO!$AA$67</f>
        <v>53810.469071179825</v>
      </c>
      <c r="M67" s="72">
        <f>$J$67-EFEITO!$K$67*EFEITO!$Y$67</f>
        <v>0</v>
      </c>
      <c r="N67" s="72">
        <f ca="1">$K$67-EFEITO!$M$67*EFEITO!$Z$67</f>
        <v>0</v>
      </c>
      <c r="O67" s="72">
        <f>$L$67-EFEITO!$O$67*EFEITO!$AA$67</f>
        <v>0</v>
      </c>
      <c r="P67" s="56"/>
      <c r="Q67" s="56"/>
      <c r="R67" s="56"/>
      <c r="S67" s="56"/>
      <c r="T67" s="56"/>
      <c r="U67" s="56"/>
      <c r="V67" s="56"/>
      <c r="W67" s="56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</row>
    <row r="68" spans="1:36" ht="11.25" customHeight="1" x14ac:dyDescent="0.2">
      <c r="A68" s="52" t="s">
        <v>21</v>
      </c>
      <c r="B68" s="52" t="s">
        <v>33</v>
      </c>
      <c r="C68" s="52" t="s">
        <v>34</v>
      </c>
      <c r="D68" s="52" t="s">
        <v>40</v>
      </c>
      <c r="E68" s="52" t="s">
        <v>25</v>
      </c>
      <c r="F68" s="52" t="s">
        <v>25</v>
      </c>
      <c r="G68" s="52" t="s">
        <v>25</v>
      </c>
      <c r="H68" s="52" t="s">
        <v>36</v>
      </c>
      <c r="I68" s="71">
        <v>44470</v>
      </c>
      <c r="J68" s="72">
        <f>EFEITO!$J$68*EFEITO!$Y$68</f>
        <v>0</v>
      </c>
      <c r="K68" s="72">
        <f ca="1">EFEITO!$L$68*EFEITO!$Z$68</f>
        <v>26498.033550427972</v>
      </c>
      <c r="L68" s="72">
        <f>EFEITO!$N$68*EFEITO!$AA$68</f>
        <v>50495.921939816719</v>
      </c>
      <c r="M68" s="72">
        <f>$J$68-EFEITO!$K$68*EFEITO!$Y$68</f>
        <v>0</v>
      </c>
      <c r="N68" s="72">
        <f ca="1">$K$68-EFEITO!$M$68*EFEITO!$Z$68</f>
        <v>0</v>
      </c>
      <c r="O68" s="72">
        <f>$L$68-EFEITO!$O$68*EFEITO!$AA$68</f>
        <v>0</v>
      </c>
      <c r="P68" s="56"/>
      <c r="Q68" s="56"/>
      <c r="R68" s="56"/>
      <c r="S68" s="56"/>
      <c r="T68" s="56"/>
      <c r="U68" s="56"/>
      <c r="V68" s="56"/>
      <c r="W68" s="56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</row>
    <row r="69" spans="1:36" ht="11.25" customHeight="1" x14ac:dyDescent="0.2">
      <c r="A69" s="52" t="s">
        <v>21</v>
      </c>
      <c r="B69" s="52" t="s">
        <v>33</v>
      </c>
      <c r="C69" s="52" t="s">
        <v>34</v>
      </c>
      <c r="D69" s="52" t="s">
        <v>40</v>
      </c>
      <c r="E69" s="52" t="s">
        <v>25</v>
      </c>
      <c r="F69" s="52" t="s">
        <v>25</v>
      </c>
      <c r="G69" s="52" t="s">
        <v>25</v>
      </c>
      <c r="H69" s="52" t="s">
        <v>36</v>
      </c>
      <c r="I69" s="71">
        <v>44501</v>
      </c>
      <c r="J69" s="72">
        <f>EFEITO!$J$69*EFEITO!$Y$69</f>
        <v>0</v>
      </c>
      <c r="K69" s="72">
        <f ca="1">EFEITO!$L$69*EFEITO!$Z$69</f>
        <v>26820.607834082602</v>
      </c>
      <c r="L69" s="72">
        <f>EFEITO!$N$69*EFEITO!$AA$69</f>
        <v>51110.634945452315</v>
      </c>
      <c r="M69" s="72">
        <f>$J$69-EFEITO!$K$69*EFEITO!$Y$69</f>
        <v>0</v>
      </c>
      <c r="N69" s="72">
        <f ca="1">$K$69-EFEITO!$M$69*EFEITO!$Z$69</f>
        <v>0</v>
      </c>
      <c r="O69" s="72">
        <f>$L$69-EFEITO!$O$69*EFEITO!$AA$69</f>
        <v>0</v>
      </c>
      <c r="P69" s="56"/>
      <c r="Q69" s="56"/>
      <c r="R69" s="56"/>
      <c r="S69" s="56"/>
      <c r="T69" s="56"/>
      <c r="U69" s="56"/>
      <c r="V69" s="56"/>
      <c r="W69" s="56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</row>
    <row r="70" spans="1:36" ht="11.25" customHeight="1" x14ac:dyDescent="0.2">
      <c r="A70" s="52" t="s">
        <v>21</v>
      </c>
      <c r="B70" s="52" t="s">
        <v>33</v>
      </c>
      <c r="C70" s="52" t="s">
        <v>34</v>
      </c>
      <c r="D70" s="52" t="s">
        <v>40</v>
      </c>
      <c r="E70" s="52" t="s">
        <v>25</v>
      </c>
      <c r="F70" s="52" t="s">
        <v>25</v>
      </c>
      <c r="G70" s="52" t="s">
        <v>25</v>
      </c>
      <c r="H70" s="52" t="s">
        <v>36</v>
      </c>
      <c r="I70" s="71">
        <v>44531</v>
      </c>
      <c r="J70" s="72">
        <f>EFEITO!$J$70*EFEITO!$Y$70</f>
        <v>0</v>
      </c>
      <c r="K70" s="72">
        <f ca="1">EFEITO!$L$70*EFEITO!$Z$70</f>
        <v>29390.527180059129</v>
      </c>
      <c r="L70" s="72">
        <f>EFEITO!$N$70*EFEITO!$AA$70</f>
        <v>56007.996345463056</v>
      </c>
      <c r="M70" s="72">
        <f>$J$70-EFEITO!$K$70*EFEITO!$Y$70</f>
        <v>0</v>
      </c>
      <c r="N70" s="72">
        <f ca="1">$K$70-EFEITO!$M$70*EFEITO!$Z$70</f>
        <v>0</v>
      </c>
      <c r="O70" s="72">
        <f>$L$70-EFEITO!$O$70*EFEITO!$AA$70</f>
        <v>0</v>
      </c>
      <c r="P70" s="56"/>
      <c r="Q70" s="56"/>
      <c r="R70" s="56"/>
      <c r="S70" s="56"/>
      <c r="T70" s="56"/>
      <c r="U70" s="56"/>
      <c r="V70" s="56"/>
      <c r="W70" s="56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</row>
    <row r="71" spans="1:36" ht="11.25" customHeight="1" x14ac:dyDescent="0.2">
      <c r="A71" s="52" t="s">
        <v>21</v>
      </c>
      <c r="B71" s="52" t="s">
        <v>33</v>
      </c>
      <c r="C71" s="52" t="s">
        <v>34</v>
      </c>
      <c r="D71" s="52" t="s">
        <v>40</v>
      </c>
      <c r="E71" s="52" t="s">
        <v>25</v>
      </c>
      <c r="F71" s="52" t="s">
        <v>25</v>
      </c>
      <c r="G71" s="52" t="s">
        <v>25</v>
      </c>
      <c r="H71" s="52" t="s">
        <v>36</v>
      </c>
      <c r="I71" s="71">
        <v>44562</v>
      </c>
      <c r="J71" s="72">
        <f>EFEITO!$J$71*EFEITO!$Y$71</f>
        <v>0</v>
      </c>
      <c r="K71" s="72">
        <f ca="1">EFEITO!$L$71*EFEITO!$Z$71</f>
        <v>29132.139293958178</v>
      </c>
      <c r="L71" s="72">
        <f>EFEITO!$N$71*EFEITO!$AA$71</f>
        <v>55515.600013413838</v>
      </c>
      <c r="M71" s="72">
        <f>$J$71-EFEITO!$K$71*EFEITO!$Y$71</f>
        <v>0</v>
      </c>
      <c r="N71" s="72">
        <f ca="1">$K$71-EFEITO!$M$71*EFEITO!$Z$71</f>
        <v>0</v>
      </c>
      <c r="O71" s="72">
        <f>$L$71-EFEITO!$O$71*EFEITO!$AA$71</f>
        <v>0</v>
      </c>
      <c r="P71" s="56"/>
      <c r="Q71" s="56"/>
      <c r="R71" s="56"/>
      <c r="S71" s="56"/>
      <c r="T71" s="56"/>
      <c r="U71" s="56"/>
      <c r="V71" s="56"/>
      <c r="W71" s="56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</row>
    <row r="72" spans="1:36" ht="11.25" customHeight="1" x14ac:dyDescent="0.2">
      <c r="A72" s="52" t="s">
        <v>21</v>
      </c>
      <c r="B72" s="52" t="s">
        <v>33</v>
      </c>
      <c r="C72" s="52" t="s">
        <v>34</v>
      </c>
      <c r="D72" s="52" t="s">
        <v>40</v>
      </c>
      <c r="E72" s="52" t="s">
        <v>25</v>
      </c>
      <c r="F72" s="52" t="s">
        <v>25</v>
      </c>
      <c r="G72" s="52" t="s">
        <v>25</v>
      </c>
      <c r="H72" s="52" t="s">
        <v>36</v>
      </c>
      <c r="I72" s="71">
        <v>44593</v>
      </c>
      <c r="J72" s="72">
        <f>EFEITO!$J$72*EFEITO!$Y$72</f>
        <v>0</v>
      </c>
      <c r="K72" s="72">
        <f ca="1">EFEITO!$L$72*EFEITO!$Z$72</f>
        <v>28256.385012623436</v>
      </c>
      <c r="L72" s="72">
        <f>EFEITO!$N$72*EFEITO!$AA$72</f>
        <v>53846.720707914385</v>
      </c>
      <c r="M72" s="72">
        <f>$J$72-EFEITO!$K$72*EFEITO!$Y$72</f>
        <v>0</v>
      </c>
      <c r="N72" s="72">
        <f ca="1">$K$72-EFEITO!$M$72*EFEITO!$Z$72</f>
        <v>0</v>
      </c>
      <c r="O72" s="72">
        <f>$L$72-EFEITO!$O$72*EFEITO!$AA$72</f>
        <v>0</v>
      </c>
      <c r="P72" s="56"/>
      <c r="Q72" s="56"/>
      <c r="R72" s="56"/>
      <c r="S72" s="56"/>
      <c r="T72" s="56"/>
      <c r="U72" s="56"/>
      <c r="V72" s="56"/>
      <c r="W72" s="56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</row>
    <row r="73" spans="1:36" ht="11.25" customHeight="1" x14ac:dyDescent="0.2">
      <c r="A73" s="52" t="s">
        <v>21</v>
      </c>
      <c r="B73" s="52" t="s">
        <v>33</v>
      </c>
      <c r="C73" s="52" t="s">
        <v>34</v>
      </c>
      <c r="D73" s="52" t="s">
        <v>40</v>
      </c>
      <c r="E73" s="52" t="s">
        <v>25</v>
      </c>
      <c r="F73" s="52" t="s">
        <v>25</v>
      </c>
      <c r="G73" s="52" t="s">
        <v>25</v>
      </c>
      <c r="H73" s="52" t="s">
        <v>36</v>
      </c>
      <c r="I73" s="71">
        <v>44621</v>
      </c>
      <c r="J73" s="72">
        <f>EFEITO!$J$73*EFEITO!$Y$73</f>
        <v>0</v>
      </c>
      <c r="K73" s="72">
        <f ca="1">EFEITO!$L$73*EFEITO!$Z$73</f>
        <v>31373.873178668768</v>
      </c>
      <c r="L73" s="72">
        <f>EFEITO!$N$73*EFEITO!$AA$73</f>
        <v>59787.555478967988</v>
      </c>
      <c r="M73" s="72">
        <f>$J$73-EFEITO!$K$73*EFEITO!$Y$73</f>
        <v>0</v>
      </c>
      <c r="N73" s="72">
        <f ca="1">$K$73-EFEITO!$M$73*EFEITO!$Z$73</f>
        <v>0</v>
      </c>
      <c r="O73" s="72">
        <f>$L$73-EFEITO!$O$73*EFEITO!$AA$73</f>
        <v>0</v>
      </c>
      <c r="P73" s="56"/>
      <c r="Q73" s="56"/>
      <c r="R73" s="56"/>
      <c r="S73" s="56"/>
      <c r="T73" s="56"/>
      <c r="U73" s="56"/>
      <c r="V73" s="56"/>
      <c r="W73" s="56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</row>
    <row r="74" spans="1:36" ht="11.25" customHeight="1" x14ac:dyDescent="0.2">
      <c r="A74" s="52" t="s">
        <v>21</v>
      </c>
      <c r="B74" s="52" t="s">
        <v>33</v>
      </c>
      <c r="C74" s="52" t="s">
        <v>34</v>
      </c>
      <c r="D74" s="52" t="s">
        <v>40</v>
      </c>
      <c r="E74" s="52" t="s">
        <v>25</v>
      </c>
      <c r="F74" s="52" t="s">
        <v>25</v>
      </c>
      <c r="G74" s="52" t="s">
        <v>25</v>
      </c>
      <c r="H74" s="52" t="s">
        <v>25</v>
      </c>
      <c r="I74" s="71">
        <v>44287</v>
      </c>
      <c r="J74" s="72">
        <f ca="1">EFEITO!$J$74*EFEITO!$Y$74</f>
        <v>73603.733569036573</v>
      </c>
      <c r="K74" s="72">
        <f>EFEITO!$L$74*EFEITO!$Z$74</f>
        <v>0</v>
      </c>
      <c r="L74" s="72">
        <f>EFEITO!$N$74*EFEITO!$AA$74</f>
        <v>0</v>
      </c>
      <c r="M74" s="72">
        <f ca="1">$J$74-EFEITO!$K$74*EFEITO!$Y$74</f>
        <v>0</v>
      </c>
      <c r="N74" s="72">
        <f>$K$74-EFEITO!$M$74*EFEITO!$Z$74</f>
        <v>0</v>
      </c>
      <c r="O74" s="72">
        <f>$L$74-EFEITO!$O$74*EFEITO!$AA$74</f>
        <v>0</v>
      </c>
      <c r="P74" s="56"/>
      <c r="Q74" s="56"/>
      <c r="R74" s="56"/>
      <c r="S74" s="56"/>
      <c r="T74" s="56"/>
      <c r="U74" s="56"/>
      <c r="V74" s="56"/>
      <c r="W74" s="56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</row>
    <row r="75" spans="1:36" ht="11.25" customHeight="1" x14ac:dyDescent="0.2">
      <c r="A75" s="52" t="s">
        <v>21</v>
      </c>
      <c r="B75" s="52" t="s">
        <v>33</v>
      </c>
      <c r="C75" s="52" t="s">
        <v>34</v>
      </c>
      <c r="D75" s="52" t="s">
        <v>40</v>
      </c>
      <c r="E75" s="52" t="s">
        <v>25</v>
      </c>
      <c r="F75" s="52" t="s">
        <v>25</v>
      </c>
      <c r="G75" s="52" t="s">
        <v>25</v>
      </c>
      <c r="H75" s="52" t="s">
        <v>25</v>
      </c>
      <c r="I75" s="71">
        <v>44317</v>
      </c>
      <c r="J75" s="72">
        <f ca="1">EFEITO!$J$75*EFEITO!$Y$75</f>
        <v>73369.823398795997</v>
      </c>
      <c r="K75" s="72">
        <f>EFEITO!$L$75*EFEITO!$Z$75</f>
        <v>0</v>
      </c>
      <c r="L75" s="72">
        <f>EFEITO!$N$75*EFEITO!$AA$75</f>
        <v>0</v>
      </c>
      <c r="M75" s="72">
        <f ca="1">$J$75-EFEITO!$K$75*EFEITO!$Y$75</f>
        <v>0</v>
      </c>
      <c r="N75" s="72">
        <f>$K$75-EFEITO!$M$75*EFEITO!$Z$75</f>
        <v>0</v>
      </c>
      <c r="O75" s="72">
        <f>$L$75-EFEITO!$O$75*EFEITO!$AA$75</f>
        <v>0</v>
      </c>
      <c r="P75" s="56"/>
      <c r="Q75" s="56"/>
      <c r="R75" s="56"/>
      <c r="S75" s="56"/>
      <c r="T75" s="56"/>
      <c r="U75" s="56"/>
      <c r="V75" s="56"/>
      <c r="W75" s="56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</row>
    <row r="76" spans="1:36" ht="11.25" customHeight="1" x14ac:dyDescent="0.2">
      <c r="A76" s="52" t="s">
        <v>21</v>
      </c>
      <c r="B76" s="52" t="s">
        <v>33</v>
      </c>
      <c r="C76" s="52" t="s">
        <v>34</v>
      </c>
      <c r="D76" s="52" t="s">
        <v>40</v>
      </c>
      <c r="E76" s="52" t="s">
        <v>25</v>
      </c>
      <c r="F76" s="52" t="s">
        <v>25</v>
      </c>
      <c r="G76" s="52" t="s">
        <v>25</v>
      </c>
      <c r="H76" s="52" t="s">
        <v>25</v>
      </c>
      <c r="I76" s="71">
        <v>44348</v>
      </c>
      <c r="J76" s="72">
        <f ca="1">EFEITO!$J$76*EFEITO!$Y$76</f>
        <v>72746.062944821111</v>
      </c>
      <c r="K76" s="72">
        <f>EFEITO!$L$76*EFEITO!$Z$76</f>
        <v>0</v>
      </c>
      <c r="L76" s="72">
        <f>EFEITO!$N$76*EFEITO!$AA$76</f>
        <v>0</v>
      </c>
      <c r="M76" s="72">
        <f ca="1">$J$76-EFEITO!$K$76*EFEITO!$Y$76</f>
        <v>0</v>
      </c>
      <c r="N76" s="72">
        <f>$K$76-EFEITO!$M$76*EFEITO!$Z$76</f>
        <v>0</v>
      </c>
      <c r="O76" s="72">
        <f>$L$76-EFEITO!$O$76*EFEITO!$AA$76</f>
        <v>0</v>
      </c>
      <c r="P76" s="56"/>
      <c r="Q76" s="56"/>
      <c r="R76" s="56"/>
      <c r="S76" s="56"/>
      <c r="T76" s="56"/>
      <c r="U76" s="56"/>
      <c r="V76" s="56"/>
      <c r="W76" s="56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</row>
    <row r="77" spans="1:36" ht="11.25" customHeight="1" x14ac:dyDescent="0.2">
      <c r="A77" s="52" t="s">
        <v>21</v>
      </c>
      <c r="B77" s="52" t="s">
        <v>33</v>
      </c>
      <c r="C77" s="52" t="s">
        <v>34</v>
      </c>
      <c r="D77" s="52" t="s">
        <v>40</v>
      </c>
      <c r="E77" s="52" t="s">
        <v>25</v>
      </c>
      <c r="F77" s="52" t="s">
        <v>25</v>
      </c>
      <c r="G77" s="52" t="s">
        <v>25</v>
      </c>
      <c r="H77" s="52" t="s">
        <v>25</v>
      </c>
      <c r="I77" s="71">
        <v>44378</v>
      </c>
      <c r="J77" s="72">
        <f ca="1">EFEITO!$J$77*EFEITO!$Y$77</f>
        <v>72902.003058314833</v>
      </c>
      <c r="K77" s="72">
        <f>EFEITO!$L$77*EFEITO!$Z$77</f>
        <v>0</v>
      </c>
      <c r="L77" s="72">
        <f>EFEITO!$N$77*EFEITO!$AA$77</f>
        <v>0</v>
      </c>
      <c r="M77" s="72">
        <f ca="1">$J$77-EFEITO!$K$77*EFEITO!$Y$77</f>
        <v>0</v>
      </c>
      <c r="N77" s="72">
        <f>$K$77-EFEITO!$M$77*EFEITO!$Z$77</f>
        <v>0</v>
      </c>
      <c r="O77" s="72">
        <f>$L$77-EFEITO!$O$77*EFEITO!$AA$77</f>
        <v>0</v>
      </c>
      <c r="P77" s="56"/>
      <c r="Q77" s="56"/>
      <c r="R77" s="56"/>
      <c r="S77" s="56"/>
      <c r="T77" s="56"/>
      <c r="U77" s="56"/>
      <c r="V77" s="56"/>
      <c r="W77" s="56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</row>
    <row r="78" spans="1:36" ht="11.25" customHeight="1" x14ac:dyDescent="0.2">
      <c r="A78" s="52" t="s">
        <v>21</v>
      </c>
      <c r="B78" s="52" t="s">
        <v>33</v>
      </c>
      <c r="C78" s="52" t="s">
        <v>34</v>
      </c>
      <c r="D78" s="52" t="s">
        <v>40</v>
      </c>
      <c r="E78" s="52" t="s">
        <v>25</v>
      </c>
      <c r="F78" s="52" t="s">
        <v>25</v>
      </c>
      <c r="G78" s="52" t="s">
        <v>25</v>
      </c>
      <c r="H78" s="52" t="s">
        <v>25</v>
      </c>
      <c r="I78" s="71">
        <v>44409</v>
      </c>
      <c r="J78" s="72">
        <f ca="1">EFEITO!$J$78*EFEITO!$Y$78</f>
        <v>85845.03247829371</v>
      </c>
      <c r="K78" s="72">
        <f>EFEITO!$L$78*EFEITO!$Z$78</f>
        <v>0</v>
      </c>
      <c r="L78" s="72">
        <f>EFEITO!$N$78*EFEITO!$AA$78</f>
        <v>0</v>
      </c>
      <c r="M78" s="72">
        <f ca="1">$J$78-EFEITO!$K$78*EFEITO!$Y$78</f>
        <v>0</v>
      </c>
      <c r="N78" s="72">
        <f>$K$78-EFEITO!$M$78*EFEITO!$Z$78</f>
        <v>0</v>
      </c>
      <c r="O78" s="72">
        <f>$L$78-EFEITO!$O$78*EFEITO!$AA$78</f>
        <v>0</v>
      </c>
      <c r="P78" s="56"/>
      <c r="Q78" s="56"/>
      <c r="R78" s="56"/>
      <c r="S78" s="56"/>
      <c r="T78" s="56"/>
      <c r="U78" s="56"/>
      <c r="V78" s="56"/>
      <c r="W78" s="56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</row>
    <row r="79" spans="1:36" ht="11.25" customHeight="1" x14ac:dyDescent="0.2">
      <c r="A79" s="52" t="s">
        <v>21</v>
      </c>
      <c r="B79" s="52" t="s">
        <v>33</v>
      </c>
      <c r="C79" s="52" t="s">
        <v>34</v>
      </c>
      <c r="D79" s="52" t="s">
        <v>40</v>
      </c>
      <c r="E79" s="52" t="s">
        <v>25</v>
      </c>
      <c r="F79" s="52" t="s">
        <v>25</v>
      </c>
      <c r="G79" s="52" t="s">
        <v>25</v>
      </c>
      <c r="H79" s="52" t="s">
        <v>25</v>
      </c>
      <c r="I79" s="71">
        <v>44440</v>
      </c>
      <c r="J79" s="72">
        <f ca="1">EFEITO!$J$79*EFEITO!$Y$79</f>
        <v>77190.356179392169</v>
      </c>
      <c r="K79" s="72">
        <f>EFEITO!$L$79*EFEITO!$Z$79</f>
        <v>0</v>
      </c>
      <c r="L79" s="72">
        <f>EFEITO!$N$79*EFEITO!$AA$79</f>
        <v>0</v>
      </c>
      <c r="M79" s="72">
        <f ca="1">$J$79-EFEITO!$K$79*EFEITO!$Y$79</f>
        <v>0</v>
      </c>
      <c r="N79" s="72">
        <f>$K$79-EFEITO!$M$79*EFEITO!$Z$79</f>
        <v>0</v>
      </c>
      <c r="O79" s="72">
        <f>$L$79-EFEITO!$O$79*EFEITO!$AA$79</f>
        <v>0</v>
      </c>
      <c r="P79" s="56"/>
      <c r="Q79" s="56"/>
      <c r="R79" s="56"/>
      <c r="S79" s="56"/>
      <c r="T79" s="56"/>
      <c r="U79" s="56"/>
      <c r="V79" s="56"/>
      <c r="W79" s="56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</row>
    <row r="80" spans="1:36" ht="11.25" customHeight="1" x14ac:dyDescent="0.2">
      <c r="A80" s="52" t="s">
        <v>21</v>
      </c>
      <c r="B80" s="52" t="s">
        <v>33</v>
      </c>
      <c r="C80" s="52" t="s">
        <v>34</v>
      </c>
      <c r="D80" s="52" t="s">
        <v>40</v>
      </c>
      <c r="E80" s="52" t="s">
        <v>25</v>
      </c>
      <c r="F80" s="52" t="s">
        <v>25</v>
      </c>
      <c r="G80" s="52" t="s">
        <v>25</v>
      </c>
      <c r="H80" s="52" t="s">
        <v>25</v>
      </c>
      <c r="I80" s="71">
        <v>44470</v>
      </c>
      <c r="J80" s="72">
        <f ca="1">EFEITO!$J$80*EFEITO!$Y$80</f>
        <v>80153.218335772879</v>
      </c>
      <c r="K80" s="72">
        <f>EFEITO!$L$80*EFEITO!$Z$80</f>
        <v>0</v>
      </c>
      <c r="L80" s="72">
        <f>EFEITO!$N$80*EFEITO!$AA$80</f>
        <v>0</v>
      </c>
      <c r="M80" s="72">
        <f ca="1">$J$80-EFEITO!$K$80*EFEITO!$Y$80</f>
        <v>0</v>
      </c>
      <c r="N80" s="72">
        <f>$K$80-EFEITO!$M$80*EFEITO!$Z$80</f>
        <v>0</v>
      </c>
      <c r="O80" s="72">
        <f>$L$80-EFEITO!$O$80*EFEITO!$AA$80</f>
        <v>0</v>
      </c>
      <c r="P80" s="56"/>
      <c r="Q80" s="56"/>
      <c r="R80" s="56"/>
      <c r="S80" s="56"/>
      <c r="T80" s="56"/>
      <c r="U80" s="56"/>
      <c r="V80" s="56"/>
      <c r="W80" s="56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</row>
    <row r="81" spans="1:36" ht="11.25" customHeight="1" x14ac:dyDescent="0.2">
      <c r="A81" s="52" t="s">
        <v>21</v>
      </c>
      <c r="B81" s="52" t="s">
        <v>33</v>
      </c>
      <c r="C81" s="52" t="s">
        <v>34</v>
      </c>
      <c r="D81" s="52" t="s">
        <v>40</v>
      </c>
      <c r="E81" s="52" t="s">
        <v>25</v>
      </c>
      <c r="F81" s="52" t="s">
        <v>25</v>
      </c>
      <c r="G81" s="52" t="s">
        <v>25</v>
      </c>
      <c r="H81" s="52" t="s">
        <v>25</v>
      </c>
      <c r="I81" s="71">
        <v>44501</v>
      </c>
      <c r="J81" s="72">
        <f ca="1">EFEITO!$J$81*EFEITO!$Y$81</f>
        <v>78827.727371076253</v>
      </c>
      <c r="K81" s="72">
        <f>EFEITO!$L$81*EFEITO!$Z$81</f>
        <v>0</v>
      </c>
      <c r="L81" s="72">
        <f>EFEITO!$N$81*EFEITO!$AA$81</f>
        <v>0</v>
      </c>
      <c r="M81" s="72">
        <f ca="1">$J$81-EFEITO!$K$81*EFEITO!$Y$81</f>
        <v>0</v>
      </c>
      <c r="N81" s="72">
        <f>$K$81-EFEITO!$M$81*EFEITO!$Z$81</f>
        <v>0</v>
      </c>
      <c r="O81" s="72">
        <f>$L$81-EFEITO!$O$81*EFEITO!$AA$81</f>
        <v>0</v>
      </c>
      <c r="P81" s="56"/>
      <c r="Q81" s="56"/>
      <c r="R81" s="56"/>
      <c r="S81" s="56"/>
      <c r="T81" s="56"/>
      <c r="U81" s="56"/>
      <c r="V81" s="56"/>
      <c r="W81" s="56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</row>
    <row r="82" spans="1:36" ht="11.25" customHeight="1" x14ac:dyDescent="0.2">
      <c r="A82" s="52" t="s">
        <v>21</v>
      </c>
      <c r="B82" s="52" t="s">
        <v>33</v>
      </c>
      <c r="C82" s="52" t="s">
        <v>34</v>
      </c>
      <c r="D82" s="52" t="s">
        <v>40</v>
      </c>
      <c r="E82" s="52" t="s">
        <v>25</v>
      </c>
      <c r="F82" s="52" t="s">
        <v>25</v>
      </c>
      <c r="G82" s="52" t="s">
        <v>25</v>
      </c>
      <c r="H82" s="52" t="s">
        <v>25</v>
      </c>
      <c r="I82" s="71">
        <v>44531</v>
      </c>
      <c r="J82" s="72">
        <f ca="1">EFEITO!$J$82*EFEITO!$Y$82</f>
        <v>77502.236406379612</v>
      </c>
      <c r="K82" s="72">
        <f>EFEITO!$L$82*EFEITO!$Z$82</f>
        <v>0</v>
      </c>
      <c r="L82" s="72">
        <f>EFEITO!$N$82*EFEITO!$AA$82</f>
        <v>0</v>
      </c>
      <c r="M82" s="72">
        <f ca="1">$J$82-EFEITO!$K$82*EFEITO!$Y$82</f>
        <v>0</v>
      </c>
      <c r="N82" s="72">
        <f>$K$82-EFEITO!$M$82*EFEITO!$Z$82</f>
        <v>0</v>
      </c>
      <c r="O82" s="72">
        <f>$L$82-EFEITO!$O$82*EFEITO!$AA$82</f>
        <v>0</v>
      </c>
      <c r="P82" s="56"/>
      <c r="Q82" s="56"/>
      <c r="R82" s="56"/>
      <c r="S82" s="56"/>
      <c r="T82" s="56"/>
      <c r="U82" s="56"/>
      <c r="V82" s="56"/>
      <c r="W82" s="56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</row>
    <row r="83" spans="1:36" ht="11.25" customHeight="1" x14ac:dyDescent="0.2">
      <c r="A83" s="52" t="s">
        <v>21</v>
      </c>
      <c r="B83" s="52" t="s">
        <v>33</v>
      </c>
      <c r="C83" s="52" t="s">
        <v>34</v>
      </c>
      <c r="D83" s="52" t="s">
        <v>40</v>
      </c>
      <c r="E83" s="52" t="s">
        <v>25</v>
      </c>
      <c r="F83" s="52" t="s">
        <v>25</v>
      </c>
      <c r="G83" s="52" t="s">
        <v>25</v>
      </c>
      <c r="H83" s="52" t="s">
        <v>25</v>
      </c>
      <c r="I83" s="71">
        <v>44562</v>
      </c>
      <c r="J83" s="72">
        <f ca="1">EFEITO!$J$83*EFEITO!$Y$83</f>
        <v>77346.296292885891</v>
      </c>
      <c r="K83" s="72">
        <f>EFEITO!$L$83*EFEITO!$Z$83</f>
        <v>0</v>
      </c>
      <c r="L83" s="72">
        <f>EFEITO!$N$83*EFEITO!$AA$83</f>
        <v>0</v>
      </c>
      <c r="M83" s="72">
        <f ca="1">$J$83-EFEITO!$K$83*EFEITO!$Y$83</f>
        <v>0</v>
      </c>
      <c r="N83" s="72">
        <f>$K$83-EFEITO!$M$83*EFEITO!$Z$83</f>
        <v>0</v>
      </c>
      <c r="O83" s="72">
        <f>$L$83-EFEITO!$O$83*EFEITO!$AA$83</f>
        <v>0</v>
      </c>
      <c r="P83" s="56"/>
      <c r="Q83" s="56"/>
      <c r="R83" s="56"/>
      <c r="S83" s="56"/>
      <c r="T83" s="56"/>
      <c r="U83" s="56"/>
      <c r="V83" s="56"/>
      <c r="W83" s="56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</row>
    <row r="84" spans="1:36" ht="11.25" customHeight="1" x14ac:dyDescent="0.2">
      <c r="A84" s="52" t="s">
        <v>21</v>
      </c>
      <c r="B84" s="52" t="s">
        <v>33</v>
      </c>
      <c r="C84" s="52" t="s">
        <v>34</v>
      </c>
      <c r="D84" s="52" t="s">
        <v>40</v>
      </c>
      <c r="E84" s="52" t="s">
        <v>25</v>
      </c>
      <c r="F84" s="52" t="s">
        <v>25</v>
      </c>
      <c r="G84" s="52" t="s">
        <v>25</v>
      </c>
      <c r="H84" s="52" t="s">
        <v>25</v>
      </c>
      <c r="I84" s="71">
        <v>44593</v>
      </c>
      <c r="J84" s="72">
        <f ca="1">EFEITO!$J$84*EFEITO!$Y$84</f>
        <v>75319.07481746751</v>
      </c>
      <c r="K84" s="72">
        <f>EFEITO!$L$84*EFEITO!$Z$84</f>
        <v>0</v>
      </c>
      <c r="L84" s="72">
        <f>EFEITO!$N$84*EFEITO!$AA$84</f>
        <v>0</v>
      </c>
      <c r="M84" s="72">
        <f ca="1">$J$84-EFEITO!$K$84*EFEITO!$Y$84</f>
        <v>0</v>
      </c>
      <c r="N84" s="72">
        <f>$K$84-EFEITO!$M$84*EFEITO!$Z$84</f>
        <v>0</v>
      </c>
      <c r="O84" s="72">
        <f>$L$84-EFEITO!$O$84*EFEITO!$AA$84</f>
        <v>0</v>
      </c>
      <c r="P84" s="56"/>
      <c r="Q84" s="56"/>
      <c r="R84" s="56"/>
      <c r="S84" s="56"/>
      <c r="T84" s="56"/>
      <c r="U84" s="56"/>
      <c r="V84" s="56"/>
      <c r="W84" s="56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</row>
    <row r="85" spans="1:36" ht="11.25" customHeight="1" x14ac:dyDescent="0.2">
      <c r="A85" s="52" t="s">
        <v>21</v>
      </c>
      <c r="B85" s="52" t="s">
        <v>33</v>
      </c>
      <c r="C85" s="52" t="s">
        <v>34</v>
      </c>
      <c r="D85" s="52" t="s">
        <v>40</v>
      </c>
      <c r="E85" s="52" t="s">
        <v>25</v>
      </c>
      <c r="F85" s="52" t="s">
        <v>25</v>
      </c>
      <c r="G85" s="52" t="s">
        <v>25</v>
      </c>
      <c r="H85" s="52" t="s">
        <v>25</v>
      </c>
      <c r="I85" s="71">
        <v>44621</v>
      </c>
      <c r="J85" s="72">
        <f ca="1">EFEITO!$J$85*EFEITO!$Y$85</f>
        <v>76098.775384936118</v>
      </c>
      <c r="K85" s="72">
        <f>EFEITO!$L$85*EFEITO!$Z$85</f>
        <v>0</v>
      </c>
      <c r="L85" s="72">
        <f>EFEITO!$N$85*EFEITO!$AA$85</f>
        <v>0</v>
      </c>
      <c r="M85" s="72">
        <f ca="1">$J$85-EFEITO!$K$85*EFEITO!$Y$85</f>
        <v>0</v>
      </c>
      <c r="N85" s="72">
        <f>$K$85-EFEITO!$M$85*EFEITO!$Z$85</f>
        <v>0</v>
      </c>
      <c r="O85" s="72">
        <f>$L$85-EFEITO!$O$85*EFEITO!$AA$85</f>
        <v>0</v>
      </c>
      <c r="P85" s="56"/>
      <c r="Q85" s="56"/>
      <c r="R85" s="56"/>
      <c r="S85" s="56"/>
      <c r="T85" s="56"/>
      <c r="U85" s="56"/>
      <c r="V85" s="56"/>
      <c r="W85" s="56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</row>
    <row r="86" spans="1:36" ht="11.25" customHeight="1" x14ac:dyDescent="0.2">
      <c r="A86" s="52" t="s">
        <v>21</v>
      </c>
      <c r="B86" s="52" t="s">
        <v>33</v>
      </c>
      <c r="C86" s="52" t="s">
        <v>34</v>
      </c>
      <c r="D86" s="52" t="s">
        <v>40</v>
      </c>
      <c r="E86" s="52" t="s">
        <v>25</v>
      </c>
      <c r="F86" s="52" t="s">
        <v>25</v>
      </c>
      <c r="G86" s="52" t="s">
        <v>25</v>
      </c>
      <c r="H86" s="52" t="s">
        <v>35</v>
      </c>
      <c r="I86" s="71">
        <v>44287</v>
      </c>
      <c r="J86" s="72">
        <f>EFEITO!$J$86*EFEITO!$Y$86</f>
        <v>0</v>
      </c>
      <c r="K86" s="72">
        <f ca="1">EFEITO!$L$86*EFEITO!$Z$86</f>
        <v>16509.524223941557</v>
      </c>
      <c r="L86" s="72">
        <f>EFEITO!$N$86*EFEITO!$AA$86</f>
        <v>880.47140730835224</v>
      </c>
      <c r="M86" s="72">
        <f>$J$86-EFEITO!$K$86*EFEITO!$Y$86</f>
        <v>0</v>
      </c>
      <c r="N86" s="72">
        <f ca="1">$K$86-EFEITO!$M$86*EFEITO!$Z$86</f>
        <v>0</v>
      </c>
      <c r="O86" s="72">
        <f>$L$86-EFEITO!$O$86*EFEITO!$AA$86</f>
        <v>0</v>
      </c>
      <c r="P86" s="56"/>
      <c r="Q86" s="56"/>
      <c r="R86" s="56"/>
      <c r="S86" s="56"/>
      <c r="T86" s="56"/>
      <c r="U86" s="56"/>
      <c r="V86" s="56"/>
      <c r="W86" s="56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</row>
    <row r="87" spans="1:36" ht="11.25" customHeight="1" x14ac:dyDescent="0.2">
      <c r="A87" s="52" t="s">
        <v>21</v>
      </c>
      <c r="B87" s="52" t="s">
        <v>33</v>
      </c>
      <c r="C87" s="52" t="s">
        <v>34</v>
      </c>
      <c r="D87" s="52" t="s">
        <v>40</v>
      </c>
      <c r="E87" s="52" t="s">
        <v>25</v>
      </c>
      <c r="F87" s="52" t="s">
        <v>25</v>
      </c>
      <c r="G87" s="52" t="s">
        <v>25</v>
      </c>
      <c r="H87" s="52" t="s">
        <v>35</v>
      </c>
      <c r="I87" s="71">
        <v>44317</v>
      </c>
      <c r="J87" s="72">
        <f>EFEITO!$J$87*EFEITO!$Y$87</f>
        <v>0</v>
      </c>
      <c r="K87" s="72">
        <f ca="1">EFEITO!$L$87*EFEITO!$Z$87</f>
        <v>11252.492665666328</v>
      </c>
      <c r="L87" s="72">
        <f>EFEITO!$N$87*EFEITO!$AA$87</f>
        <v>600.10802968498786</v>
      </c>
      <c r="M87" s="72">
        <f>$J$87-EFEITO!$K$87*EFEITO!$Y$87</f>
        <v>0</v>
      </c>
      <c r="N87" s="72">
        <f ca="1">$K$87-EFEITO!$M$87*EFEITO!$Z$87</f>
        <v>0</v>
      </c>
      <c r="O87" s="72">
        <f>$L$87-EFEITO!$O$87*EFEITO!$AA$87</f>
        <v>0</v>
      </c>
      <c r="P87" s="56"/>
      <c r="Q87" s="56"/>
      <c r="R87" s="56"/>
      <c r="S87" s="56"/>
      <c r="T87" s="56"/>
      <c r="U87" s="56"/>
      <c r="V87" s="56"/>
      <c r="W87" s="56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</row>
    <row r="88" spans="1:36" ht="11.25" customHeight="1" x14ac:dyDescent="0.2">
      <c r="A88" s="52" t="s">
        <v>21</v>
      </c>
      <c r="B88" s="52" t="s">
        <v>33</v>
      </c>
      <c r="C88" s="52" t="s">
        <v>34</v>
      </c>
      <c r="D88" s="52" t="s">
        <v>40</v>
      </c>
      <c r="E88" s="52" t="s">
        <v>25</v>
      </c>
      <c r="F88" s="52" t="s">
        <v>25</v>
      </c>
      <c r="G88" s="52" t="s">
        <v>25</v>
      </c>
      <c r="H88" s="52" t="s">
        <v>35</v>
      </c>
      <c r="I88" s="71">
        <v>44348</v>
      </c>
      <c r="J88" s="72">
        <f>EFEITO!$J$88*EFEITO!$Y$88</f>
        <v>0</v>
      </c>
      <c r="K88" s="72">
        <f ca="1">EFEITO!$L$88*EFEITO!$Z$88</f>
        <v>8763.3493510969402</v>
      </c>
      <c r="L88" s="72">
        <f>EFEITO!$N$88*EFEITO!$AA$88</f>
        <v>467.35923041959933</v>
      </c>
      <c r="M88" s="72">
        <f>$J$88-EFEITO!$K$88*EFEITO!$Y$88</f>
        <v>0</v>
      </c>
      <c r="N88" s="72">
        <f ca="1">$K$88-EFEITO!$M$88*EFEITO!$Z$88</f>
        <v>0</v>
      </c>
      <c r="O88" s="72">
        <f>$L$88-EFEITO!$O$88*EFEITO!$AA$88</f>
        <v>0</v>
      </c>
      <c r="P88" s="56"/>
      <c r="Q88" s="56"/>
      <c r="R88" s="56"/>
      <c r="S88" s="56"/>
      <c r="T88" s="56"/>
      <c r="U88" s="56"/>
      <c r="V88" s="56"/>
      <c r="W88" s="56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</row>
    <row r="89" spans="1:36" ht="11.25" customHeight="1" x14ac:dyDescent="0.2">
      <c r="A89" s="52" t="s">
        <v>21</v>
      </c>
      <c r="B89" s="52" t="s">
        <v>33</v>
      </c>
      <c r="C89" s="52" t="s">
        <v>34</v>
      </c>
      <c r="D89" s="52" t="s">
        <v>40</v>
      </c>
      <c r="E89" s="52" t="s">
        <v>25</v>
      </c>
      <c r="F89" s="52" t="s">
        <v>25</v>
      </c>
      <c r="G89" s="52" t="s">
        <v>25</v>
      </c>
      <c r="H89" s="52" t="s">
        <v>35</v>
      </c>
      <c r="I89" s="71">
        <v>44378</v>
      </c>
      <c r="J89" s="72">
        <f>EFEITO!$J$89*EFEITO!$Y$89</f>
        <v>0</v>
      </c>
      <c r="K89" s="72">
        <f ca="1">EFEITO!$L$89*EFEITO!$Z$89</f>
        <v>7966.2366590049751</v>
      </c>
      <c r="L89" s="72">
        <f>EFEITO!$N$89*EFEITO!$AA$89</f>
        <v>424.84831827763799</v>
      </c>
      <c r="M89" s="72">
        <f>$J$89-EFEITO!$K$89*EFEITO!$Y$89</f>
        <v>0</v>
      </c>
      <c r="N89" s="72">
        <f ca="1">$K$89-EFEITO!$M$89*EFEITO!$Z$89</f>
        <v>0</v>
      </c>
      <c r="O89" s="72">
        <f>$L$89-EFEITO!$O$89*EFEITO!$AA$89</f>
        <v>0</v>
      </c>
      <c r="P89" s="56"/>
      <c r="Q89" s="56"/>
      <c r="R89" s="56"/>
      <c r="S89" s="56"/>
      <c r="T89" s="56"/>
      <c r="U89" s="56"/>
      <c r="V89" s="56"/>
      <c r="W89" s="56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</row>
    <row r="90" spans="1:36" ht="11.25" customHeight="1" x14ac:dyDescent="0.2">
      <c r="A90" s="52" t="s">
        <v>21</v>
      </c>
      <c r="B90" s="52" t="s">
        <v>33</v>
      </c>
      <c r="C90" s="52" t="s">
        <v>34</v>
      </c>
      <c r="D90" s="52" t="s">
        <v>40</v>
      </c>
      <c r="E90" s="52" t="s">
        <v>25</v>
      </c>
      <c r="F90" s="52" t="s">
        <v>25</v>
      </c>
      <c r="G90" s="52" t="s">
        <v>25</v>
      </c>
      <c r="H90" s="52" t="s">
        <v>35</v>
      </c>
      <c r="I90" s="71">
        <v>44409</v>
      </c>
      <c r="J90" s="72">
        <f>EFEITO!$J$90*EFEITO!$Y$90</f>
        <v>0</v>
      </c>
      <c r="K90" s="72">
        <f ca="1">EFEITO!$L$90*EFEITO!$Z$90</f>
        <v>12279.447667748002</v>
      </c>
      <c r="L90" s="72">
        <f>EFEITO!$N$90*EFEITO!$AA$90</f>
        <v>654.87668949978456</v>
      </c>
      <c r="M90" s="72">
        <f>$J$90-EFEITO!$K$90*EFEITO!$Y$90</f>
        <v>0</v>
      </c>
      <c r="N90" s="72">
        <f ca="1">$K$90-EFEITO!$M$90*EFEITO!$Z$90</f>
        <v>0</v>
      </c>
      <c r="O90" s="72">
        <f>$L$90-EFEITO!$O$90*EFEITO!$AA$90</f>
        <v>0</v>
      </c>
      <c r="P90" s="56"/>
      <c r="Q90" s="56"/>
      <c r="R90" s="56"/>
      <c r="S90" s="56"/>
      <c r="T90" s="56"/>
      <c r="U90" s="56"/>
      <c r="V90" s="56"/>
      <c r="W90" s="56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</row>
    <row r="91" spans="1:36" ht="11.25" customHeight="1" x14ac:dyDescent="0.2">
      <c r="A91" s="52" t="s">
        <v>21</v>
      </c>
      <c r="B91" s="52" t="s">
        <v>33</v>
      </c>
      <c r="C91" s="52" t="s">
        <v>34</v>
      </c>
      <c r="D91" s="52" t="s">
        <v>40</v>
      </c>
      <c r="E91" s="52" t="s">
        <v>25</v>
      </c>
      <c r="F91" s="52" t="s">
        <v>25</v>
      </c>
      <c r="G91" s="52" t="s">
        <v>25</v>
      </c>
      <c r="H91" s="52" t="s">
        <v>35</v>
      </c>
      <c r="I91" s="71">
        <v>44440</v>
      </c>
      <c r="J91" s="72">
        <f>EFEITO!$J$91*EFEITO!$Y$91</f>
        <v>0</v>
      </c>
      <c r="K91" s="72">
        <f ca="1">EFEITO!$L$91*EFEITO!$Z$91</f>
        <v>13824.770432785184</v>
      </c>
      <c r="L91" s="72">
        <f>EFEITO!$N$91*EFEITO!$AA$91</f>
        <v>737.29048236395499</v>
      </c>
      <c r="M91" s="72">
        <f>$J$91-EFEITO!$K$91*EFEITO!$Y$91</f>
        <v>0</v>
      </c>
      <c r="N91" s="72">
        <f ca="1">$K$91-EFEITO!$M$91*EFEITO!$Z$91</f>
        <v>0</v>
      </c>
      <c r="O91" s="72">
        <f>$L$91-EFEITO!$O$91*EFEITO!$AA$91</f>
        <v>0</v>
      </c>
      <c r="P91" s="56"/>
      <c r="Q91" s="56"/>
      <c r="R91" s="56"/>
      <c r="S91" s="56"/>
      <c r="T91" s="56"/>
      <c r="U91" s="56"/>
      <c r="V91" s="56"/>
      <c r="W91" s="56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</row>
    <row r="92" spans="1:36" ht="11.25" customHeight="1" x14ac:dyDescent="0.2">
      <c r="A92" s="52" t="s">
        <v>21</v>
      </c>
      <c r="B92" s="52" t="s">
        <v>33</v>
      </c>
      <c r="C92" s="52" t="s">
        <v>34</v>
      </c>
      <c r="D92" s="52" t="s">
        <v>40</v>
      </c>
      <c r="E92" s="52" t="s">
        <v>25</v>
      </c>
      <c r="F92" s="52" t="s">
        <v>25</v>
      </c>
      <c r="G92" s="52" t="s">
        <v>25</v>
      </c>
      <c r="H92" s="52" t="s">
        <v>35</v>
      </c>
      <c r="I92" s="71">
        <v>44470</v>
      </c>
      <c r="J92" s="72">
        <f>EFEITO!$J$92*EFEITO!$Y$92</f>
        <v>0</v>
      </c>
      <c r="K92" s="72">
        <f ca="1">EFEITO!$L$92*EFEITO!$Z$92</f>
        <v>8787.8006606703129</v>
      </c>
      <c r="L92" s="72">
        <f>EFEITO!$N$92*EFEITO!$AA$92</f>
        <v>468.66324612947545</v>
      </c>
      <c r="M92" s="72">
        <f>$J$92-EFEITO!$K$92*EFEITO!$Y$92</f>
        <v>0</v>
      </c>
      <c r="N92" s="72">
        <f ca="1">$K$92-EFEITO!$M$92*EFEITO!$Z$92</f>
        <v>0</v>
      </c>
      <c r="O92" s="72">
        <f>$L$92-EFEITO!$O$92*EFEITO!$AA$92</f>
        <v>0</v>
      </c>
      <c r="P92" s="56"/>
      <c r="Q92" s="56"/>
      <c r="R92" s="56"/>
      <c r="S92" s="56"/>
      <c r="T92" s="56"/>
      <c r="U92" s="56"/>
      <c r="V92" s="56"/>
      <c r="W92" s="56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</row>
    <row r="93" spans="1:36" ht="11.25" customHeight="1" x14ac:dyDescent="0.2">
      <c r="A93" s="52" t="s">
        <v>21</v>
      </c>
      <c r="B93" s="52" t="s">
        <v>33</v>
      </c>
      <c r="C93" s="52" t="s">
        <v>34</v>
      </c>
      <c r="D93" s="52" t="s">
        <v>40</v>
      </c>
      <c r="E93" s="52" t="s">
        <v>25</v>
      </c>
      <c r="F93" s="52" t="s">
        <v>25</v>
      </c>
      <c r="G93" s="52" t="s">
        <v>25</v>
      </c>
      <c r="H93" s="52" t="s">
        <v>35</v>
      </c>
      <c r="I93" s="71">
        <v>44501</v>
      </c>
      <c r="J93" s="72">
        <f>EFEITO!$J$93*EFEITO!$Y$93</f>
        <v>0</v>
      </c>
      <c r="K93" s="72">
        <f ca="1">EFEITO!$L$93*EFEITO!$Z$93</f>
        <v>11658.384404584322</v>
      </c>
      <c r="L93" s="72">
        <f>EFEITO!$N$93*EFEITO!$AA$93</f>
        <v>621.75469046893124</v>
      </c>
      <c r="M93" s="72">
        <f>$J$93-EFEITO!$K$93*EFEITO!$Y$93</f>
        <v>0</v>
      </c>
      <c r="N93" s="72">
        <f ca="1">$K$93-EFEITO!$M$93*EFEITO!$Z$93</f>
        <v>0</v>
      </c>
      <c r="O93" s="72">
        <f>$L$93-EFEITO!$O$93*EFEITO!$AA$93</f>
        <v>0</v>
      </c>
      <c r="P93" s="56"/>
      <c r="Q93" s="56"/>
      <c r="R93" s="56"/>
      <c r="S93" s="56"/>
      <c r="T93" s="56"/>
      <c r="U93" s="56"/>
      <c r="V93" s="56"/>
      <c r="W93" s="56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</row>
    <row r="94" spans="1:36" ht="11.25" customHeight="1" x14ac:dyDescent="0.2">
      <c r="A94" s="52" t="s">
        <v>21</v>
      </c>
      <c r="B94" s="52" t="s">
        <v>33</v>
      </c>
      <c r="C94" s="52" t="s">
        <v>34</v>
      </c>
      <c r="D94" s="52" t="s">
        <v>40</v>
      </c>
      <c r="E94" s="52" t="s">
        <v>25</v>
      </c>
      <c r="F94" s="52" t="s">
        <v>25</v>
      </c>
      <c r="G94" s="52" t="s">
        <v>25</v>
      </c>
      <c r="H94" s="52" t="s">
        <v>35</v>
      </c>
      <c r="I94" s="71">
        <v>44531</v>
      </c>
      <c r="J94" s="72">
        <f>EFEITO!$J$94*EFEITO!$Y$94</f>
        <v>0</v>
      </c>
      <c r="K94" s="72">
        <f ca="1">EFEITO!$L$94*EFEITO!$Z$94</f>
        <v>16802.939938822034</v>
      </c>
      <c r="L94" s="72">
        <f>EFEITO!$N$94*EFEITO!$AA$94</f>
        <v>896.11959582686563</v>
      </c>
      <c r="M94" s="72">
        <f>$J$94-EFEITO!$K$94*EFEITO!$Y$94</f>
        <v>0</v>
      </c>
      <c r="N94" s="72">
        <f ca="1">$K$94-EFEITO!$M$94*EFEITO!$Z$94</f>
        <v>0</v>
      </c>
      <c r="O94" s="72">
        <f>$L$94-EFEITO!$O$94*EFEITO!$AA$94</f>
        <v>0</v>
      </c>
      <c r="P94" s="56"/>
      <c r="Q94" s="56"/>
      <c r="R94" s="56"/>
      <c r="S94" s="56"/>
      <c r="T94" s="56"/>
      <c r="U94" s="56"/>
      <c r="V94" s="56"/>
      <c r="W94" s="56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</row>
    <row r="95" spans="1:36" ht="11.25" customHeight="1" x14ac:dyDescent="0.2">
      <c r="A95" s="52" t="s">
        <v>21</v>
      </c>
      <c r="B95" s="52" t="s">
        <v>33</v>
      </c>
      <c r="C95" s="52" t="s">
        <v>34</v>
      </c>
      <c r="D95" s="52" t="s">
        <v>40</v>
      </c>
      <c r="E95" s="52" t="s">
        <v>25</v>
      </c>
      <c r="F95" s="52" t="s">
        <v>25</v>
      </c>
      <c r="G95" s="52" t="s">
        <v>25</v>
      </c>
      <c r="H95" s="52" t="s">
        <v>35</v>
      </c>
      <c r="I95" s="71">
        <v>44562</v>
      </c>
      <c r="J95" s="72">
        <f>EFEITO!$J$95*EFEITO!$Y$95</f>
        <v>0</v>
      </c>
      <c r="K95" s="72">
        <f ca="1">EFEITO!$L$95*EFEITO!$Z$95</f>
        <v>19996.280969104573</v>
      </c>
      <c r="L95" s="72">
        <f>EFEITO!$N$95*EFEITO!$AA$95</f>
        <v>1066.4240475366862</v>
      </c>
      <c r="M95" s="72">
        <f>$J$95-EFEITO!$K$95*EFEITO!$Y$95</f>
        <v>0</v>
      </c>
      <c r="N95" s="72">
        <f ca="1">$K$95-EFEITO!$M$95*EFEITO!$Z$95</f>
        <v>0</v>
      </c>
      <c r="O95" s="72">
        <f>$L$95-EFEITO!$O$95*EFEITO!$AA$95</f>
        <v>0</v>
      </c>
      <c r="P95" s="56"/>
      <c r="Q95" s="56"/>
      <c r="R95" s="56"/>
      <c r="S95" s="56"/>
      <c r="T95" s="56"/>
      <c r="U95" s="56"/>
      <c r="V95" s="56"/>
      <c r="W95" s="56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</row>
    <row r="96" spans="1:36" ht="11.25" customHeight="1" x14ac:dyDescent="0.2">
      <c r="A96" s="52" t="s">
        <v>21</v>
      </c>
      <c r="B96" s="52" t="s">
        <v>33</v>
      </c>
      <c r="C96" s="52" t="s">
        <v>34</v>
      </c>
      <c r="D96" s="52" t="s">
        <v>40</v>
      </c>
      <c r="E96" s="52" t="s">
        <v>25</v>
      </c>
      <c r="F96" s="52" t="s">
        <v>25</v>
      </c>
      <c r="G96" s="52" t="s">
        <v>25</v>
      </c>
      <c r="H96" s="52" t="s">
        <v>35</v>
      </c>
      <c r="I96" s="71">
        <v>44593</v>
      </c>
      <c r="J96" s="72">
        <f>EFEITO!$J$96*EFEITO!$Y$96</f>
        <v>0</v>
      </c>
      <c r="K96" s="72">
        <f ca="1">EFEITO!$L$96*EFEITO!$Z$96</f>
        <v>16465.511866709487</v>
      </c>
      <c r="L96" s="72">
        <f>EFEITO!$N$96*EFEITO!$AA$96</f>
        <v>878.12417903057531</v>
      </c>
      <c r="M96" s="72">
        <f>$J$96-EFEITO!$K$96*EFEITO!$Y$96</f>
        <v>0</v>
      </c>
      <c r="N96" s="72">
        <f ca="1">$K$96-EFEITO!$M$96*EFEITO!$Z$96</f>
        <v>0</v>
      </c>
      <c r="O96" s="72">
        <f>$L$96-EFEITO!$O$96*EFEITO!$AA$96</f>
        <v>0</v>
      </c>
      <c r="P96" s="56"/>
      <c r="Q96" s="56"/>
      <c r="R96" s="56"/>
      <c r="S96" s="56"/>
      <c r="T96" s="56"/>
      <c r="U96" s="56"/>
      <c r="V96" s="56"/>
      <c r="W96" s="56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</row>
    <row r="97" spans="1:36" ht="11.25" customHeight="1" x14ac:dyDescent="0.2">
      <c r="A97" s="52" t="s">
        <v>21</v>
      </c>
      <c r="B97" s="52" t="s">
        <v>33</v>
      </c>
      <c r="C97" s="52" t="s">
        <v>34</v>
      </c>
      <c r="D97" s="52" t="s">
        <v>40</v>
      </c>
      <c r="E97" s="52" t="s">
        <v>25</v>
      </c>
      <c r="F97" s="52" t="s">
        <v>25</v>
      </c>
      <c r="G97" s="52" t="s">
        <v>25</v>
      </c>
      <c r="H97" s="52" t="s">
        <v>35</v>
      </c>
      <c r="I97" s="71">
        <v>44621</v>
      </c>
      <c r="J97" s="72">
        <f>EFEITO!$J$97*EFEITO!$Y$97</f>
        <v>0</v>
      </c>
      <c r="K97" s="72">
        <f ca="1">EFEITO!$L$97*EFEITO!$Z$97</f>
        <v>17570.711059425954</v>
      </c>
      <c r="L97" s="72">
        <f>EFEITO!$N$97*EFEITO!$AA$97</f>
        <v>937.0656891169757</v>
      </c>
      <c r="M97" s="72">
        <f>$J$97-EFEITO!$K$97*EFEITO!$Y$97</f>
        <v>0</v>
      </c>
      <c r="N97" s="72">
        <f ca="1">$K$97-EFEITO!$M$97*EFEITO!$Z$97</f>
        <v>0</v>
      </c>
      <c r="O97" s="72">
        <f>$L$97-EFEITO!$O$97*EFEITO!$AA$97</f>
        <v>0</v>
      </c>
      <c r="P97" s="56"/>
      <c r="Q97" s="56"/>
      <c r="R97" s="56"/>
      <c r="S97" s="56"/>
      <c r="T97" s="56"/>
      <c r="U97" s="56"/>
      <c r="V97" s="56"/>
      <c r="W97" s="56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</row>
    <row r="98" spans="1:36" ht="11.25" customHeight="1" x14ac:dyDescent="0.2">
      <c r="A98" s="52" t="s">
        <v>21</v>
      </c>
      <c r="B98" s="52" t="s">
        <v>33</v>
      </c>
      <c r="C98" s="52" t="s">
        <v>34</v>
      </c>
      <c r="D98" s="52" t="s">
        <v>45</v>
      </c>
      <c r="E98" s="52" t="s">
        <v>25</v>
      </c>
      <c r="F98" s="52" t="s">
        <v>25</v>
      </c>
      <c r="G98" s="52" t="s">
        <v>25</v>
      </c>
      <c r="H98" s="52" t="s">
        <v>36</v>
      </c>
      <c r="I98" s="71">
        <v>44287</v>
      </c>
      <c r="J98" s="72">
        <f>EFEITO!$J$98*EFEITO!$Y$98</f>
        <v>0</v>
      </c>
      <c r="K98" s="72">
        <f ca="1">EFEITO!$L$98*EFEITO!$Z$98</f>
        <v>2444.0099946985169</v>
      </c>
      <c r="L98" s="72">
        <f>EFEITO!$N$98*EFEITO!$AA$98</f>
        <v>4657.4225093935293</v>
      </c>
      <c r="M98" s="72">
        <f>$J$98-EFEITO!$K$98*EFEITO!$Y$98</f>
        <v>0</v>
      </c>
      <c r="N98" s="72">
        <f ca="1">$K$98-EFEITO!$M$98*EFEITO!$Z$98</f>
        <v>0</v>
      </c>
      <c r="O98" s="72">
        <f>$L$98-EFEITO!$O$98*EFEITO!$AA$98</f>
        <v>0</v>
      </c>
      <c r="P98" s="56"/>
      <c r="Q98" s="56"/>
      <c r="R98" s="56"/>
      <c r="S98" s="56"/>
      <c r="T98" s="56"/>
      <c r="U98" s="56"/>
      <c r="V98" s="56"/>
      <c r="W98" s="56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</row>
    <row r="99" spans="1:36" ht="11.25" customHeight="1" x14ac:dyDescent="0.2">
      <c r="A99" s="52" t="s">
        <v>21</v>
      </c>
      <c r="B99" s="52" t="s">
        <v>33</v>
      </c>
      <c r="C99" s="52" t="s">
        <v>34</v>
      </c>
      <c r="D99" s="52" t="s">
        <v>45</v>
      </c>
      <c r="E99" s="52" t="s">
        <v>25</v>
      </c>
      <c r="F99" s="52" t="s">
        <v>25</v>
      </c>
      <c r="G99" s="52" t="s">
        <v>25</v>
      </c>
      <c r="H99" s="52" t="s">
        <v>36</v>
      </c>
      <c r="I99" s="71">
        <v>44317</v>
      </c>
      <c r="J99" s="72">
        <f>EFEITO!$J$99*EFEITO!$Y$99</f>
        <v>0</v>
      </c>
      <c r="K99" s="72">
        <f ca="1">EFEITO!$L$99*EFEITO!$Z$99</f>
        <v>2313.9949037049237</v>
      </c>
      <c r="L99" s="72">
        <f>EFEITO!$N$99*EFEITO!$AA$99</f>
        <v>4409.6595245170683</v>
      </c>
      <c r="M99" s="72">
        <f>$J$99-EFEITO!$K$99*EFEITO!$Y$99</f>
        <v>0</v>
      </c>
      <c r="N99" s="72">
        <f ca="1">$K$99-EFEITO!$M$99*EFEITO!$Z$99</f>
        <v>0</v>
      </c>
      <c r="O99" s="72">
        <f>$L$99-EFEITO!$O$99*EFEITO!$AA$99</f>
        <v>0</v>
      </c>
      <c r="P99" s="56"/>
      <c r="Q99" s="56"/>
      <c r="R99" s="56"/>
      <c r="S99" s="56"/>
      <c r="T99" s="56"/>
      <c r="U99" s="56"/>
      <c r="V99" s="56"/>
      <c r="W99" s="56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</row>
    <row r="100" spans="1:36" ht="11.25" customHeight="1" x14ac:dyDescent="0.2">
      <c r="A100" s="52" t="s">
        <v>21</v>
      </c>
      <c r="B100" s="52" t="s">
        <v>33</v>
      </c>
      <c r="C100" s="52" t="s">
        <v>34</v>
      </c>
      <c r="D100" s="52" t="s">
        <v>45</v>
      </c>
      <c r="E100" s="52" t="s">
        <v>25</v>
      </c>
      <c r="F100" s="52" t="s">
        <v>25</v>
      </c>
      <c r="G100" s="52" t="s">
        <v>25</v>
      </c>
      <c r="H100" s="52" t="s">
        <v>36</v>
      </c>
      <c r="I100" s="71">
        <v>44348</v>
      </c>
      <c r="J100" s="72">
        <f>EFEITO!$J$100*EFEITO!$Y$100</f>
        <v>0</v>
      </c>
      <c r="K100" s="72">
        <f ca="1">EFEITO!$L$100*EFEITO!$Z$100</f>
        <v>2041.9212185520144</v>
      </c>
      <c r="L100" s="72">
        <f>EFEITO!$N$100*EFEITO!$AA$100</f>
        <v>3891.1828782703246</v>
      </c>
      <c r="M100" s="72">
        <f>$J$100-EFEITO!$K$100*EFEITO!$Y$100</f>
        <v>0</v>
      </c>
      <c r="N100" s="72">
        <f ca="1">$K$100-EFEITO!$M$100*EFEITO!$Z$100</f>
        <v>0</v>
      </c>
      <c r="O100" s="72">
        <f>$L$100-EFEITO!$O$100*EFEITO!$AA$100</f>
        <v>0</v>
      </c>
      <c r="P100" s="56"/>
      <c r="Q100" s="56"/>
      <c r="R100" s="56"/>
      <c r="S100" s="56"/>
      <c r="T100" s="56"/>
      <c r="U100" s="56"/>
      <c r="V100" s="56"/>
      <c r="W100" s="56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</row>
    <row r="101" spans="1:36" ht="11.25" customHeight="1" x14ac:dyDescent="0.2">
      <c r="A101" s="52" t="s">
        <v>21</v>
      </c>
      <c r="B101" s="52" t="s">
        <v>33</v>
      </c>
      <c r="C101" s="52" t="s">
        <v>34</v>
      </c>
      <c r="D101" s="52" t="s">
        <v>45</v>
      </c>
      <c r="E101" s="52" t="s">
        <v>25</v>
      </c>
      <c r="F101" s="52" t="s">
        <v>25</v>
      </c>
      <c r="G101" s="52" t="s">
        <v>25</v>
      </c>
      <c r="H101" s="52" t="s">
        <v>36</v>
      </c>
      <c r="I101" s="71">
        <v>44378</v>
      </c>
      <c r="J101" s="72">
        <f>EFEITO!$J$101*EFEITO!$Y$101</f>
        <v>0</v>
      </c>
      <c r="K101" s="72">
        <f ca="1">EFEITO!$L$101*EFEITO!$Z$101</f>
        <v>1899.999482383218</v>
      </c>
      <c r="L101" s="72">
        <f>EFEITO!$N$101*EFEITO!$AA$101</f>
        <v>3620.7300200420186</v>
      </c>
      <c r="M101" s="72">
        <f>$J$101-EFEITO!$K$101*EFEITO!$Y$101</f>
        <v>0</v>
      </c>
      <c r="N101" s="72">
        <f ca="1">$K$101-EFEITO!$M$101*EFEITO!$Z$101</f>
        <v>0</v>
      </c>
      <c r="O101" s="72">
        <f>$L$101-EFEITO!$O$101*EFEITO!$AA$101</f>
        <v>0</v>
      </c>
      <c r="P101" s="56"/>
      <c r="Q101" s="56"/>
      <c r="R101" s="56"/>
      <c r="S101" s="56"/>
      <c r="T101" s="56"/>
      <c r="U101" s="56"/>
      <c r="V101" s="56"/>
      <c r="W101" s="56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</row>
    <row r="102" spans="1:36" ht="11.25" customHeight="1" x14ac:dyDescent="0.2">
      <c r="A102" s="52" t="s">
        <v>21</v>
      </c>
      <c r="B102" s="52" t="s">
        <v>33</v>
      </c>
      <c r="C102" s="52" t="s">
        <v>34</v>
      </c>
      <c r="D102" s="52" t="s">
        <v>45</v>
      </c>
      <c r="E102" s="52" t="s">
        <v>25</v>
      </c>
      <c r="F102" s="52" t="s">
        <v>25</v>
      </c>
      <c r="G102" s="52" t="s">
        <v>25</v>
      </c>
      <c r="H102" s="52" t="s">
        <v>36</v>
      </c>
      <c r="I102" s="71">
        <v>44409</v>
      </c>
      <c r="J102" s="72">
        <f>EFEITO!$J$102*EFEITO!$Y$102</f>
        <v>0</v>
      </c>
      <c r="K102" s="72">
        <f ca="1">EFEITO!$L$102*EFEITO!$Z$102</f>
        <v>2387.2139286328947</v>
      </c>
      <c r="L102" s="72">
        <f>EFEITO!$N$102*EFEITO!$AA$102</f>
        <v>4549.1892054738128</v>
      </c>
      <c r="M102" s="72">
        <f>$J$102-EFEITO!$K$102*EFEITO!$Y$102</f>
        <v>0</v>
      </c>
      <c r="N102" s="72">
        <f ca="1">$K$102-EFEITO!$M$102*EFEITO!$Z$102</f>
        <v>0</v>
      </c>
      <c r="O102" s="72">
        <f>$L$102-EFEITO!$O$102*EFEITO!$AA$102</f>
        <v>0</v>
      </c>
      <c r="P102" s="56"/>
      <c r="Q102" s="56"/>
      <c r="R102" s="56"/>
      <c r="S102" s="56"/>
      <c r="T102" s="56"/>
      <c r="U102" s="56"/>
      <c r="V102" s="56"/>
      <c r="W102" s="56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</row>
    <row r="103" spans="1:36" ht="11.25" customHeight="1" x14ac:dyDescent="0.2">
      <c r="A103" s="52" t="s">
        <v>21</v>
      </c>
      <c r="B103" s="52" t="s">
        <v>33</v>
      </c>
      <c r="C103" s="52" t="s">
        <v>34</v>
      </c>
      <c r="D103" s="52" t="s">
        <v>45</v>
      </c>
      <c r="E103" s="52" t="s">
        <v>25</v>
      </c>
      <c r="F103" s="52" t="s">
        <v>25</v>
      </c>
      <c r="G103" s="52" t="s">
        <v>25</v>
      </c>
      <c r="H103" s="52" t="s">
        <v>36</v>
      </c>
      <c r="I103" s="71">
        <v>44440</v>
      </c>
      <c r="J103" s="72">
        <f>EFEITO!$J$103*EFEITO!$Y$103</f>
        <v>0</v>
      </c>
      <c r="K103" s="72">
        <f ca="1">EFEITO!$L$103*EFEITO!$Z$103</f>
        <v>3140.6171664431386</v>
      </c>
      <c r="L103" s="72">
        <f>EFEITO!$N$103*EFEITO!$AA$103</f>
        <v>5984.9105020474135</v>
      </c>
      <c r="M103" s="72">
        <f>$J$103-EFEITO!$K$103*EFEITO!$Y$103</f>
        <v>0</v>
      </c>
      <c r="N103" s="72">
        <f ca="1">$K$103-EFEITO!$M$103*EFEITO!$Z$103</f>
        <v>0</v>
      </c>
      <c r="O103" s="72">
        <f>$L$103-EFEITO!$O$103*EFEITO!$AA$103</f>
        <v>0</v>
      </c>
      <c r="P103" s="56"/>
      <c r="Q103" s="56"/>
      <c r="R103" s="56"/>
      <c r="S103" s="56"/>
      <c r="T103" s="56"/>
      <c r="U103" s="56"/>
      <c r="V103" s="56"/>
      <c r="W103" s="56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</row>
    <row r="104" spans="1:36" ht="11.25" customHeight="1" x14ac:dyDescent="0.2">
      <c r="A104" s="52" t="s">
        <v>21</v>
      </c>
      <c r="B104" s="52" t="s">
        <v>33</v>
      </c>
      <c r="C104" s="52" t="s">
        <v>34</v>
      </c>
      <c r="D104" s="52" t="s">
        <v>45</v>
      </c>
      <c r="E104" s="52" t="s">
        <v>25</v>
      </c>
      <c r="F104" s="52" t="s">
        <v>25</v>
      </c>
      <c r="G104" s="52" t="s">
        <v>25</v>
      </c>
      <c r="H104" s="52" t="s">
        <v>36</v>
      </c>
      <c r="I104" s="71">
        <v>44470</v>
      </c>
      <c r="J104" s="72">
        <f>EFEITO!$J$104*EFEITO!$Y$104</f>
        <v>0</v>
      </c>
      <c r="K104" s="72">
        <f ca="1">EFEITO!$L$104*EFEITO!$Z$104</f>
        <v>2675.2999986765935</v>
      </c>
      <c r="L104" s="72">
        <f>EFEITO!$N$104*EFEITO!$AA$104</f>
        <v>5098.1798193316554</v>
      </c>
      <c r="M104" s="72">
        <f>$J$104-EFEITO!$K$104*EFEITO!$Y$104</f>
        <v>0</v>
      </c>
      <c r="N104" s="72">
        <f ca="1">$K$104-EFEITO!$M$104*EFEITO!$Z$104</f>
        <v>0</v>
      </c>
      <c r="O104" s="72">
        <f>$L$104-EFEITO!$O$104*EFEITO!$AA$104</f>
        <v>0</v>
      </c>
      <c r="P104" s="56"/>
      <c r="Q104" s="56"/>
      <c r="R104" s="56"/>
      <c r="S104" s="56"/>
      <c r="T104" s="56"/>
      <c r="U104" s="56"/>
      <c r="V104" s="56"/>
      <c r="W104" s="56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</row>
    <row r="105" spans="1:36" ht="11.25" customHeight="1" x14ac:dyDescent="0.2">
      <c r="A105" s="52" t="s">
        <v>21</v>
      </c>
      <c r="B105" s="52" t="s">
        <v>33</v>
      </c>
      <c r="C105" s="52" t="s">
        <v>34</v>
      </c>
      <c r="D105" s="52" t="s">
        <v>45</v>
      </c>
      <c r="E105" s="52" t="s">
        <v>25</v>
      </c>
      <c r="F105" s="52" t="s">
        <v>25</v>
      </c>
      <c r="G105" s="52" t="s">
        <v>25</v>
      </c>
      <c r="H105" s="52" t="s">
        <v>36</v>
      </c>
      <c r="I105" s="71">
        <v>44501</v>
      </c>
      <c r="J105" s="72">
        <f>EFEITO!$J$105*EFEITO!$Y$105</f>
        <v>0</v>
      </c>
      <c r="K105" s="72">
        <f ca="1">EFEITO!$L$105*EFEITO!$Z$105</f>
        <v>3538.0527709119756</v>
      </c>
      <c r="L105" s="72">
        <f>EFEITO!$N$105*EFEITO!$AA$105</f>
        <v>6742.2828263434612</v>
      </c>
      <c r="M105" s="72">
        <f>$J$105-EFEITO!$K$105*EFEITO!$Y$105</f>
        <v>0</v>
      </c>
      <c r="N105" s="72">
        <f ca="1">$K$105-EFEITO!$M$105*EFEITO!$Z$105</f>
        <v>0</v>
      </c>
      <c r="O105" s="72">
        <f>$L$105-EFEITO!$O$105*EFEITO!$AA$105</f>
        <v>0</v>
      </c>
      <c r="P105" s="56"/>
      <c r="Q105" s="56"/>
      <c r="R105" s="56"/>
      <c r="S105" s="56"/>
      <c r="T105" s="56"/>
      <c r="U105" s="56"/>
      <c r="V105" s="56"/>
      <c r="W105" s="56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</row>
    <row r="106" spans="1:36" ht="11.25" customHeight="1" x14ac:dyDescent="0.2">
      <c r="A106" s="52" t="s">
        <v>21</v>
      </c>
      <c r="B106" s="52" t="s">
        <v>33</v>
      </c>
      <c r="C106" s="52" t="s">
        <v>34</v>
      </c>
      <c r="D106" s="52" t="s">
        <v>45</v>
      </c>
      <c r="E106" s="52" t="s">
        <v>25</v>
      </c>
      <c r="F106" s="52" t="s">
        <v>25</v>
      </c>
      <c r="G106" s="52" t="s">
        <v>25</v>
      </c>
      <c r="H106" s="52" t="s">
        <v>36</v>
      </c>
      <c r="I106" s="71">
        <v>44531</v>
      </c>
      <c r="J106" s="72">
        <f>EFEITO!$J$106*EFEITO!$Y$106</f>
        <v>0</v>
      </c>
      <c r="K106" s="72">
        <f ca="1">EFEITO!$L$106*EFEITO!$Z$106</f>
        <v>3740.4657388904225</v>
      </c>
      <c r="L106" s="72">
        <f>EFEITO!$N$106*EFEITO!$AA$106</f>
        <v>7128.0106733248158</v>
      </c>
      <c r="M106" s="72">
        <f>$J$106-EFEITO!$K$106*EFEITO!$Y$106</f>
        <v>0</v>
      </c>
      <c r="N106" s="72">
        <f ca="1">$K$106-EFEITO!$M$106*EFEITO!$Z$106</f>
        <v>0</v>
      </c>
      <c r="O106" s="72">
        <f>$L$106-EFEITO!$O$106*EFEITO!$AA$106</f>
        <v>0</v>
      </c>
      <c r="P106" s="56"/>
      <c r="Q106" s="56"/>
      <c r="R106" s="56"/>
      <c r="S106" s="56"/>
      <c r="T106" s="56"/>
      <c r="U106" s="56"/>
      <c r="V106" s="56"/>
      <c r="W106" s="56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</row>
    <row r="107" spans="1:36" ht="11.25" customHeight="1" x14ac:dyDescent="0.2">
      <c r="A107" s="52" t="s">
        <v>21</v>
      </c>
      <c r="B107" s="52" t="s">
        <v>33</v>
      </c>
      <c r="C107" s="52" t="s">
        <v>34</v>
      </c>
      <c r="D107" s="52" t="s">
        <v>45</v>
      </c>
      <c r="E107" s="52" t="s">
        <v>25</v>
      </c>
      <c r="F107" s="52" t="s">
        <v>25</v>
      </c>
      <c r="G107" s="52" t="s">
        <v>25</v>
      </c>
      <c r="H107" s="52" t="s">
        <v>36</v>
      </c>
      <c r="I107" s="71">
        <v>44562</v>
      </c>
      <c r="J107" s="72">
        <f>EFEITO!$J$107*EFEITO!$Y$107</f>
        <v>0</v>
      </c>
      <c r="K107" s="72">
        <f ca="1">EFEITO!$L$107*EFEITO!$Z$107</f>
        <v>4288.3082749402693</v>
      </c>
      <c r="L107" s="72">
        <f>EFEITO!$N$107*EFEITO!$AA$107</f>
        <v>8172.0056506516321</v>
      </c>
      <c r="M107" s="72">
        <f>$J$107-EFEITO!$K$107*EFEITO!$Y$107</f>
        <v>0</v>
      </c>
      <c r="N107" s="72">
        <f ca="1">$K$107-EFEITO!$M$107*EFEITO!$Z$107</f>
        <v>0</v>
      </c>
      <c r="O107" s="72">
        <f>$L$107-EFEITO!$O$107*EFEITO!$AA$107</f>
        <v>0</v>
      </c>
      <c r="P107" s="56"/>
      <c r="Q107" s="56"/>
      <c r="R107" s="56"/>
      <c r="S107" s="56"/>
      <c r="T107" s="56"/>
      <c r="U107" s="56"/>
      <c r="V107" s="56"/>
      <c r="W107" s="56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</row>
    <row r="108" spans="1:36" ht="11.25" customHeight="1" x14ac:dyDescent="0.2">
      <c r="A108" s="52" t="s">
        <v>21</v>
      </c>
      <c r="B108" s="52" t="s">
        <v>33</v>
      </c>
      <c r="C108" s="52" t="s">
        <v>34</v>
      </c>
      <c r="D108" s="52" t="s">
        <v>45</v>
      </c>
      <c r="E108" s="52" t="s">
        <v>25</v>
      </c>
      <c r="F108" s="52" t="s">
        <v>25</v>
      </c>
      <c r="G108" s="52" t="s">
        <v>25</v>
      </c>
      <c r="H108" s="52" t="s">
        <v>36</v>
      </c>
      <c r="I108" s="71">
        <v>44593</v>
      </c>
      <c r="J108" s="72">
        <f>EFEITO!$J$108*EFEITO!$Y$108</f>
        <v>0</v>
      </c>
      <c r="K108" s="72">
        <f ca="1">EFEITO!$L$108*EFEITO!$Z$108</f>
        <v>4107.7925854449541</v>
      </c>
      <c r="L108" s="72">
        <f>EFEITO!$N$108*EFEITO!$AA$108</f>
        <v>7828.0063063863136</v>
      </c>
      <c r="M108" s="72">
        <f>$J$108-EFEITO!$K$108*EFEITO!$Y$108</f>
        <v>0</v>
      </c>
      <c r="N108" s="72">
        <f ca="1">$K$108-EFEITO!$M$108*EFEITO!$Z$108</f>
        <v>0</v>
      </c>
      <c r="O108" s="72">
        <f>$L$108-EFEITO!$O$108*EFEITO!$AA$108</f>
        <v>0</v>
      </c>
      <c r="P108" s="56"/>
      <c r="Q108" s="56"/>
      <c r="R108" s="56"/>
      <c r="S108" s="56"/>
      <c r="T108" s="56"/>
      <c r="U108" s="56"/>
      <c r="V108" s="56"/>
      <c r="W108" s="56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</row>
    <row r="109" spans="1:36" ht="11.25" customHeight="1" x14ac:dyDescent="0.2">
      <c r="A109" s="52" t="s">
        <v>21</v>
      </c>
      <c r="B109" s="52" t="s">
        <v>33</v>
      </c>
      <c r="C109" s="52" t="s">
        <v>34</v>
      </c>
      <c r="D109" s="52" t="s">
        <v>45</v>
      </c>
      <c r="E109" s="52" t="s">
        <v>25</v>
      </c>
      <c r="F109" s="52" t="s">
        <v>25</v>
      </c>
      <c r="G109" s="52" t="s">
        <v>25</v>
      </c>
      <c r="H109" s="52" t="s">
        <v>36</v>
      </c>
      <c r="I109" s="71">
        <v>44621</v>
      </c>
      <c r="J109" s="72">
        <f>EFEITO!$J$109*EFEITO!$Y$109</f>
        <v>0</v>
      </c>
      <c r="K109" s="72">
        <f ca="1">EFEITO!$L$109*EFEITO!$Z$109</f>
        <v>5810.9902774610282</v>
      </c>
      <c r="L109" s="72">
        <f>EFEITO!$N$109*EFEITO!$AA$109</f>
        <v>11073.701408267962</v>
      </c>
      <c r="M109" s="72">
        <f>$J$109-EFEITO!$K$109*EFEITO!$Y$109</f>
        <v>0</v>
      </c>
      <c r="N109" s="72">
        <f ca="1">$K$109-EFEITO!$M$109*EFEITO!$Z$109</f>
        <v>0</v>
      </c>
      <c r="O109" s="72">
        <f>$L$109-EFEITO!$O$109*EFEITO!$AA$109</f>
        <v>0</v>
      </c>
      <c r="P109" s="56"/>
      <c r="Q109" s="56"/>
      <c r="R109" s="56"/>
      <c r="S109" s="56"/>
      <c r="T109" s="56"/>
      <c r="U109" s="56"/>
      <c r="V109" s="56"/>
      <c r="W109" s="56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</row>
    <row r="110" spans="1:36" ht="11.25" customHeight="1" x14ac:dyDescent="0.2">
      <c r="A110" s="52" t="s">
        <v>21</v>
      </c>
      <c r="B110" s="52" t="s">
        <v>33</v>
      </c>
      <c r="C110" s="52" t="s">
        <v>34</v>
      </c>
      <c r="D110" s="52" t="s">
        <v>45</v>
      </c>
      <c r="E110" s="52" t="s">
        <v>25</v>
      </c>
      <c r="F110" s="52" t="s">
        <v>25</v>
      </c>
      <c r="G110" s="52" t="s">
        <v>25</v>
      </c>
      <c r="H110" s="52" t="s">
        <v>25</v>
      </c>
      <c r="I110" s="71">
        <v>44287</v>
      </c>
      <c r="J110" s="72">
        <f ca="1">EFEITO!$J$110*EFEITO!$Y$110</f>
        <v>18712.813619246586</v>
      </c>
      <c r="K110" s="72">
        <f>EFEITO!$L$110*EFEITO!$Z$110</f>
        <v>0</v>
      </c>
      <c r="L110" s="72">
        <f>EFEITO!$N$110*EFEITO!$AA$110</f>
        <v>0</v>
      </c>
      <c r="M110" s="72">
        <f ca="1">$J$110-EFEITO!$K$110*EFEITO!$Y$110</f>
        <v>0</v>
      </c>
      <c r="N110" s="72">
        <f>$K$110-EFEITO!$M$110*EFEITO!$Z$110</f>
        <v>0</v>
      </c>
      <c r="O110" s="72">
        <f>$L$110-EFEITO!$O$110*EFEITO!$AA$110</f>
        <v>0</v>
      </c>
      <c r="P110" s="56"/>
      <c r="Q110" s="56"/>
      <c r="R110" s="56"/>
      <c r="S110" s="56"/>
      <c r="T110" s="56"/>
      <c r="U110" s="56"/>
      <c r="V110" s="56"/>
      <c r="W110" s="56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</row>
    <row r="111" spans="1:36" ht="11.25" customHeight="1" x14ac:dyDescent="0.2">
      <c r="A111" s="52" t="s">
        <v>21</v>
      </c>
      <c r="B111" s="52" t="s">
        <v>33</v>
      </c>
      <c r="C111" s="52" t="s">
        <v>34</v>
      </c>
      <c r="D111" s="52" t="s">
        <v>45</v>
      </c>
      <c r="E111" s="52" t="s">
        <v>25</v>
      </c>
      <c r="F111" s="52" t="s">
        <v>25</v>
      </c>
      <c r="G111" s="52" t="s">
        <v>25</v>
      </c>
      <c r="H111" s="52" t="s">
        <v>25</v>
      </c>
      <c r="I111" s="71">
        <v>44317</v>
      </c>
      <c r="J111" s="72">
        <f ca="1">EFEITO!$J$111*EFEITO!$Y$111</f>
        <v>18712.813619246586</v>
      </c>
      <c r="K111" s="72">
        <f>EFEITO!$L$111*EFEITO!$Z$111</f>
        <v>0</v>
      </c>
      <c r="L111" s="72">
        <f>EFEITO!$N$111*EFEITO!$AA$111</f>
        <v>0</v>
      </c>
      <c r="M111" s="72">
        <f ca="1">$J$111-EFEITO!$K$111*EFEITO!$Y$111</f>
        <v>0</v>
      </c>
      <c r="N111" s="72">
        <f>$K$111-EFEITO!$M$111*EFEITO!$Z$111</f>
        <v>0</v>
      </c>
      <c r="O111" s="72">
        <f>$L$111-EFEITO!$O$111*EFEITO!$AA$111</f>
        <v>0</v>
      </c>
      <c r="P111" s="56"/>
      <c r="Q111" s="56"/>
      <c r="R111" s="56"/>
      <c r="S111" s="56"/>
      <c r="T111" s="56"/>
      <c r="U111" s="56"/>
      <c r="V111" s="56"/>
      <c r="W111" s="56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</row>
    <row r="112" spans="1:36" ht="11.25" customHeight="1" x14ac:dyDescent="0.2">
      <c r="A112" s="52" t="s">
        <v>21</v>
      </c>
      <c r="B112" s="52" t="s">
        <v>33</v>
      </c>
      <c r="C112" s="52" t="s">
        <v>34</v>
      </c>
      <c r="D112" s="52" t="s">
        <v>45</v>
      </c>
      <c r="E112" s="52" t="s">
        <v>25</v>
      </c>
      <c r="F112" s="52" t="s">
        <v>25</v>
      </c>
      <c r="G112" s="52" t="s">
        <v>25</v>
      </c>
      <c r="H112" s="52" t="s">
        <v>25</v>
      </c>
      <c r="I112" s="71">
        <v>44348</v>
      </c>
      <c r="J112" s="72">
        <f ca="1">EFEITO!$J$112*EFEITO!$Y$112</f>
        <v>18712.813619246586</v>
      </c>
      <c r="K112" s="72">
        <f>EFEITO!$L$112*EFEITO!$Z$112</f>
        <v>0</v>
      </c>
      <c r="L112" s="72">
        <f>EFEITO!$N$112*EFEITO!$AA$112</f>
        <v>0</v>
      </c>
      <c r="M112" s="72">
        <f ca="1">$J$112-EFEITO!$K$112*EFEITO!$Y$112</f>
        <v>0</v>
      </c>
      <c r="N112" s="72">
        <f>$K$112-EFEITO!$M$112*EFEITO!$Z$112</f>
        <v>0</v>
      </c>
      <c r="O112" s="72">
        <f>$L$112-EFEITO!$O$112*EFEITO!$AA$112</f>
        <v>0</v>
      </c>
      <c r="P112" s="56"/>
      <c r="Q112" s="56"/>
      <c r="R112" s="56"/>
      <c r="S112" s="56"/>
      <c r="T112" s="56"/>
      <c r="U112" s="56"/>
      <c r="V112" s="56"/>
      <c r="W112" s="56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</row>
    <row r="113" spans="1:36" ht="11.25" customHeight="1" x14ac:dyDescent="0.2">
      <c r="A113" s="52" t="s">
        <v>21</v>
      </c>
      <c r="B113" s="52" t="s">
        <v>33</v>
      </c>
      <c r="C113" s="52" t="s">
        <v>34</v>
      </c>
      <c r="D113" s="52" t="s">
        <v>45</v>
      </c>
      <c r="E113" s="52" t="s">
        <v>25</v>
      </c>
      <c r="F113" s="52" t="s">
        <v>25</v>
      </c>
      <c r="G113" s="52" t="s">
        <v>25</v>
      </c>
      <c r="H113" s="52" t="s">
        <v>25</v>
      </c>
      <c r="I113" s="71">
        <v>44378</v>
      </c>
      <c r="J113" s="72">
        <f ca="1">EFEITO!$J$113*EFEITO!$Y$113</f>
        <v>18712.813619246586</v>
      </c>
      <c r="K113" s="72">
        <f>EFEITO!$L$113*EFEITO!$Z$113</f>
        <v>0</v>
      </c>
      <c r="L113" s="72">
        <f>EFEITO!$N$113*EFEITO!$AA$113</f>
        <v>0</v>
      </c>
      <c r="M113" s="72">
        <f ca="1">$J$113-EFEITO!$K$113*EFEITO!$Y$113</f>
        <v>0</v>
      </c>
      <c r="N113" s="72">
        <f>$K$113-EFEITO!$M$113*EFEITO!$Z$113</f>
        <v>0</v>
      </c>
      <c r="O113" s="72">
        <f>$L$113-EFEITO!$O$113*EFEITO!$AA$113</f>
        <v>0</v>
      </c>
      <c r="P113" s="56"/>
      <c r="Q113" s="56"/>
      <c r="R113" s="56"/>
      <c r="S113" s="56"/>
      <c r="T113" s="56"/>
      <c r="U113" s="56"/>
      <c r="V113" s="56"/>
      <c r="W113" s="56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</row>
    <row r="114" spans="1:36" ht="11.25" customHeight="1" x14ac:dyDescent="0.2">
      <c r="A114" s="52" t="s">
        <v>21</v>
      </c>
      <c r="B114" s="52" t="s">
        <v>33</v>
      </c>
      <c r="C114" s="52" t="s">
        <v>34</v>
      </c>
      <c r="D114" s="52" t="s">
        <v>45</v>
      </c>
      <c r="E114" s="52" t="s">
        <v>25</v>
      </c>
      <c r="F114" s="52" t="s">
        <v>25</v>
      </c>
      <c r="G114" s="52" t="s">
        <v>25</v>
      </c>
      <c r="H114" s="52" t="s">
        <v>25</v>
      </c>
      <c r="I114" s="71">
        <v>44409</v>
      </c>
      <c r="J114" s="72">
        <f ca="1">EFEITO!$J$114*EFEITO!$Y$114</f>
        <v>18712.813619246586</v>
      </c>
      <c r="K114" s="72">
        <f>EFEITO!$L$114*EFEITO!$Z$114</f>
        <v>0</v>
      </c>
      <c r="L114" s="72">
        <f>EFEITO!$N$114*EFEITO!$AA$114</f>
        <v>0</v>
      </c>
      <c r="M114" s="72">
        <f ca="1">$J$114-EFEITO!$K$114*EFEITO!$Y$114</f>
        <v>0</v>
      </c>
      <c r="N114" s="72">
        <f>$K$114-EFEITO!$M$114*EFEITO!$Z$114</f>
        <v>0</v>
      </c>
      <c r="O114" s="72">
        <f>$L$114-EFEITO!$O$114*EFEITO!$AA$114</f>
        <v>0</v>
      </c>
      <c r="P114" s="56"/>
      <c r="Q114" s="56"/>
      <c r="R114" s="56"/>
      <c r="S114" s="56"/>
      <c r="T114" s="56"/>
      <c r="U114" s="56"/>
      <c r="V114" s="56"/>
      <c r="W114" s="56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</row>
    <row r="115" spans="1:36" ht="11.25" customHeight="1" x14ac:dyDescent="0.2">
      <c r="A115" s="52" t="s">
        <v>21</v>
      </c>
      <c r="B115" s="52" t="s">
        <v>33</v>
      </c>
      <c r="C115" s="52" t="s">
        <v>34</v>
      </c>
      <c r="D115" s="52" t="s">
        <v>45</v>
      </c>
      <c r="E115" s="52" t="s">
        <v>25</v>
      </c>
      <c r="F115" s="52" t="s">
        <v>25</v>
      </c>
      <c r="G115" s="52" t="s">
        <v>25</v>
      </c>
      <c r="H115" s="52" t="s">
        <v>25</v>
      </c>
      <c r="I115" s="71">
        <v>44440</v>
      </c>
      <c r="J115" s="72">
        <f ca="1">EFEITO!$J$115*EFEITO!$Y$115</f>
        <v>18712.813619246586</v>
      </c>
      <c r="K115" s="72">
        <f>EFEITO!$L$115*EFEITO!$Z$115</f>
        <v>0</v>
      </c>
      <c r="L115" s="72">
        <f>EFEITO!$N$115*EFEITO!$AA$115</f>
        <v>0</v>
      </c>
      <c r="M115" s="72">
        <f ca="1">$J$115-EFEITO!$K$115*EFEITO!$Y$115</f>
        <v>0</v>
      </c>
      <c r="N115" s="72">
        <f>$K$115-EFEITO!$M$115*EFEITO!$Z$115</f>
        <v>0</v>
      </c>
      <c r="O115" s="72">
        <f>$L$115-EFEITO!$O$115*EFEITO!$AA$115</f>
        <v>0</v>
      </c>
      <c r="P115" s="56"/>
      <c r="Q115" s="56"/>
      <c r="R115" s="56"/>
      <c r="S115" s="56"/>
      <c r="T115" s="56"/>
      <c r="U115" s="56"/>
      <c r="V115" s="56"/>
      <c r="W115" s="56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</row>
    <row r="116" spans="1:36" ht="11.25" customHeight="1" x14ac:dyDescent="0.2">
      <c r="A116" s="52" t="s">
        <v>21</v>
      </c>
      <c r="B116" s="52" t="s">
        <v>33</v>
      </c>
      <c r="C116" s="52" t="s">
        <v>34</v>
      </c>
      <c r="D116" s="52" t="s">
        <v>45</v>
      </c>
      <c r="E116" s="52" t="s">
        <v>25</v>
      </c>
      <c r="F116" s="52" t="s">
        <v>25</v>
      </c>
      <c r="G116" s="52" t="s">
        <v>25</v>
      </c>
      <c r="H116" s="52" t="s">
        <v>25</v>
      </c>
      <c r="I116" s="71">
        <v>44470</v>
      </c>
      <c r="J116" s="72">
        <f ca="1">EFEITO!$J$116*EFEITO!$Y$116</f>
        <v>18712.813619246586</v>
      </c>
      <c r="K116" s="72">
        <f>EFEITO!$L$116*EFEITO!$Z$116</f>
        <v>0</v>
      </c>
      <c r="L116" s="72">
        <f>EFEITO!$N$116*EFEITO!$AA$116</f>
        <v>0</v>
      </c>
      <c r="M116" s="72">
        <f ca="1">$J$116-EFEITO!$K$116*EFEITO!$Y$116</f>
        <v>0</v>
      </c>
      <c r="N116" s="72">
        <f>$K$116-EFEITO!$M$116*EFEITO!$Z$116</f>
        <v>0</v>
      </c>
      <c r="O116" s="72">
        <f>$L$116-EFEITO!$O$116*EFEITO!$AA$116</f>
        <v>0</v>
      </c>
      <c r="P116" s="56"/>
      <c r="Q116" s="56"/>
      <c r="R116" s="56"/>
      <c r="S116" s="56"/>
      <c r="T116" s="56"/>
      <c r="U116" s="56"/>
      <c r="V116" s="56"/>
      <c r="W116" s="56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</row>
    <row r="117" spans="1:36" ht="11.25" customHeight="1" x14ac:dyDescent="0.2">
      <c r="A117" s="52" t="s">
        <v>21</v>
      </c>
      <c r="B117" s="52" t="s">
        <v>33</v>
      </c>
      <c r="C117" s="52" t="s">
        <v>34</v>
      </c>
      <c r="D117" s="52" t="s">
        <v>45</v>
      </c>
      <c r="E117" s="52" t="s">
        <v>25</v>
      </c>
      <c r="F117" s="52" t="s">
        <v>25</v>
      </c>
      <c r="G117" s="52" t="s">
        <v>25</v>
      </c>
      <c r="H117" s="52" t="s">
        <v>25</v>
      </c>
      <c r="I117" s="71">
        <v>44501</v>
      </c>
      <c r="J117" s="72">
        <f ca="1">EFEITO!$J$117*EFEITO!$Y$117</f>
        <v>18790.783675993447</v>
      </c>
      <c r="K117" s="72">
        <f>EFEITO!$L$117*EFEITO!$Z$117</f>
        <v>0</v>
      </c>
      <c r="L117" s="72">
        <f>EFEITO!$N$117*EFEITO!$AA$117</f>
        <v>0</v>
      </c>
      <c r="M117" s="72">
        <f ca="1">$J$117-EFEITO!$K$117*EFEITO!$Y$117</f>
        <v>0</v>
      </c>
      <c r="N117" s="72">
        <f>$K$117-EFEITO!$M$117*EFEITO!$Z$117</f>
        <v>0</v>
      </c>
      <c r="O117" s="72">
        <f>$L$117-EFEITO!$O$117*EFEITO!$AA$117</f>
        <v>0</v>
      </c>
      <c r="P117" s="56"/>
      <c r="Q117" s="56"/>
      <c r="R117" s="56"/>
      <c r="S117" s="56"/>
      <c r="T117" s="56"/>
      <c r="U117" s="56"/>
      <c r="V117" s="56"/>
      <c r="W117" s="56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</row>
    <row r="118" spans="1:36" ht="11.25" customHeight="1" x14ac:dyDescent="0.2">
      <c r="A118" s="52" t="s">
        <v>21</v>
      </c>
      <c r="B118" s="52" t="s">
        <v>33</v>
      </c>
      <c r="C118" s="52" t="s">
        <v>34</v>
      </c>
      <c r="D118" s="52" t="s">
        <v>45</v>
      </c>
      <c r="E118" s="52" t="s">
        <v>25</v>
      </c>
      <c r="F118" s="52" t="s">
        <v>25</v>
      </c>
      <c r="G118" s="52" t="s">
        <v>25</v>
      </c>
      <c r="H118" s="52" t="s">
        <v>25</v>
      </c>
      <c r="I118" s="71">
        <v>44531</v>
      </c>
      <c r="J118" s="72">
        <f ca="1">EFEITO!$J$118*EFEITO!$Y$118</f>
        <v>18712.813619246586</v>
      </c>
      <c r="K118" s="72">
        <f>EFEITO!$L$118*EFEITO!$Z$118</f>
        <v>0</v>
      </c>
      <c r="L118" s="72">
        <f>EFEITO!$N$118*EFEITO!$AA$118</f>
        <v>0</v>
      </c>
      <c r="M118" s="72">
        <f ca="1">$J$118-EFEITO!$K$118*EFEITO!$Y$118</f>
        <v>0</v>
      </c>
      <c r="N118" s="72">
        <f>$K$118-EFEITO!$M$118*EFEITO!$Z$118</f>
        <v>0</v>
      </c>
      <c r="O118" s="72">
        <f>$L$118-EFEITO!$O$118*EFEITO!$AA$118</f>
        <v>0</v>
      </c>
      <c r="P118" s="56"/>
      <c r="Q118" s="56"/>
      <c r="R118" s="56"/>
      <c r="S118" s="56"/>
      <c r="T118" s="56"/>
      <c r="U118" s="56"/>
      <c r="V118" s="56"/>
      <c r="W118" s="56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</row>
    <row r="119" spans="1:36" ht="11.25" customHeight="1" x14ac:dyDescent="0.2">
      <c r="A119" s="52" t="s">
        <v>21</v>
      </c>
      <c r="B119" s="52" t="s">
        <v>33</v>
      </c>
      <c r="C119" s="52" t="s">
        <v>34</v>
      </c>
      <c r="D119" s="52" t="s">
        <v>45</v>
      </c>
      <c r="E119" s="52" t="s">
        <v>25</v>
      </c>
      <c r="F119" s="52" t="s">
        <v>25</v>
      </c>
      <c r="G119" s="52" t="s">
        <v>25</v>
      </c>
      <c r="H119" s="52" t="s">
        <v>25</v>
      </c>
      <c r="I119" s="71">
        <v>44562</v>
      </c>
      <c r="J119" s="72">
        <f ca="1">EFEITO!$J$119*EFEITO!$Y$119</f>
        <v>19024.693846234029</v>
      </c>
      <c r="K119" s="72">
        <f>EFEITO!$L$119*EFEITO!$Z$119</f>
        <v>0</v>
      </c>
      <c r="L119" s="72">
        <f>EFEITO!$N$119*EFEITO!$AA$119</f>
        <v>0</v>
      </c>
      <c r="M119" s="72">
        <f ca="1">$J$119-EFEITO!$K$119*EFEITO!$Y$119</f>
        <v>0</v>
      </c>
      <c r="N119" s="72">
        <f>$K$119-EFEITO!$M$119*EFEITO!$Z$119</f>
        <v>0</v>
      </c>
      <c r="O119" s="72">
        <f>$L$119-EFEITO!$O$119*EFEITO!$AA$119</f>
        <v>0</v>
      </c>
      <c r="P119" s="56"/>
      <c r="Q119" s="56"/>
      <c r="R119" s="56"/>
      <c r="S119" s="56"/>
      <c r="T119" s="56"/>
      <c r="U119" s="56"/>
      <c r="V119" s="56"/>
      <c r="W119" s="56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</row>
    <row r="120" spans="1:36" ht="11.25" customHeight="1" x14ac:dyDescent="0.2">
      <c r="A120" s="52" t="s">
        <v>21</v>
      </c>
      <c r="B120" s="52" t="s">
        <v>33</v>
      </c>
      <c r="C120" s="52" t="s">
        <v>34</v>
      </c>
      <c r="D120" s="52" t="s">
        <v>45</v>
      </c>
      <c r="E120" s="52" t="s">
        <v>25</v>
      </c>
      <c r="F120" s="52" t="s">
        <v>25</v>
      </c>
      <c r="G120" s="52" t="s">
        <v>25</v>
      </c>
      <c r="H120" s="52" t="s">
        <v>25</v>
      </c>
      <c r="I120" s="71">
        <v>44593</v>
      </c>
      <c r="J120" s="72">
        <f ca="1">EFEITO!$J$120*EFEITO!$Y$120</f>
        <v>18712.813619246586</v>
      </c>
      <c r="K120" s="72">
        <f>EFEITO!$L$120*EFEITO!$Z$120</f>
        <v>0</v>
      </c>
      <c r="L120" s="72">
        <f>EFEITO!$N$120*EFEITO!$AA$120</f>
        <v>0</v>
      </c>
      <c r="M120" s="72">
        <f ca="1">$J$120-EFEITO!$K$120*EFEITO!$Y$120</f>
        <v>0</v>
      </c>
      <c r="N120" s="72">
        <f>$K$120-EFEITO!$M$120*EFEITO!$Z$120</f>
        <v>0</v>
      </c>
      <c r="O120" s="72">
        <f>$L$120-EFEITO!$O$120*EFEITO!$AA$120</f>
        <v>0</v>
      </c>
      <c r="P120" s="56"/>
      <c r="Q120" s="56"/>
      <c r="R120" s="56"/>
      <c r="S120" s="56"/>
      <c r="T120" s="56"/>
      <c r="U120" s="56"/>
      <c r="V120" s="56"/>
      <c r="W120" s="56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</row>
    <row r="121" spans="1:36" ht="11.25" customHeight="1" x14ac:dyDescent="0.2">
      <c r="A121" s="52" t="s">
        <v>21</v>
      </c>
      <c r="B121" s="52" t="s">
        <v>33</v>
      </c>
      <c r="C121" s="52" t="s">
        <v>34</v>
      </c>
      <c r="D121" s="52" t="s">
        <v>45</v>
      </c>
      <c r="E121" s="52" t="s">
        <v>25</v>
      </c>
      <c r="F121" s="52" t="s">
        <v>25</v>
      </c>
      <c r="G121" s="52" t="s">
        <v>25</v>
      </c>
      <c r="H121" s="52" t="s">
        <v>25</v>
      </c>
      <c r="I121" s="71">
        <v>44621</v>
      </c>
      <c r="J121" s="72">
        <f ca="1">EFEITO!$J$121*EFEITO!$Y$121</f>
        <v>19024.693846234029</v>
      </c>
      <c r="K121" s="72">
        <f>EFEITO!$L$121*EFEITO!$Z$121</f>
        <v>0</v>
      </c>
      <c r="L121" s="72">
        <f>EFEITO!$N$121*EFEITO!$AA$121</f>
        <v>0</v>
      </c>
      <c r="M121" s="72">
        <f ca="1">$J$121-EFEITO!$K$121*EFEITO!$Y$121</f>
        <v>0</v>
      </c>
      <c r="N121" s="72">
        <f>$K$121-EFEITO!$M$121*EFEITO!$Z$121</f>
        <v>0</v>
      </c>
      <c r="O121" s="72">
        <f>$L$121-EFEITO!$O$121*EFEITO!$AA$121</f>
        <v>0</v>
      </c>
      <c r="P121" s="56"/>
      <c r="Q121" s="56"/>
      <c r="R121" s="56"/>
      <c r="S121" s="56"/>
      <c r="T121" s="56"/>
      <c r="U121" s="56"/>
      <c r="V121" s="56"/>
      <c r="W121" s="56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</row>
    <row r="122" spans="1:36" ht="11.25" customHeight="1" x14ac:dyDescent="0.2">
      <c r="A122" s="52" t="s">
        <v>21</v>
      </c>
      <c r="B122" s="52" t="s">
        <v>33</v>
      </c>
      <c r="C122" s="52" t="s">
        <v>34</v>
      </c>
      <c r="D122" s="52" t="s">
        <v>45</v>
      </c>
      <c r="E122" s="52" t="s">
        <v>25</v>
      </c>
      <c r="F122" s="52" t="s">
        <v>25</v>
      </c>
      <c r="G122" s="52" t="s">
        <v>25</v>
      </c>
      <c r="H122" s="52" t="s">
        <v>35</v>
      </c>
      <c r="I122" s="71">
        <v>44287</v>
      </c>
      <c r="J122" s="72">
        <f>EFEITO!$J$122*EFEITO!$Y$122</f>
        <v>0</v>
      </c>
      <c r="K122" s="72">
        <f ca="1">EFEITO!$L$122*EFEITO!$Z$122</f>
        <v>4362.113627889772</v>
      </c>
      <c r="L122" s="72">
        <f>EFEITO!$N$122*EFEITO!$AA$122</f>
        <v>232.63640264189877</v>
      </c>
      <c r="M122" s="72">
        <f>$J$122-EFEITO!$K$122*EFEITO!$Y$122</f>
        <v>0</v>
      </c>
      <c r="N122" s="72">
        <f ca="1">$K$122-EFEITO!$M$122*EFEITO!$Z$122</f>
        <v>0</v>
      </c>
      <c r="O122" s="72">
        <f>$L$122-EFEITO!$O$122*EFEITO!$AA$122</f>
        <v>0</v>
      </c>
      <c r="P122" s="56"/>
      <c r="Q122" s="56"/>
      <c r="R122" s="56"/>
      <c r="S122" s="56"/>
      <c r="T122" s="56"/>
      <c r="U122" s="56"/>
      <c r="V122" s="56"/>
      <c r="W122" s="56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</row>
    <row r="123" spans="1:36" ht="11.25" customHeight="1" x14ac:dyDescent="0.2">
      <c r="A123" s="52" t="s">
        <v>21</v>
      </c>
      <c r="B123" s="52" t="s">
        <v>33</v>
      </c>
      <c r="C123" s="52" t="s">
        <v>34</v>
      </c>
      <c r="D123" s="52" t="s">
        <v>45</v>
      </c>
      <c r="E123" s="52" t="s">
        <v>25</v>
      </c>
      <c r="F123" s="52" t="s">
        <v>25</v>
      </c>
      <c r="G123" s="52" t="s">
        <v>25</v>
      </c>
      <c r="H123" s="52" t="s">
        <v>35</v>
      </c>
      <c r="I123" s="71">
        <v>44317</v>
      </c>
      <c r="J123" s="72">
        <f>EFEITO!$J$123*EFEITO!$Y$123</f>
        <v>0</v>
      </c>
      <c r="K123" s="72">
        <f ca="1">EFEITO!$L$123*EFEITO!$Z$123</f>
        <v>4122.4907940707144</v>
      </c>
      <c r="L123" s="72">
        <f>EFEITO!$N$123*EFEITO!$AA$123</f>
        <v>219.85704868511286</v>
      </c>
      <c r="M123" s="72">
        <f>$J$123-EFEITO!$K$123*EFEITO!$Y$123</f>
        <v>0</v>
      </c>
      <c r="N123" s="72">
        <f ca="1">$K$123-EFEITO!$M$123*EFEITO!$Z$123</f>
        <v>0</v>
      </c>
      <c r="O123" s="72">
        <f>$L$123-EFEITO!$O$123*EFEITO!$AA$123</f>
        <v>0</v>
      </c>
      <c r="P123" s="56"/>
      <c r="Q123" s="56"/>
      <c r="R123" s="56"/>
      <c r="S123" s="56"/>
      <c r="T123" s="56"/>
      <c r="U123" s="56"/>
      <c r="V123" s="56"/>
      <c r="W123" s="56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</row>
    <row r="124" spans="1:36" ht="11.25" customHeight="1" x14ac:dyDescent="0.2">
      <c r="A124" s="52" t="s">
        <v>21</v>
      </c>
      <c r="B124" s="52" t="s">
        <v>33</v>
      </c>
      <c r="C124" s="52" t="s">
        <v>34</v>
      </c>
      <c r="D124" s="52" t="s">
        <v>45</v>
      </c>
      <c r="E124" s="52" t="s">
        <v>25</v>
      </c>
      <c r="F124" s="52" t="s">
        <v>25</v>
      </c>
      <c r="G124" s="52" t="s">
        <v>25</v>
      </c>
      <c r="H124" s="52" t="s">
        <v>35</v>
      </c>
      <c r="I124" s="71">
        <v>44348</v>
      </c>
      <c r="J124" s="72">
        <f>EFEITO!$J$124*EFEITO!$Y$124</f>
        <v>0</v>
      </c>
      <c r="K124" s="72">
        <f ca="1">EFEITO!$L$124*EFEITO!$Z$124</f>
        <v>4552.8338425620823</v>
      </c>
      <c r="L124" s="72">
        <f>EFEITO!$N$124*EFEITO!$AA$124</f>
        <v>242.80772517893249</v>
      </c>
      <c r="M124" s="72">
        <f>$J$124-EFEITO!$K$124*EFEITO!$Y$124</f>
        <v>0</v>
      </c>
      <c r="N124" s="72">
        <f ca="1">$K$124-EFEITO!$M$124*EFEITO!$Z$124</f>
        <v>0</v>
      </c>
      <c r="O124" s="72">
        <f>$L$124-EFEITO!$O$124*EFEITO!$AA$124</f>
        <v>0</v>
      </c>
      <c r="P124" s="56"/>
      <c r="Q124" s="56"/>
      <c r="R124" s="56"/>
      <c r="S124" s="56"/>
      <c r="T124" s="56"/>
      <c r="U124" s="56"/>
      <c r="V124" s="56"/>
      <c r="W124" s="56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</row>
    <row r="125" spans="1:36" ht="11.25" customHeight="1" x14ac:dyDescent="0.2">
      <c r="A125" s="52" t="s">
        <v>21</v>
      </c>
      <c r="B125" s="52" t="s">
        <v>33</v>
      </c>
      <c r="C125" s="52" t="s">
        <v>34</v>
      </c>
      <c r="D125" s="52" t="s">
        <v>45</v>
      </c>
      <c r="E125" s="52" t="s">
        <v>25</v>
      </c>
      <c r="F125" s="52" t="s">
        <v>25</v>
      </c>
      <c r="G125" s="52" t="s">
        <v>25</v>
      </c>
      <c r="H125" s="52" t="s">
        <v>35</v>
      </c>
      <c r="I125" s="71">
        <v>44378</v>
      </c>
      <c r="J125" s="72">
        <f>EFEITO!$J$125*EFEITO!$Y$125</f>
        <v>0</v>
      </c>
      <c r="K125" s="72">
        <f ca="1">EFEITO!$L$125*EFEITO!$Z$125</f>
        <v>4582.1754140501307</v>
      </c>
      <c r="L125" s="72">
        <f>EFEITO!$N$125*EFEITO!$AA$125</f>
        <v>244.37254403078381</v>
      </c>
      <c r="M125" s="72">
        <f>$J$125-EFEITO!$K$125*EFEITO!$Y$125</f>
        <v>0</v>
      </c>
      <c r="N125" s="72">
        <f ca="1">$K$125-EFEITO!$M$125*EFEITO!$Z$125</f>
        <v>0</v>
      </c>
      <c r="O125" s="72">
        <f>$L$125-EFEITO!$O$125*EFEITO!$AA$125</f>
        <v>0</v>
      </c>
      <c r="P125" s="56"/>
      <c r="Q125" s="56"/>
      <c r="R125" s="56"/>
      <c r="S125" s="56"/>
      <c r="T125" s="56"/>
      <c r="U125" s="56"/>
      <c r="V125" s="56"/>
      <c r="W125" s="56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</row>
    <row r="126" spans="1:36" ht="11.25" customHeight="1" x14ac:dyDescent="0.2">
      <c r="A126" s="52" t="s">
        <v>21</v>
      </c>
      <c r="B126" s="52" t="s">
        <v>33</v>
      </c>
      <c r="C126" s="52" t="s">
        <v>34</v>
      </c>
      <c r="D126" s="52" t="s">
        <v>45</v>
      </c>
      <c r="E126" s="52" t="s">
        <v>25</v>
      </c>
      <c r="F126" s="52" t="s">
        <v>25</v>
      </c>
      <c r="G126" s="52" t="s">
        <v>25</v>
      </c>
      <c r="H126" s="52" t="s">
        <v>35</v>
      </c>
      <c r="I126" s="71">
        <v>44409</v>
      </c>
      <c r="J126" s="72">
        <f>EFEITO!$J$126*EFEITO!$Y$126</f>
        <v>0</v>
      </c>
      <c r="K126" s="72">
        <f ca="1">EFEITO!$L$126*EFEITO!$Z$126</f>
        <v>5428.1907252888423</v>
      </c>
      <c r="L126" s="72">
        <f>EFEITO!$N$126*EFEITO!$AA$126</f>
        <v>289.49148759249738</v>
      </c>
      <c r="M126" s="72">
        <f>$J$126-EFEITO!$K$126*EFEITO!$Y$126</f>
        <v>0</v>
      </c>
      <c r="N126" s="72">
        <f ca="1">$K$126-EFEITO!$M$126*EFEITO!$Z$126</f>
        <v>0</v>
      </c>
      <c r="O126" s="72">
        <f>$L$126-EFEITO!$O$126*EFEITO!$AA$126</f>
        <v>0</v>
      </c>
      <c r="P126" s="56"/>
      <c r="Q126" s="56"/>
      <c r="R126" s="56"/>
      <c r="S126" s="56"/>
      <c r="T126" s="56"/>
      <c r="U126" s="56"/>
      <c r="V126" s="56"/>
      <c r="W126" s="56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</row>
    <row r="127" spans="1:36" ht="11.25" customHeight="1" x14ac:dyDescent="0.2">
      <c r="A127" s="52" t="s">
        <v>21</v>
      </c>
      <c r="B127" s="52" t="s">
        <v>33</v>
      </c>
      <c r="C127" s="52" t="s">
        <v>34</v>
      </c>
      <c r="D127" s="52" t="s">
        <v>45</v>
      </c>
      <c r="E127" s="52" t="s">
        <v>25</v>
      </c>
      <c r="F127" s="52" t="s">
        <v>25</v>
      </c>
      <c r="G127" s="52" t="s">
        <v>25</v>
      </c>
      <c r="H127" s="52" t="s">
        <v>35</v>
      </c>
      <c r="I127" s="71">
        <v>44440</v>
      </c>
      <c r="J127" s="72">
        <f>EFEITO!$J$127*EFEITO!$Y$127</f>
        <v>0</v>
      </c>
      <c r="K127" s="72">
        <f ca="1">EFEITO!$L$127*EFEITO!$Z$127</f>
        <v>6352.4502271623469</v>
      </c>
      <c r="L127" s="72">
        <f>EFEITO!$N$127*EFEITO!$AA$127</f>
        <v>338.78328142581444</v>
      </c>
      <c r="M127" s="72">
        <f>$J$127-EFEITO!$K$127*EFEITO!$Y$127</f>
        <v>0</v>
      </c>
      <c r="N127" s="72">
        <f ca="1">$K$127-EFEITO!$M$127*EFEITO!$Z$127</f>
        <v>0</v>
      </c>
      <c r="O127" s="72">
        <f>$L$127-EFEITO!$O$127*EFEITO!$AA$127</f>
        <v>0</v>
      </c>
      <c r="P127" s="56"/>
      <c r="Q127" s="56"/>
      <c r="R127" s="56"/>
      <c r="S127" s="56"/>
      <c r="T127" s="56"/>
      <c r="U127" s="56"/>
      <c r="V127" s="56"/>
      <c r="W127" s="56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</row>
    <row r="128" spans="1:36" ht="11.25" customHeight="1" x14ac:dyDescent="0.2">
      <c r="A128" s="52" t="s">
        <v>21</v>
      </c>
      <c r="B128" s="52" t="s">
        <v>33</v>
      </c>
      <c r="C128" s="52" t="s">
        <v>34</v>
      </c>
      <c r="D128" s="52" t="s">
        <v>45</v>
      </c>
      <c r="E128" s="52" t="s">
        <v>25</v>
      </c>
      <c r="F128" s="52" t="s">
        <v>25</v>
      </c>
      <c r="G128" s="52" t="s">
        <v>25</v>
      </c>
      <c r="H128" s="52" t="s">
        <v>35</v>
      </c>
      <c r="I128" s="71">
        <v>44470</v>
      </c>
      <c r="J128" s="72">
        <f>EFEITO!$J$128*EFEITO!$Y$128</f>
        <v>0</v>
      </c>
      <c r="K128" s="72">
        <f ca="1">EFEITO!$L$128*EFEITO!$Z$128</f>
        <v>5442.8615110328656</v>
      </c>
      <c r="L128" s="72">
        <f>EFEITO!$N$128*EFEITO!$AA$128</f>
        <v>290.27389701842304</v>
      </c>
      <c r="M128" s="72">
        <f>$J$128-EFEITO!$K$128*EFEITO!$Y$128</f>
        <v>0</v>
      </c>
      <c r="N128" s="72">
        <f ca="1">$K$128-EFEITO!$M$128*EFEITO!$Z$128</f>
        <v>0</v>
      </c>
      <c r="O128" s="72">
        <f>$L$128-EFEITO!$O$128*EFEITO!$AA$128</f>
        <v>0</v>
      </c>
      <c r="P128" s="56"/>
      <c r="Q128" s="56"/>
      <c r="R128" s="56"/>
      <c r="S128" s="56"/>
      <c r="T128" s="56"/>
      <c r="U128" s="56"/>
      <c r="V128" s="56"/>
      <c r="W128" s="56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</row>
    <row r="129" spans="1:36" ht="11.25" customHeight="1" x14ac:dyDescent="0.2">
      <c r="A129" s="52" t="s">
        <v>21</v>
      </c>
      <c r="B129" s="52" t="s">
        <v>33</v>
      </c>
      <c r="C129" s="52" t="s">
        <v>34</v>
      </c>
      <c r="D129" s="52" t="s">
        <v>45</v>
      </c>
      <c r="E129" s="52" t="s">
        <v>25</v>
      </c>
      <c r="F129" s="52" t="s">
        <v>25</v>
      </c>
      <c r="G129" s="52" t="s">
        <v>25</v>
      </c>
      <c r="H129" s="52" t="s">
        <v>35</v>
      </c>
      <c r="I129" s="71">
        <v>44501</v>
      </c>
      <c r="J129" s="72">
        <f>EFEITO!$J$129*EFEITO!$Y$129</f>
        <v>0</v>
      </c>
      <c r="K129" s="72">
        <f ca="1">EFEITO!$L$129*EFEITO!$Z$129</f>
        <v>9002.9721849159978</v>
      </c>
      <c r="L129" s="72">
        <f>EFEITO!$N$129*EFEITO!$AA$129</f>
        <v>480.13858437638527</v>
      </c>
      <c r="M129" s="72">
        <f>$J$129-EFEITO!$K$129*EFEITO!$Y$129</f>
        <v>0</v>
      </c>
      <c r="N129" s="72">
        <f ca="1">$K$129-EFEITO!$M$129*EFEITO!$Z$129</f>
        <v>0</v>
      </c>
      <c r="O129" s="72">
        <f>$L$129-EFEITO!$O$129*EFEITO!$AA$129</f>
        <v>0</v>
      </c>
      <c r="P129" s="56"/>
      <c r="Q129" s="56"/>
      <c r="R129" s="56"/>
      <c r="S129" s="56"/>
      <c r="T129" s="56"/>
      <c r="U129" s="56"/>
      <c r="V129" s="56"/>
      <c r="W129" s="56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</row>
    <row r="130" spans="1:36" ht="11.25" customHeight="1" x14ac:dyDescent="0.2">
      <c r="A130" s="52" t="s">
        <v>21</v>
      </c>
      <c r="B130" s="52" t="s">
        <v>33</v>
      </c>
      <c r="C130" s="52" t="s">
        <v>34</v>
      </c>
      <c r="D130" s="52" t="s">
        <v>45</v>
      </c>
      <c r="E130" s="52" t="s">
        <v>25</v>
      </c>
      <c r="F130" s="52" t="s">
        <v>25</v>
      </c>
      <c r="G130" s="52" t="s">
        <v>25</v>
      </c>
      <c r="H130" s="52" t="s">
        <v>35</v>
      </c>
      <c r="I130" s="71">
        <v>44531</v>
      </c>
      <c r="J130" s="72">
        <f>EFEITO!$J$130*EFEITO!$Y$130</f>
        <v>0</v>
      </c>
      <c r="K130" s="72">
        <f ca="1">EFEITO!$L$130*EFEITO!$Z$130</f>
        <v>8895.3864227931554</v>
      </c>
      <c r="L130" s="72">
        <f>EFEITO!$N$130*EFEITO!$AA$130</f>
        <v>474.40091525293036</v>
      </c>
      <c r="M130" s="72">
        <f>$J$130-EFEITO!$K$130*EFEITO!$Y$130</f>
        <v>0</v>
      </c>
      <c r="N130" s="72">
        <f ca="1">$K$130-EFEITO!$M$130*EFEITO!$Z$130</f>
        <v>0</v>
      </c>
      <c r="O130" s="72">
        <f>$L$130-EFEITO!$O$130*EFEITO!$AA$130</f>
        <v>0</v>
      </c>
      <c r="P130" s="56"/>
      <c r="Q130" s="56"/>
      <c r="R130" s="56"/>
      <c r="S130" s="56"/>
      <c r="T130" s="56"/>
      <c r="U130" s="56"/>
      <c r="V130" s="56"/>
      <c r="W130" s="56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</row>
    <row r="131" spans="1:36" ht="11.25" customHeight="1" x14ac:dyDescent="0.2">
      <c r="A131" s="52" t="s">
        <v>21</v>
      </c>
      <c r="B131" s="52" t="s">
        <v>33</v>
      </c>
      <c r="C131" s="52" t="s">
        <v>34</v>
      </c>
      <c r="D131" s="52" t="s">
        <v>45</v>
      </c>
      <c r="E131" s="52" t="s">
        <v>25</v>
      </c>
      <c r="F131" s="52" t="s">
        <v>25</v>
      </c>
      <c r="G131" s="52" t="s">
        <v>25</v>
      </c>
      <c r="H131" s="52" t="s">
        <v>35</v>
      </c>
      <c r="I131" s="71">
        <v>44562</v>
      </c>
      <c r="J131" s="72">
        <f>EFEITO!$J$131*EFEITO!$Y$131</f>
        <v>0</v>
      </c>
      <c r="K131" s="72">
        <f ca="1">EFEITO!$L$131*EFEITO!$Z$131</f>
        <v>8557.9583506806066</v>
      </c>
      <c r="L131" s="72">
        <f>EFEITO!$N$131*EFEITO!$AA$131</f>
        <v>456.40549845663998</v>
      </c>
      <c r="M131" s="72">
        <f>$J$131-EFEITO!$K$131*EFEITO!$Y$131</f>
        <v>0</v>
      </c>
      <c r="N131" s="72">
        <f ca="1">$K$131-EFEITO!$M$131*EFEITO!$Z$131</f>
        <v>0</v>
      </c>
      <c r="O131" s="72">
        <f>$L$131-EFEITO!$O$131*EFEITO!$AA$131</f>
        <v>0</v>
      </c>
      <c r="P131" s="56"/>
      <c r="Q131" s="56"/>
      <c r="R131" s="56"/>
      <c r="S131" s="56"/>
      <c r="T131" s="56"/>
      <c r="U131" s="56"/>
      <c r="V131" s="56"/>
      <c r="W131" s="56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</row>
    <row r="132" spans="1:36" ht="11.25" customHeight="1" x14ac:dyDescent="0.2">
      <c r="A132" s="52" t="s">
        <v>21</v>
      </c>
      <c r="B132" s="52" t="s">
        <v>33</v>
      </c>
      <c r="C132" s="52" t="s">
        <v>34</v>
      </c>
      <c r="D132" s="52" t="s">
        <v>45</v>
      </c>
      <c r="E132" s="52" t="s">
        <v>25</v>
      </c>
      <c r="F132" s="52" t="s">
        <v>25</v>
      </c>
      <c r="G132" s="52" t="s">
        <v>25</v>
      </c>
      <c r="H132" s="52" t="s">
        <v>35</v>
      </c>
      <c r="I132" s="71">
        <v>44593</v>
      </c>
      <c r="J132" s="72">
        <f>EFEITO!$J$132*EFEITO!$Y$132</f>
        <v>0</v>
      </c>
      <c r="K132" s="72">
        <f ca="1">EFEITO!$L$132*EFEITO!$Z$132</f>
        <v>9188.8021376736342</v>
      </c>
      <c r="L132" s="72">
        <f>EFEITO!$N$132*EFEITO!$AA$132</f>
        <v>490.0491037714437</v>
      </c>
      <c r="M132" s="72">
        <f>$J$132-EFEITO!$K$132*EFEITO!$Y$132</f>
        <v>0</v>
      </c>
      <c r="N132" s="72">
        <f ca="1">$K$132-EFEITO!$M$132*EFEITO!$Z$132</f>
        <v>0</v>
      </c>
      <c r="O132" s="72">
        <f>$L$132-EFEITO!$O$132*EFEITO!$AA$132</f>
        <v>0</v>
      </c>
      <c r="P132" s="56"/>
      <c r="Q132" s="56"/>
      <c r="R132" s="56"/>
      <c r="S132" s="56"/>
      <c r="T132" s="56"/>
      <c r="U132" s="56"/>
      <c r="V132" s="56"/>
      <c r="W132" s="56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</row>
    <row r="133" spans="1:36" ht="11.25" customHeight="1" x14ac:dyDescent="0.2">
      <c r="A133" s="52" t="s">
        <v>21</v>
      </c>
      <c r="B133" s="52" t="s">
        <v>33</v>
      </c>
      <c r="C133" s="52" t="s">
        <v>34</v>
      </c>
      <c r="D133" s="52" t="s">
        <v>45</v>
      </c>
      <c r="E133" s="52" t="s">
        <v>25</v>
      </c>
      <c r="F133" s="52" t="s">
        <v>25</v>
      </c>
      <c r="G133" s="52" t="s">
        <v>25</v>
      </c>
      <c r="H133" s="52" t="s">
        <v>35</v>
      </c>
      <c r="I133" s="71">
        <v>44621</v>
      </c>
      <c r="J133" s="72">
        <f>EFEITO!$J$133*EFEITO!$Y$133</f>
        <v>0</v>
      </c>
      <c r="K133" s="72">
        <f ca="1">EFEITO!$L$133*EFEITO!$Z$133</f>
        <v>13164.58507430411</v>
      </c>
      <c r="L133" s="72">
        <f>EFEITO!$N$133*EFEITO!$AA$133</f>
        <v>702.08205819729994</v>
      </c>
      <c r="M133" s="72">
        <f>$J$133-EFEITO!$K$133*EFEITO!$Y$133</f>
        <v>0</v>
      </c>
      <c r="N133" s="72">
        <f ca="1">$K$133-EFEITO!$M$133*EFEITO!$Z$133</f>
        <v>0</v>
      </c>
      <c r="O133" s="72">
        <f>$L$133-EFEITO!$O$133*EFEITO!$AA$133</f>
        <v>0</v>
      </c>
      <c r="P133" s="56"/>
      <c r="Q133" s="56"/>
      <c r="R133" s="56"/>
      <c r="S133" s="56"/>
      <c r="T133" s="56"/>
      <c r="U133" s="56"/>
      <c r="V133" s="56"/>
      <c r="W133" s="56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</row>
    <row r="134" spans="1:36" ht="11.25" customHeight="1" x14ac:dyDescent="0.2">
      <c r="A134" s="52" t="s">
        <v>21</v>
      </c>
      <c r="B134" s="52" t="s">
        <v>33</v>
      </c>
      <c r="C134" s="52" t="s">
        <v>34</v>
      </c>
      <c r="D134" s="52" t="s">
        <v>24</v>
      </c>
      <c r="E134" s="52" t="s">
        <v>24</v>
      </c>
      <c r="F134" s="52" t="s">
        <v>25</v>
      </c>
      <c r="G134" s="52" t="s">
        <v>25</v>
      </c>
      <c r="H134" s="52" t="s">
        <v>36</v>
      </c>
      <c r="I134" s="71">
        <v>44287</v>
      </c>
      <c r="J134" s="72">
        <f>EFEITO!$J$134*EFEITO!$Y$134</f>
        <v>0</v>
      </c>
      <c r="K134" s="72">
        <f ca="1">EFEITO!$L$134*EFEITO!$Z$134</f>
        <v>321.47941973047466</v>
      </c>
      <c r="L134" s="72">
        <f>EFEITO!$N$134*EFEITO!$AA$134</f>
        <v>612.62658049979848</v>
      </c>
      <c r="M134" s="72">
        <f>$J$134-EFEITO!$K$134*EFEITO!$Y$134</f>
        <v>0</v>
      </c>
      <c r="N134" s="72">
        <f ca="1">$K$134-EFEITO!$M$134*EFEITO!$Z$134</f>
        <v>0</v>
      </c>
      <c r="O134" s="72">
        <f>$L$134-EFEITO!$O$134*EFEITO!$AA$134</f>
        <v>0</v>
      </c>
      <c r="P134" s="56"/>
      <c r="Q134" s="56"/>
      <c r="R134" s="56"/>
      <c r="S134" s="56"/>
      <c r="T134" s="56"/>
      <c r="U134" s="56"/>
      <c r="V134" s="56"/>
      <c r="W134" s="56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</row>
    <row r="135" spans="1:36" ht="11.25" customHeight="1" x14ac:dyDescent="0.2">
      <c r="A135" s="52" t="s">
        <v>21</v>
      </c>
      <c r="B135" s="52" t="s">
        <v>33</v>
      </c>
      <c r="C135" s="52" t="s">
        <v>34</v>
      </c>
      <c r="D135" s="52" t="s">
        <v>24</v>
      </c>
      <c r="E135" s="52" t="s">
        <v>24</v>
      </c>
      <c r="F135" s="52" t="s">
        <v>25</v>
      </c>
      <c r="G135" s="52" t="s">
        <v>25</v>
      </c>
      <c r="H135" s="52" t="s">
        <v>36</v>
      </c>
      <c r="I135" s="71">
        <v>44317</v>
      </c>
      <c r="J135" s="72">
        <f>EFEITO!$J$135*EFEITO!$Y$135</f>
        <v>0</v>
      </c>
      <c r="K135" s="72">
        <f ca="1">EFEITO!$L$135*EFEITO!$Z$135</f>
        <v>212.81417525793447</v>
      </c>
      <c r="L135" s="72">
        <f>EFEITO!$N$135*EFEITO!$AA$135</f>
        <v>405.54888577147153</v>
      </c>
      <c r="M135" s="72">
        <f>$J$135-EFEITO!$K$135*EFEITO!$Y$135</f>
        <v>0</v>
      </c>
      <c r="N135" s="72">
        <f ca="1">$K$135-EFEITO!$M$135*EFEITO!$Z$135</f>
        <v>0</v>
      </c>
      <c r="O135" s="72">
        <f>$L$135-EFEITO!$O$135*EFEITO!$AA$135</f>
        <v>0</v>
      </c>
      <c r="P135" s="56"/>
      <c r="Q135" s="56"/>
      <c r="R135" s="56"/>
      <c r="S135" s="56"/>
      <c r="T135" s="56"/>
      <c r="U135" s="56"/>
      <c r="V135" s="56"/>
      <c r="W135" s="56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</row>
    <row r="136" spans="1:36" ht="11.25" customHeight="1" x14ac:dyDescent="0.2">
      <c r="A136" s="52" t="s">
        <v>21</v>
      </c>
      <c r="B136" s="52" t="s">
        <v>33</v>
      </c>
      <c r="C136" s="52" t="s">
        <v>34</v>
      </c>
      <c r="D136" s="52" t="s">
        <v>24</v>
      </c>
      <c r="E136" s="52" t="s">
        <v>24</v>
      </c>
      <c r="F136" s="52" t="s">
        <v>25</v>
      </c>
      <c r="G136" s="52" t="s">
        <v>25</v>
      </c>
      <c r="H136" s="52" t="s">
        <v>36</v>
      </c>
      <c r="I136" s="71">
        <v>44348</v>
      </c>
      <c r="J136" s="72">
        <f>EFEITO!$J$136*EFEITO!$Y$136</f>
        <v>0</v>
      </c>
      <c r="K136" s="72">
        <f ca="1">EFEITO!$L$136*EFEITO!$Z$136</f>
        <v>204.87641180779931</v>
      </c>
      <c r="L136" s="72">
        <f>EFEITO!$N$136*EFEITO!$AA$136</f>
        <v>390.4223035369086</v>
      </c>
      <c r="M136" s="72">
        <f>$J$136-EFEITO!$K$136*EFEITO!$Y$136</f>
        <v>0</v>
      </c>
      <c r="N136" s="72">
        <f ca="1">$K$136-EFEITO!$M$136*EFEITO!$Z$136</f>
        <v>0</v>
      </c>
      <c r="O136" s="72">
        <f>$L$136-EFEITO!$O$136*EFEITO!$AA$136</f>
        <v>0</v>
      </c>
      <c r="P136" s="56"/>
      <c r="Q136" s="56"/>
      <c r="R136" s="56"/>
      <c r="S136" s="56"/>
      <c r="T136" s="56"/>
      <c r="U136" s="56"/>
      <c r="V136" s="56"/>
      <c r="W136" s="56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</row>
    <row r="137" spans="1:36" ht="11.25" customHeight="1" x14ac:dyDescent="0.2">
      <c r="A137" s="52" t="s">
        <v>21</v>
      </c>
      <c r="B137" s="52" t="s">
        <v>33</v>
      </c>
      <c r="C137" s="52" t="s">
        <v>34</v>
      </c>
      <c r="D137" s="52" t="s">
        <v>24</v>
      </c>
      <c r="E137" s="52" t="s">
        <v>24</v>
      </c>
      <c r="F137" s="52" t="s">
        <v>25</v>
      </c>
      <c r="G137" s="52" t="s">
        <v>25</v>
      </c>
      <c r="H137" s="52" t="s">
        <v>36</v>
      </c>
      <c r="I137" s="71">
        <v>44378</v>
      </c>
      <c r="J137" s="72">
        <f>EFEITO!$J$137*EFEITO!$Y$137</f>
        <v>0</v>
      </c>
      <c r="K137" s="72">
        <f ca="1">EFEITO!$L$137*EFEITO!$Z$137</f>
        <v>202.54982596896659</v>
      </c>
      <c r="L137" s="72">
        <f>EFEITO!$N$137*EFEITO!$AA$137</f>
        <v>385.98865012332982</v>
      </c>
      <c r="M137" s="72">
        <f>$J$137-EFEITO!$K$137*EFEITO!$Y$137</f>
        <v>0</v>
      </c>
      <c r="N137" s="72">
        <f ca="1">$K$137-EFEITO!$M$137*EFEITO!$Z$137</f>
        <v>0</v>
      </c>
      <c r="O137" s="72">
        <f>$L$137-EFEITO!$O$137*EFEITO!$AA$137</f>
        <v>0</v>
      </c>
      <c r="P137" s="56"/>
      <c r="Q137" s="56"/>
      <c r="R137" s="56"/>
      <c r="S137" s="56"/>
      <c r="T137" s="56"/>
      <c r="U137" s="56"/>
      <c r="V137" s="56"/>
      <c r="W137" s="56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</row>
    <row r="138" spans="1:36" ht="11.25" customHeight="1" x14ac:dyDescent="0.2">
      <c r="A138" s="52" t="s">
        <v>21</v>
      </c>
      <c r="B138" s="52" t="s">
        <v>33</v>
      </c>
      <c r="C138" s="52" t="s">
        <v>34</v>
      </c>
      <c r="D138" s="52" t="s">
        <v>24</v>
      </c>
      <c r="E138" s="52" t="s">
        <v>24</v>
      </c>
      <c r="F138" s="52" t="s">
        <v>25</v>
      </c>
      <c r="G138" s="52" t="s">
        <v>25</v>
      </c>
      <c r="H138" s="52" t="s">
        <v>36</v>
      </c>
      <c r="I138" s="71">
        <v>44409</v>
      </c>
      <c r="J138" s="72">
        <f>EFEITO!$J$138*EFEITO!$Y$138</f>
        <v>0</v>
      </c>
      <c r="K138" s="72">
        <f ca="1">EFEITO!$L$138*EFEITO!$Z$138</f>
        <v>188.31659495493108</v>
      </c>
      <c r="L138" s="72">
        <f>EFEITO!$N$138*EFEITO!$AA$138</f>
        <v>358.86512335790661</v>
      </c>
      <c r="M138" s="72">
        <f>$J$138-EFEITO!$K$138*EFEITO!$Y$138</f>
        <v>0</v>
      </c>
      <c r="N138" s="72">
        <f ca="1">$K$138-EFEITO!$M$138*EFEITO!$Z$138</f>
        <v>0</v>
      </c>
      <c r="O138" s="72">
        <f>$L$138-EFEITO!$O$138*EFEITO!$AA$138</f>
        <v>0</v>
      </c>
      <c r="P138" s="56"/>
      <c r="Q138" s="56"/>
      <c r="R138" s="56"/>
      <c r="S138" s="56"/>
      <c r="T138" s="56"/>
      <c r="U138" s="56"/>
      <c r="V138" s="56"/>
      <c r="W138" s="56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</row>
    <row r="139" spans="1:36" ht="11.25" customHeight="1" x14ac:dyDescent="0.2">
      <c r="A139" s="52" t="s">
        <v>21</v>
      </c>
      <c r="B139" s="52" t="s">
        <v>33</v>
      </c>
      <c r="C139" s="52" t="s">
        <v>34</v>
      </c>
      <c r="D139" s="52" t="s">
        <v>24</v>
      </c>
      <c r="E139" s="52" t="s">
        <v>24</v>
      </c>
      <c r="F139" s="52" t="s">
        <v>25</v>
      </c>
      <c r="G139" s="52" t="s">
        <v>25</v>
      </c>
      <c r="H139" s="52" t="s">
        <v>36</v>
      </c>
      <c r="I139" s="71">
        <v>44440</v>
      </c>
      <c r="J139" s="72">
        <f>EFEITO!$J$139*EFEITO!$Y$139</f>
        <v>0</v>
      </c>
      <c r="K139" s="72">
        <f ca="1">EFEITO!$L$139*EFEITO!$Z$139</f>
        <v>509.24858272332744</v>
      </c>
      <c r="L139" s="72">
        <f>EFEITO!$N$139*EFEITO!$AA$139</f>
        <v>970.44849128980422</v>
      </c>
      <c r="M139" s="72">
        <f>$J$139-EFEITO!$K$139*EFEITO!$Y$139</f>
        <v>0</v>
      </c>
      <c r="N139" s="72">
        <f ca="1">$K$139-EFEITO!$M$139*EFEITO!$Z$139</f>
        <v>0</v>
      </c>
      <c r="O139" s="72">
        <f>$L$139-EFEITO!$O$139*EFEITO!$AA$139</f>
        <v>0</v>
      </c>
      <c r="P139" s="56"/>
      <c r="Q139" s="56"/>
      <c r="R139" s="56"/>
      <c r="S139" s="56"/>
      <c r="T139" s="56"/>
      <c r="U139" s="56"/>
      <c r="V139" s="56"/>
      <c r="W139" s="56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</row>
    <row r="140" spans="1:36" ht="11.25" customHeight="1" x14ac:dyDescent="0.2">
      <c r="A140" s="52" t="s">
        <v>21</v>
      </c>
      <c r="B140" s="52" t="s">
        <v>33</v>
      </c>
      <c r="C140" s="52" t="s">
        <v>34</v>
      </c>
      <c r="D140" s="52" t="s">
        <v>24</v>
      </c>
      <c r="E140" s="52" t="s">
        <v>24</v>
      </c>
      <c r="F140" s="52" t="s">
        <v>25</v>
      </c>
      <c r="G140" s="52" t="s">
        <v>25</v>
      </c>
      <c r="H140" s="52" t="s">
        <v>36</v>
      </c>
      <c r="I140" s="71">
        <v>44470</v>
      </c>
      <c r="J140" s="72">
        <f>EFEITO!$J$140*EFEITO!$Y$140</f>
        <v>0</v>
      </c>
      <c r="K140" s="72">
        <f ca="1">EFEITO!$L$140*EFEITO!$Z$140</f>
        <v>505.00598501722072</v>
      </c>
      <c r="L140" s="72">
        <f>EFEITO!$N$140*EFEITO!$AA$140</f>
        <v>962.36359388857227</v>
      </c>
      <c r="M140" s="72">
        <f>$J$140-EFEITO!$K$140*EFEITO!$Y$140</f>
        <v>0</v>
      </c>
      <c r="N140" s="72">
        <f ca="1">$K$140-EFEITO!$M$140*EFEITO!$Z$140</f>
        <v>0</v>
      </c>
      <c r="O140" s="72">
        <f>$L$140-EFEITO!$O$140*EFEITO!$AA$140</f>
        <v>0</v>
      </c>
      <c r="P140" s="56"/>
      <c r="Q140" s="56"/>
      <c r="R140" s="56"/>
      <c r="S140" s="56"/>
      <c r="T140" s="56"/>
      <c r="U140" s="56"/>
      <c r="V140" s="56"/>
      <c r="W140" s="56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</row>
    <row r="141" spans="1:36" ht="11.25" customHeight="1" x14ac:dyDescent="0.2">
      <c r="A141" s="52" t="s">
        <v>21</v>
      </c>
      <c r="B141" s="52" t="s">
        <v>33</v>
      </c>
      <c r="C141" s="52" t="s">
        <v>34</v>
      </c>
      <c r="D141" s="52" t="s">
        <v>24</v>
      </c>
      <c r="E141" s="52" t="s">
        <v>24</v>
      </c>
      <c r="F141" s="52" t="s">
        <v>25</v>
      </c>
      <c r="G141" s="52" t="s">
        <v>25</v>
      </c>
      <c r="H141" s="52" t="s">
        <v>36</v>
      </c>
      <c r="I141" s="71">
        <v>44501</v>
      </c>
      <c r="J141" s="72">
        <f>EFEITO!$J$141*EFEITO!$Y$141</f>
        <v>0</v>
      </c>
      <c r="K141" s="72">
        <f ca="1">EFEITO!$L$141*EFEITO!$Z$141</f>
        <v>427.27064640210381</v>
      </c>
      <c r="L141" s="72">
        <f>EFEITO!$N$141*EFEITO!$AA$141</f>
        <v>814.22740924664572</v>
      </c>
      <c r="M141" s="72">
        <f>$J$141-EFEITO!$K$141*EFEITO!$Y$141</f>
        <v>0</v>
      </c>
      <c r="N141" s="72">
        <f ca="1">$K$141-EFEITO!$M$141*EFEITO!$Z$141</f>
        <v>0</v>
      </c>
      <c r="O141" s="72">
        <f>$L$141-EFEITO!$O$141*EFEITO!$AA$141</f>
        <v>0</v>
      </c>
      <c r="P141" s="56"/>
      <c r="Q141" s="56"/>
      <c r="R141" s="56"/>
      <c r="S141" s="56"/>
      <c r="T141" s="56"/>
      <c r="U141" s="56"/>
      <c r="V141" s="56"/>
      <c r="W141" s="56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</row>
    <row r="142" spans="1:36" ht="11.25" customHeight="1" x14ac:dyDescent="0.2">
      <c r="A142" s="52" t="s">
        <v>21</v>
      </c>
      <c r="B142" s="52" t="s">
        <v>33</v>
      </c>
      <c r="C142" s="52" t="s">
        <v>34</v>
      </c>
      <c r="D142" s="52" t="s">
        <v>24</v>
      </c>
      <c r="E142" s="52" t="s">
        <v>24</v>
      </c>
      <c r="F142" s="52" t="s">
        <v>25</v>
      </c>
      <c r="G142" s="52" t="s">
        <v>25</v>
      </c>
      <c r="H142" s="52" t="s">
        <v>36</v>
      </c>
      <c r="I142" s="71">
        <v>44531</v>
      </c>
      <c r="J142" s="72">
        <f>EFEITO!$J$142*EFEITO!$Y$142</f>
        <v>0</v>
      </c>
      <c r="K142" s="72">
        <f ca="1">EFEITO!$L$142*EFEITO!$Z$142</f>
        <v>496.52078960500728</v>
      </c>
      <c r="L142" s="72">
        <f>EFEITO!$N$142*EFEITO!$AA$142</f>
        <v>946.19379908610847</v>
      </c>
      <c r="M142" s="72">
        <f>$J$142-EFEITO!$K$142*EFEITO!$Y$142</f>
        <v>0</v>
      </c>
      <c r="N142" s="72">
        <f ca="1">$K$142-EFEITO!$M$142*EFEITO!$Z$142</f>
        <v>0</v>
      </c>
      <c r="O142" s="72">
        <f>$L$142-EFEITO!$O$142*EFEITO!$AA$142</f>
        <v>0</v>
      </c>
      <c r="P142" s="56"/>
      <c r="Q142" s="56"/>
      <c r="R142" s="56"/>
      <c r="S142" s="56"/>
      <c r="T142" s="56"/>
      <c r="U142" s="56"/>
      <c r="V142" s="56"/>
      <c r="W142" s="56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</row>
    <row r="143" spans="1:36" ht="11.25" customHeight="1" x14ac:dyDescent="0.2">
      <c r="A143" s="52" t="s">
        <v>21</v>
      </c>
      <c r="B143" s="52" t="s">
        <v>33</v>
      </c>
      <c r="C143" s="52" t="s">
        <v>34</v>
      </c>
      <c r="D143" s="52" t="s">
        <v>24</v>
      </c>
      <c r="E143" s="52" t="s">
        <v>24</v>
      </c>
      <c r="F143" s="52" t="s">
        <v>25</v>
      </c>
      <c r="G143" s="52" t="s">
        <v>25</v>
      </c>
      <c r="H143" s="52" t="s">
        <v>36</v>
      </c>
      <c r="I143" s="71">
        <v>44562</v>
      </c>
      <c r="J143" s="72">
        <f>EFEITO!$J$143*EFEITO!$Y$143</f>
        <v>0</v>
      </c>
      <c r="K143" s="72">
        <f ca="1">EFEITO!$L$143*EFEITO!$Z$143</f>
        <v>474.34979514083665</v>
      </c>
      <c r="L143" s="72">
        <f>EFEITO!$N$143*EFEITO!$AA$143</f>
        <v>903.94369008612239</v>
      </c>
      <c r="M143" s="72">
        <f>$J$143-EFEITO!$K$143*EFEITO!$Y$143</f>
        <v>0</v>
      </c>
      <c r="N143" s="72">
        <f ca="1">$K$143-EFEITO!$M$143*EFEITO!$Z$143</f>
        <v>0</v>
      </c>
      <c r="O143" s="72">
        <f>$L$143-EFEITO!$O$143*EFEITO!$AA$143</f>
        <v>0</v>
      </c>
      <c r="P143" s="56"/>
      <c r="Q143" s="56"/>
      <c r="R143" s="56"/>
      <c r="S143" s="56"/>
      <c r="T143" s="56"/>
      <c r="U143" s="56"/>
      <c r="V143" s="56"/>
      <c r="W143" s="56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</row>
    <row r="144" spans="1:36" ht="11.25" customHeight="1" x14ac:dyDescent="0.2">
      <c r="A144" s="52" t="s">
        <v>21</v>
      </c>
      <c r="B144" s="52" t="s">
        <v>33</v>
      </c>
      <c r="C144" s="52" t="s">
        <v>34</v>
      </c>
      <c r="D144" s="52" t="s">
        <v>24</v>
      </c>
      <c r="E144" s="52" t="s">
        <v>24</v>
      </c>
      <c r="F144" s="52" t="s">
        <v>25</v>
      </c>
      <c r="G144" s="52" t="s">
        <v>25</v>
      </c>
      <c r="H144" s="52" t="s">
        <v>36</v>
      </c>
      <c r="I144" s="71">
        <v>44593</v>
      </c>
      <c r="J144" s="72">
        <f>EFEITO!$J$144*EFEITO!$Y$144</f>
        <v>0</v>
      </c>
      <c r="K144" s="72">
        <f ca="1">EFEITO!$L$144*EFEITO!$Z$144</f>
        <v>422.34375874339923</v>
      </c>
      <c r="L144" s="72">
        <f>EFEITO!$N$144*EFEITO!$AA$144</f>
        <v>804.83849613553764</v>
      </c>
      <c r="M144" s="72">
        <f>$J$144-EFEITO!$K$144*EFEITO!$Y$144</f>
        <v>0</v>
      </c>
      <c r="N144" s="72">
        <f ca="1">$K$144-EFEITO!$M$144*EFEITO!$Z$144</f>
        <v>0</v>
      </c>
      <c r="O144" s="72">
        <f>$L$144-EFEITO!$O$144*EFEITO!$AA$144</f>
        <v>0</v>
      </c>
      <c r="P144" s="56"/>
      <c r="Q144" s="56"/>
      <c r="R144" s="56"/>
      <c r="S144" s="56"/>
      <c r="T144" s="56"/>
      <c r="U144" s="56"/>
      <c r="V144" s="56"/>
      <c r="W144" s="56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</row>
    <row r="145" spans="1:36" ht="11.25" customHeight="1" x14ac:dyDescent="0.2">
      <c r="A145" s="52" t="s">
        <v>21</v>
      </c>
      <c r="B145" s="52" t="s">
        <v>33</v>
      </c>
      <c r="C145" s="52" t="s">
        <v>34</v>
      </c>
      <c r="D145" s="52" t="s">
        <v>24</v>
      </c>
      <c r="E145" s="52" t="s">
        <v>24</v>
      </c>
      <c r="F145" s="52" t="s">
        <v>25</v>
      </c>
      <c r="G145" s="52" t="s">
        <v>25</v>
      </c>
      <c r="H145" s="52" t="s">
        <v>36</v>
      </c>
      <c r="I145" s="71">
        <v>44621</v>
      </c>
      <c r="J145" s="72">
        <f>EFEITO!$J$145*EFEITO!$Y$145</f>
        <v>0</v>
      </c>
      <c r="K145" s="72">
        <f ca="1">EFEITO!$L$145*EFEITO!$Z$145</f>
        <v>429.04980027885824</v>
      </c>
      <c r="L145" s="72">
        <f>EFEITO!$N$145*EFEITO!$AA$145</f>
        <v>817.61785009232358</v>
      </c>
      <c r="M145" s="72">
        <f>$J$145-EFEITO!$K$145*EFEITO!$Y$145</f>
        <v>0</v>
      </c>
      <c r="N145" s="72">
        <f ca="1">$K$145-EFEITO!$M$145*EFEITO!$Z$145</f>
        <v>0</v>
      </c>
      <c r="O145" s="72">
        <f>$L$145-EFEITO!$O$145*EFEITO!$AA$145</f>
        <v>0</v>
      </c>
      <c r="P145" s="56"/>
      <c r="Q145" s="56"/>
      <c r="R145" s="56"/>
      <c r="S145" s="56"/>
      <c r="T145" s="56"/>
      <c r="U145" s="56"/>
      <c r="V145" s="56"/>
      <c r="W145" s="56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</row>
    <row r="146" spans="1:36" ht="11.25" customHeight="1" x14ac:dyDescent="0.2">
      <c r="A146" s="52" t="s">
        <v>21</v>
      </c>
      <c r="B146" s="52" t="s">
        <v>33</v>
      </c>
      <c r="C146" s="52" t="s">
        <v>34</v>
      </c>
      <c r="D146" s="52" t="s">
        <v>24</v>
      </c>
      <c r="E146" s="52" t="s">
        <v>24</v>
      </c>
      <c r="F146" s="52" t="s">
        <v>25</v>
      </c>
      <c r="G146" s="52" t="s">
        <v>25</v>
      </c>
      <c r="H146" s="52" t="s">
        <v>25</v>
      </c>
      <c r="I146" s="71">
        <v>44287</v>
      </c>
      <c r="J146" s="72">
        <f ca="1">EFEITO!$J$146*EFEITO!$Y$146</f>
        <v>2339.1017024058233</v>
      </c>
      <c r="K146" s="72">
        <f>EFEITO!$L$146*EFEITO!$Z$146</f>
        <v>0</v>
      </c>
      <c r="L146" s="72">
        <f>EFEITO!$N$146*EFEITO!$AA$146</f>
        <v>0</v>
      </c>
      <c r="M146" s="72">
        <f ca="1">$J$146-EFEITO!$K$146*EFEITO!$Y$146</f>
        <v>0</v>
      </c>
      <c r="N146" s="72">
        <f>$K$146-EFEITO!$M$146*EFEITO!$Z$146</f>
        <v>0</v>
      </c>
      <c r="O146" s="72">
        <f>$L$146-EFEITO!$O$146*EFEITO!$AA$146</f>
        <v>0</v>
      </c>
      <c r="P146" s="56"/>
      <c r="Q146" s="56"/>
      <c r="R146" s="56"/>
      <c r="S146" s="56"/>
      <c r="T146" s="56"/>
      <c r="U146" s="56"/>
      <c r="V146" s="56"/>
      <c r="W146" s="56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</row>
    <row r="147" spans="1:36" ht="11.25" customHeight="1" x14ac:dyDescent="0.2">
      <c r="A147" s="52" t="s">
        <v>21</v>
      </c>
      <c r="B147" s="52" t="s">
        <v>33</v>
      </c>
      <c r="C147" s="52" t="s">
        <v>34</v>
      </c>
      <c r="D147" s="52" t="s">
        <v>24</v>
      </c>
      <c r="E147" s="52" t="s">
        <v>24</v>
      </c>
      <c r="F147" s="52" t="s">
        <v>25</v>
      </c>
      <c r="G147" s="52" t="s">
        <v>25</v>
      </c>
      <c r="H147" s="52" t="s">
        <v>25</v>
      </c>
      <c r="I147" s="71">
        <v>44317</v>
      </c>
      <c r="J147" s="72">
        <f ca="1">EFEITO!$J$147*EFEITO!$Y$147</f>
        <v>2339.1017024058233</v>
      </c>
      <c r="K147" s="72">
        <f>EFEITO!$L$147*EFEITO!$Z$147</f>
        <v>0</v>
      </c>
      <c r="L147" s="72">
        <f>EFEITO!$N$147*EFEITO!$AA$147</f>
        <v>0</v>
      </c>
      <c r="M147" s="72">
        <f ca="1">$J$147-EFEITO!$K$147*EFEITO!$Y$147</f>
        <v>0</v>
      </c>
      <c r="N147" s="72">
        <f>$K$147-EFEITO!$M$147*EFEITO!$Z$147</f>
        <v>0</v>
      </c>
      <c r="O147" s="72">
        <f>$L$147-EFEITO!$O$147*EFEITO!$AA$147</f>
        <v>0</v>
      </c>
      <c r="P147" s="56"/>
      <c r="Q147" s="56"/>
      <c r="R147" s="56"/>
      <c r="S147" s="56"/>
      <c r="T147" s="56"/>
      <c r="U147" s="56"/>
      <c r="V147" s="56"/>
      <c r="W147" s="56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</row>
    <row r="148" spans="1:36" ht="11.25" customHeight="1" x14ac:dyDescent="0.2">
      <c r="A148" s="52" t="s">
        <v>21</v>
      </c>
      <c r="B148" s="52" t="s">
        <v>33</v>
      </c>
      <c r="C148" s="52" t="s">
        <v>34</v>
      </c>
      <c r="D148" s="52" t="s">
        <v>24</v>
      </c>
      <c r="E148" s="52" t="s">
        <v>24</v>
      </c>
      <c r="F148" s="52" t="s">
        <v>25</v>
      </c>
      <c r="G148" s="52" t="s">
        <v>25</v>
      </c>
      <c r="H148" s="52" t="s">
        <v>25</v>
      </c>
      <c r="I148" s="71">
        <v>44348</v>
      </c>
      <c r="J148" s="72">
        <f ca="1">EFEITO!$J$148*EFEITO!$Y$148</f>
        <v>2339.1017024058233</v>
      </c>
      <c r="K148" s="72">
        <f>EFEITO!$L$148*EFEITO!$Z$148</f>
        <v>0</v>
      </c>
      <c r="L148" s="72">
        <f>EFEITO!$N$148*EFEITO!$AA$148</f>
        <v>0</v>
      </c>
      <c r="M148" s="72">
        <f ca="1">$J$148-EFEITO!$K$148*EFEITO!$Y$148</f>
        <v>0</v>
      </c>
      <c r="N148" s="72">
        <f>$K$148-EFEITO!$M$148*EFEITO!$Z$148</f>
        <v>0</v>
      </c>
      <c r="O148" s="72">
        <f>$L$148-EFEITO!$O$148*EFEITO!$AA$148</f>
        <v>0</v>
      </c>
      <c r="P148" s="56"/>
      <c r="Q148" s="56"/>
      <c r="R148" s="56"/>
      <c r="S148" s="56"/>
      <c r="T148" s="56"/>
      <c r="U148" s="56"/>
      <c r="V148" s="56"/>
      <c r="W148" s="56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</row>
    <row r="149" spans="1:36" ht="11.25" customHeight="1" x14ac:dyDescent="0.2">
      <c r="A149" s="52" t="s">
        <v>21</v>
      </c>
      <c r="B149" s="52" t="s">
        <v>33</v>
      </c>
      <c r="C149" s="52" t="s">
        <v>34</v>
      </c>
      <c r="D149" s="52" t="s">
        <v>24</v>
      </c>
      <c r="E149" s="52" t="s">
        <v>24</v>
      </c>
      <c r="F149" s="52" t="s">
        <v>25</v>
      </c>
      <c r="G149" s="52" t="s">
        <v>25</v>
      </c>
      <c r="H149" s="52" t="s">
        <v>25</v>
      </c>
      <c r="I149" s="71">
        <v>44378</v>
      </c>
      <c r="J149" s="72">
        <f ca="1">EFEITO!$J$149*EFEITO!$Y$149</f>
        <v>2339.1017024058233</v>
      </c>
      <c r="K149" s="72">
        <f>EFEITO!$L$149*EFEITO!$Z$149</f>
        <v>0</v>
      </c>
      <c r="L149" s="72">
        <f>EFEITO!$N$149*EFEITO!$AA$149</f>
        <v>0</v>
      </c>
      <c r="M149" s="72">
        <f ca="1">$J$149-EFEITO!$K$149*EFEITO!$Y$149</f>
        <v>0</v>
      </c>
      <c r="N149" s="72">
        <f>$K$149-EFEITO!$M$149*EFEITO!$Z$149</f>
        <v>0</v>
      </c>
      <c r="O149" s="72">
        <f>$L$149-EFEITO!$O$149*EFEITO!$AA$149</f>
        <v>0</v>
      </c>
      <c r="P149" s="56"/>
      <c r="Q149" s="56"/>
      <c r="R149" s="56"/>
      <c r="S149" s="56"/>
      <c r="T149" s="56"/>
      <c r="U149" s="56"/>
      <c r="V149" s="56"/>
      <c r="W149" s="56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</row>
    <row r="150" spans="1:36" ht="11.25" customHeight="1" x14ac:dyDescent="0.2">
      <c r="A150" s="52" t="s">
        <v>21</v>
      </c>
      <c r="B150" s="52" t="s">
        <v>33</v>
      </c>
      <c r="C150" s="52" t="s">
        <v>34</v>
      </c>
      <c r="D150" s="52" t="s">
        <v>24</v>
      </c>
      <c r="E150" s="52" t="s">
        <v>24</v>
      </c>
      <c r="F150" s="52" t="s">
        <v>25</v>
      </c>
      <c r="G150" s="52" t="s">
        <v>25</v>
      </c>
      <c r="H150" s="52" t="s">
        <v>25</v>
      </c>
      <c r="I150" s="71">
        <v>44409</v>
      </c>
      <c r="J150" s="72">
        <f ca="1">EFEITO!$J$150*EFEITO!$Y$150</f>
        <v>2339.1017024058233</v>
      </c>
      <c r="K150" s="72">
        <f>EFEITO!$L$150*EFEITO!$Z$150</f>
        <v>0</v>
      </c>
      <c r="L150" s="72">
        <f>EFEITO!$N$150*EFEITO!$AA$150</f>
        <v>0</v>
      </c>
      <c r="M150" s="72">
        <f ca="1">$J$150-EFEITO!$K$150*EFEITO!$Y$150</f>
        <v>0</v>
      </c>
      <c r="N150" s="72">
        <f>$K$150-EFEITO!$M$150*EFEITO!$Z$150</f>
        <v>0</v>
      </c>
      <c r="O150" s="72">
        <f>$L$150-EFEITO!$O$150*EFEITO!$AA$150</f>
        <v>0</v>
      </c>
      <c r="P150" s="56"/>
      <c r="Q150" s="56"/>
      <c r="R150" s="56"/>
      <c r="S150" s="56"/>
      <c r="T150" s="56"/>
      <c r="U150" s="56"/>
      <c r="V150" s="56"/>
      <c r="W150" s="56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</row>
    <row r="151" spans="1:36" ht="11.25" customHeight="1" x14ac:dyDescent="0.2">
      <c r="A151" s="52" t="s">
        <v>21</v>
      </c>
      <c r="B151" s="52" t="s">
        <v>33</v>
      </c>
      <c r="C151" s="52" t="s">
        <v>34</v>
      </c>
      <c r="D151" s="52" t="s">
        <v>24</v>
      </c>
      <c r="E151" s="52" t="s">
        <v>24</v>
      </c>
      <c r="F151" s="52" t="s">
        <v>25</v>
      </c>
      <c r="G151" s="52" t="s">
        <v>25</v>
      </c>
      <c r="H151" s="52" t="s">
        <v>25</v>
      </c>
      <c r="I151" s="71">
        <v>44440</v>
      </c>
      <c r="J151" s="72">
        <f ca="1">EFEITO!$J$151*EFEITO!$Y$151</f>
        <v>4678.2034048116466</v>
      </c>
      <c r="K151" s="72">
        <f>EFEITO!$L$151*EFEITO!$Z$151</f>
        <v>0</v>
      </c>
      <c r="L151" s="72">
        <f>EFEITO!$N$151*EFEITO!$AA$151</f>
        <v>0</v>
      </c>
      <c r="M151" s="72">
        <f ca="1">$J$151-EFEITO!$K$151*EFEITO!$Y$151</f>
        <v>0</v>
      </c>
      <c r="N151" s="72">
        <f>$K$151-EFEITO!$M$151*EFEITO!$Z$151</f>
        <v>0</v>
      </c>
      <c r="O151" s="72">
        <f>$L$151-EFEITO!$O$151*EFEITO!$AA$151</f>
        <v>0</v>
      </c>
      <c r="P151" s="56"/>
      <c r="Q151" s="56"/>
      <c r="R151" s="56"/>
      <c r="S151" s="56"/>
      <c r="T151" s="56"/>
      <c r="U151" s="56"/>
      <c r="V151" s="56"/>
      <c r="W151" s="56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</row>
    <row r="152" spans="1:36" ht="11.25" customHeight="1" x14ac:dyDescent="0.2">
      <c r="A152" s="52" t="s">
        <v>21</v>
      </c>
      <c r="B152" s="52" t="s">
        <v>33</v>
      </c>
      <c r="C152" s="52" t="s">
        <v>34</v>
      </c>
      <c r="D152" s="52" t="s">
        <v>24</v>
      </c>
      <c r="E152" s="52" t="s">
        <v>24</v>
      </c>
      <c r="F152" s="52" t="s">
        <v>25</v>
      </c>
      <c r="G152" s="52" t="s">
        <v>25</v>
      </c>
      <c r="H152" s="52" t="s">
        <v>25</v>
      </c>
      <c r="I152" s="71">
        <v>44470</v>
      </c>
      <c r="J152" s="72">
        <f ca="1">EFEITO!$J$152*EFEITO!$Y$152</f>
        <v>4678.2034048116466</v>
      </c>
      <c r="K152" s="72">
        <f>EFEITO!$L$152*EFEITO!$Z$152</f>
        <v>0</v>
      </c>
      <c r="L152" s="72">
        <f>EFEITO!$N$152*EFEITO!$AA$152</f>
        <v>0</v>
      </c>
      <c r="M152" s="72">
        <f ca="1">$J$152-EFEITO!$K$152*EFEITO!$Y$152</f>
        <v>0</v>
      </c>
      <c r="N152" s="72">
        <f>$K$152-EFEITO!$M$152*EFEITO!$Z$152</f>
        <v>0</v>
      </c>
      <c r="O152" s="72">
        <f>$L$152-EFEITO!$O$152*EFEITO!$AA$152</f>
        <v>0</v>
      </c>
      <c r="P152" s="56"/>
      <c r="Q152" s="56"/>
      <c r="R152" s="56"/>
      <c r="S152" s="56"/>
      <c r="T152" s="56"/>
      <c r="U152" s="56"/>
      <c r="V152" s="56"/>
      <c r="W152" s="56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</row>
    <row r="153" spans="1:36" ht="11.25" customHeight="1" x14ac:dyDescent="0.2">
      <c r="A153" s="52" t="s">
        <v>21</v>
      </c>
      <c r="B153" s="52" t="s">
        <v>33</v>
      </c>
      <c r="C153" s="52" t="s">
        <v>34</v>
      </c>
      <c r="D153" s="52" t="s">
        <v>24</v>
      </c>
      <c r="E153" s="52" t="s">
        <v>24</v>
      </c>
      <c r="F153" s="52" t="s">
        <v>25</v>
      </c>
      <c r="G153" s="52" t="s">
        <v>25</v>
      </c>
      <c r="H153" s="52" t="s">
        <v>25</v>
      </c>
      <c r="I153" s="71">
        <v>44501</v>
      </c>
      <c r="J153" s="72">
        <f ca="1">EFEITO!$J$153*EFEITO!$Y$153</f>
        <v>4678.2034048116466</v>
      </c>
      <c r="K153" s="72">
        <f>EFEITO!$L$153*EFEITO!$Z$153</f>
        <v>0</v>
      </c>
      <c r="L153" s="72">
        <f>EFEITO!$N$153*EFEITO!$AA$153</f>
        <v>0</v>
      </c>
      <c r="M153" s="72">
        <f ca="1">$J$153-EFEITO!$K$153*EFEITO!$Y$153</f>
        <v>0</v>
      </c>
      <c r="N153" s="72">
        <f>$K$153-EFEITO!$M$153*EFEITO!$Z$153</f>
        <v>0</v>
      </c>
      <c r="O153" s="72">
        <f>$L$153-EFEITO!$O$153*EFEITO!$AA$153</f>
        <v>0</v>
      </c>
      <c r="P153" s="56"/>
      <c r="Q153" s="56"/>
      <c r="R153" s="56"/>
      <c r="S153" s="56"/>
      <c r="T153" s="56"/>
      <c r="U153" s="56"/>
      <c r="V153" s="56"/>
      <c r="W153" s="56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</row>
    <row r="154" spans="1:36" ht="11.25" customHeight="1" x14ac:dyDescent="0.2">
      <c r="A154" s="52" t="s">
        <v>21</v>
      </c>
      <c r="B154" s="52" t="s">
        <v>33</v>
      </c>
      <c r="C154" s="52" t="s">
        <v>34</v>
      </c>
      <c r="D154" s="52" t="s">
        <v>24</v>
      </c>
      <c r="E154" s="52" t="s">
        <v>24</v>
      </c>
      <c r="F154" s="52" t="s">
        <v>25</v>
      </c>
      <c r="G154" s="52" t="s">
        <v>25</v>
      </c>
      <c r="H154" s="52" t="s">
        <v>25</v>
      </c>
      <c r="I154" s="71">
        <v>44531</v>
      </c>
      <c r="J154" s="72">
        <f ca="1">EFEITO!$J$154*EFEITO!$Y$154</f>
        <v>4678.2034048116466</v>
      </c>
      <c r="K154" s="72">
        <f>EFEITO!$L$154*EFEITO!$Z$154</f>
        <v>0</v>
      </c>
      <c r="L154" s="72">
        <f>EFEITO!$N$154*EFEITO!$AA$154</f>
        <v>0</v>
      </c>
      <c r="M154" s="72">
        <f ca="1">$J$154-EFEITO!$K$154*EFEITO!$Y$154</f>
        <v>0</v>
      </c>
      <c r="N154" s="72">
        <f>$K$154-EFEITO!$M$154*EFEITO!$Z$154</f>
        <v>0</v>
      </c>
      <c r="O154" s="72">
        <f>$L$154-EFEITO!$O$154*EFEITO!$AA$154</f>
        <v>0</v>
      </c>
      <c r="P154" s="56"/>
      <c r="Q154" s="56"/>
      <c r="R154" s="56"/>
      <c r="S154" s="56"/>
      <c r="T154" s="56"/>
      <c r="U154" s="56"/>
      <c r="V154" s="56"/>
      <c r="W154" s="56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</row>
    <row r="155" spans="1:36" ht="11.25" customHeight="1" x14ac:dyDescent="0.2">
      <c r="A155" s="52" t="s">
        <v>21</v>
      </c>
      <c r="B155" s="52" t="s">
        <v>33</v>
      </c>
      <c r="C155" s="52" t="s">
        <v>34</v>
      </c>
      <c r="D155" s="52" t="s">
        <v>24</v>
      </c>
      <c r="E155" s="52" t="s">
        <v>24</v>
      </c>
      <c r="F155" s="52" t="s">
        <v>25</v>
      </c>
      <c r="G155" s="52" t="s">
        <v>25</v>
      </c>
      <c r="H155" s="52" t="s">
        <v>25</v>
      </c>
      <c r="I155" s="71">
        <v>44562</v>
      </c>
      <c r="J155" s="72">
        <f ca="1">EFEITO!$J$155*EFEITO!$Y$155</f>
        <v>4678.2034048116466</v>
      </c>
      <c r="K155" s="72">
        <f>EFEITO!$L$155*EFEITO!$Z$155</f>
        <v>0</v>
      </c>
      <c r="L155" s="72">
        <f>EFEITO!$N$155*EFEITO!$AA$155</f>
        <v>0</v>
      </c>
      <c r="M155" s="72">
        <f ca="1">$J$155-EFEITO!$K$155*EFEITO!$Y$155</f>
        <v>0</v>
      </c>
      <c r="N155" s="72">
        <f>$K$155-EFEITO!$M$155*EFEITO!$Z$155</f>
        <v>0</v>
      </c>
      <c r="O155" s="72">
        <f>$L$155-EFEITO!$O$155*EFEITO!$AA$155</f>
        <v>0</v>
      </c>
      <c r="P155" s="56"/>
      <c r="Q155" s="56"/>
      <c r="R155" s="56"/>
      <c r="S155" s="56"/>
      <c r="T155" s="56"/>
      <c r="U155" s="56"/>
      <c r="V155" s="56"/>
      <c r="W155" s="56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</row>
    <row r="156" spans="1:36" ht="11.25" customHeight="1" x14ac:dyDescent="0.2">
      <c r="A156" s="52" t="s">
        <v>21</v>
      </c>
      <c r="B156" s="52" t="s">
        <v>33</v>
      </c>
      <c r="C156" s="52" t="s">
        <v>34</v>
      </c>
      <c r="D156" s="52" t="s">
        <v>24</v>
      </c>
      <c r="E156" s="52" t="s">
        <v>24</v>
      </c>
      <c r="F156" s="52" t="s">
        <v>25</v>
      </c>
      <c r="G156" s="52" t="s">
        <v>25</v>
      </c>
      <c r="H156" s="52" t="s">
        <v>25</v>
      </c>
      <c r="I156" s="71">
        <v>44593</v>
      </c>
      <c r="J156" s="72">
        <f ca="1">EFEITO!$J$156*EFEITO!$Y$156</f>
        <v>4678.2034048116466</v>
      </c>
      <c r="K156" s="72">
        <f>EFEITO!$L$156*EFEITO!$Z$156</f>
        <v>0</v>
      </c>
      <c r="L156" s="72">
        <f>EFEITO!$N$156*EFEITO!$AA$156</f>
        <v>0</v>
      </c>
      <c r="M156" s="72">
        <f ca="1">$J$156-EFEITO!$K$156*EFEITO!$Y$156</f>
        <v>0</v>
      </c>
      <c r="N156" s="72">
        <f>$K$156-EFEITO!$M$156*EFEITO!$Z$156</f>
        <v>0</v>
      </c>
      <c r="O156" s="72">
        <f>$L$156-EFEITO!$O$156*EFEITO!$AA$156</f>
        <v>0</v>
      </c>
      <c r="P156" s="56"/>
      <c r="Q156" s="56"/>
      <c r="R156" s="56"/>
      <c r="S156" s="56"/>
      <c r="T156" s="56"/>
      <c r="U156" s="56"/>
      <c r="V156" s="56"/>
      <c r="W156" s="56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</row>
    <row r="157" spans="1:36" ht="11.25" customHeight="1" x14ac:dyDescent="0.2">
      <c r="A157" s="52" t="s">
        <v>21</v>
      </c>
      <c r="B157" s="52" t="s">
        <v>33</v>
      </c>
      <c r="C157" s="52" t="s">
        <v>34</v>
      </c>
      <c r="D157" s="52" t="s">
        <v>24</v>
      </c>
      <c r="E157" s="52" t="s">
        <v>24</v>
      </c>
      <c r="F157" s="52" t="s">
        <v>25</v>
      </c>
      <c r="G157" s="52" t="s">
        <v>25</v>
      </c>
      <c r="H157" s="52" t="s">
        <v>25</v>
      </c>
      <c r="I157" s="71">
        <v>44621</v>
      </c>
      <c r="J157" s="72">
        <f ca="1">EFEITO!$J$157*EFEITO!$Y$157</f>
        <v>4678.2034048116466</v>
      </c>
      <c r="K157" s="72">
        <f>EFEITO!$L$157*EFEITO!$Z$157</f>
        <v>0</v>
      </c>
      <c r="L157" s="72">
        <f>EFEITO!$N$157*EFEITO!$AA$157</f>
        <v>0</v>
      </c>
      <c r="M157" s="72">
        <f ca="1">$J$157-EFEITO!$K$157*EFEITO!$Y$157</f>
        <v>0</v>
      </c>
      <c r="N157" s="72">
        <f>$K$157-EFEITO!$M$157*EFEITO!$Z$157</f>
        <v>0</v>
      </c>
      <c r="O157" s="72">
        <f>$L$157-EFEITO!$O$157*EFEITO!$AA$157</f>
        <v>0</v>
      </c>
      <c r="P157" s="56"/>
      <c r="Q157" s="56"/>
      <c r="R157" s="56"/>
      <c r="S157" s="56"/>
      <c r="T157" s="56"/>
      <c r="U157" s="56"/>
      <c r="V157" s="56"/>
      <c r="W157" s="56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</row>
    <row r="158" spans="1:36" ht="11.25" customHeight="1" x14ac:dyDescent="0.2">
      <c r="A158" s="52" t="s">
        <v>21</v>
      </c>
      <c r="B158" s="52" t="s">
        <v>33</v>
      </c>
      <c r="C158" s="52" t="s">
        <v>34</v>
      </c>
      <c r="D158" s="52" t="s">
        <v>24</v>
      </c>
      <c r="E158" s="52" t="s">
        <v>24</v>
      </c>
      <c r="F158" s="52" t="s">
        <v>25</v>
      </c>
      <c r="G158" s="52" t="s">
        <v>25</v>
      </c>
      <c r="H158" s="52" t="s">
        <v>35</v>
      </c>
      <c r="I158" s="71">
        <v>44287</v>
      </c>
      <c r="J158" s="72">
        <f>EFEITO!$J$158*EFEITO!$Y$158</f>
        <v>0</v>
      </c>
      <c r="K158" s="72">
        <f ca="1">EFEITO!$L$158*EFEITO!$Z$158</f>
        <v>1002.5036925082995</v>
      </c>
      <c r="L158" s="72">
        <f>EFEITO!$N$158*EFEITO!$AA$158</f>
        <v>53.46464410492068</v>
      </c>
      <c r="M158" s="72">
        <f>$J$158-EFEITO!$K$158*EFEITO!$Y$158</f>
        <v>0</v>
      </c>
      <c r="N158" s="72">
        <f ca="1">$K$158-EFEITO!$M$158*EFEITO!$Z$158</f>
        <v>0</v>
      </c>
      <c r="O158" s="72">
        <f>$L$158-EFEITO!$O$158*EFEITO!$AA$158</f>
        <v>0</v>
      </c>
      <c r="P158" s="56"/>
      <c r="Q158" s="56"/>
      <c r="R158" s="56"/>
      <c r="S158" s="56"/>
      <c r="T158" s="56"/>
      <c r="U158" s="56"/>
      <c r="V158" s="56"/>
      <c r="W158" s="56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</row>
    <row r="159" spans="1:36" ht="11.25" customHeight="1" x14ac:dyDescent="0.2">
      <c r="A159" s="52" t="s">
        <v>21</v>
      </c>
      <c r="B159" s="52" t="s">
        <v>33</v>
      </c>
      <c r="C159" s="52" t="s">
        <v>34</v>
      </c>
      <c r="D159" s="52" t="s">
        <v>24</v>
      </c>
      <c r="E159" s="52" t="s">
        <v>24</v>
      </c>
      <c r="F159" s="52" t="s">
        <v>25</v>
      </c>
      <c r="G159" s="52" t="s">
        <v>25</v>
      </c>
      <c r="H159" s="52" t="s">
        <v>35</v>
      </c>
      <c r="I159" s="71">
        <v>44317</v>
      </c>
      <c r="J159" s="72">
        <f>EFEITO!$J$159*EFEITO!$Y$159</f>
        <v>0</v>
      </c>
      <c r="K159" s="72">
        <f ca="1">EFEITO!$L$159*EFEITO!$Z$159</f>
        <v>909.58871612948155</v>
      </c>
      <c r="L159" s="72">
        <f>EFEITO!$N$159*EFEITO!$AA$159</f>
        <v>48.509384407391451</v>
      </c>
      <c r="M159" s="72">
        <f>$J$159-EFEITO!$K$159*EFEITO!$Y$159</f>
        <v>0</v>
      </c>
      <c r="N159" s="72">
        <f ca="1">$K$159-EFEITO!$M$159*EFEITO!$Z$159</f>
        <v>0</v>
      </c>
      <c r="O159" s="72">
        <f>$L$159-EFEITO!$O$159*EFEITO!$AA$159</f>
        <v>0</v>
      </c>
      <c r="P159" s="56"/>
      <c r="Q159" s="56"/>
      <c r="R159" s="56"/>
      <c r="S159" s="56"/>
      <c r="T159" s="56"/>
      <c r="U159" s="56"/>
      <c r="V159" s="56"/>
      <c r="W159" s="56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</row>
    <row r="160" spans="1:36" ht="11.25" customHeight="1" x14ac:dyDescent="0.2">
      <c r="A160" s="52" t="s">
        <v>21</v>
      </c>
      <c r="B160" s="52" t="s">
        <v>33</v>
      </c>
      <c r="C160" s="52" t="s">
        <v>34</v>
      </c>
      <c r="D160" s="52" t="s">
        <v>24</v>
      </c>
      <c r="E160" s="52" t="s">
        <v>24</v>
      </c>
      <c r="F160" s="52" t="s">
        <v>25</v>
      </c>
      <c r="G160" s="52" t="s">
        <v>25</v>
      </c>
      <c r="H160" s="52" t="s">
        <v>35</v>
      </c>
      <c r="I160" s="71">
        <v>44348</v>
      </c>
      <c r="J160" s="72">
        <f>EFEITO!$J$160*EFEITO!$Y$160</f>
        <v>0</v>
      </c>
      <c r="K160" s="72">
        <f ca="1">EFEITO!$L$160*EFEITO!$Z$160</f>
        <v>899.8081923001323</v>
      </c>
      <c r="L160" s="72">
        <f>EFEITO!$N$160*EFEITO!$AA$160</f>
        <v>47.987778123441004</v>
      </c>
      <c r="M160" s="72">
        <f>$J$160-EFEITO!$K$160*EFEITO!$Y$160</f>
        <v>0</v>
      </c>
      <c r="N160" s="72">
        <f ca="1">$K$160-EFEITO!$M$160*EFEITO!$Z$160</f>
        <v>0</v>
      </c>
      <c r="O160" s="72">
        <f>$L$160-EFEITO!$O$160*EFEITO!$AA$160</f>
        <v>0</v>
      </c>
      <c r="P160" s="56"/>
      <c r="Q160" s="56"/>
      <c r="R160" s="56"/>
      <c r="S160" s="56"/>
      <c r="T160" s="56"/>
      <c r="U160" s="56"/>
      <c r="V160" s="56"/>
      <c r="W160" s="56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</row>
    <row r="161" spans="1:36" ht="11.25" customHeight="1" x14ac:dyDescent="0.2">
      <c r="A161" s="52" t="s">
        <v>21</v>
      </c>
      <c r="B161" s="52" t="s">
        <v>33</v>
      </c>
      <c r="C161" s="52" t="s">
        <v>34</v>
      </c>
      <c r="D161" s="52" t="s">
        <v>24</v>
      </c>
      <c r="E161" s="52" t="s">
        <v>24</v>
      </c>
      <c r="F161" s="52" t="s">
        <v>25</v>
      </c>
      <c r="G161" s="52" t="s">
        <v>25</v>
      </c>
      <c r="H161" s="52" t="s">
        <v>35</v>
      </c>
      <c r="I161" s="71">
        <v>44378</v>
      </c>
      <c r="J161" s="72">
        <f>EFEITO!$J$161*EFEITO!$Y$161</f>
        <v>0</v>
      </c>
      <c r="K161" s="72">
        <f ca="1">EFEITO!$L$161*EFEITO!$Z$161</f>
        <v>924.25950187350543</v>
      </c>
      <c r="L161" s="72">
        <f>EFEITO!$N$161*EFEITO!$AA$161</f>
        <v>49.291793833317115</v>
      </c>
      <c r="M161" s="72">
        <f>$J$161-EFEITO!$K$161*EFEITO!$Y$161</f>
        <v>0</v>
      </c>
      <c r="N161" s="72">
        <f ca="1">$K$161-EFEITO!$M$161*EFEITO!$Z$161</f>
        <v>0</v>
      </c>
      <c r="O161" s="72">
        <f>$L$161-EFEITO!$O$161*EFEITO!$AA$161</f>
        <v>0</v>
      </c>
      <c r="P161" s="56"/>
      <c r="Q161" s="56"/>
      <c r="R161" s="56"/>
      <c r="S161" s="56"/>
      <c r="T161" s="56"/>
      <c r="U161" s="56"/>
      <c r="V161" s="56"/>
      <c r="W161" s="56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</row>
    <row r="162" spans="1:36" ht="11.25" customHeight="1" x14ac:dyDescent="0.2">
      <c r="A162" s="52" t="s">
        <v>21</v>
      </c>
      <c r="B162" s="52" t="s">
        <v>33</v>
      </c>
      <c r="C162" s="52" t="s">
        <v>34</v>
      </c>
      <c r="D162" s="52" t="s">
        <v>24</v>
      </c>
      <c r="E162" s="52" t="s">
        <v>24</v>
      </c>
      <c r="F162" s="52" t="s">
        <v>25</v>
      </c>
      <c r="G162" s="52" t="s">
        <v>25</v>
      </c>
      <c r="H162" s="52" t="s">
        <v>35</v>
      </c>
      <c r="I162" s="71">
        <v>44409</v>
      </c>
      <c r="J162" s="72">
        <f>EFEITO!$J$162*EFEITO!$Y$162</f>
        <v>0</v>
      </c>
      <c r="K162" s="72">
        <f ca="1">EFEITO!$L$162*EFEITO!$Z$162</f>
        <v>846.01531123871132</v>
      </c>
      <c r="L162" s="72">
        <f>EFEITO!$N$162*EFEITO!$AA$162</f>
        <v>45.11894356171355</v>
      </c>
      <c r="M162" s="72">
        <f>$J$162-EFEITO!$K$162*EFEITO!$Y$162</f>
        <v>0</v>
      </c>
      <c r="N162" s="72">
        <f ca="1">$K$162-EFEITO!$M$162*EFEITO!$Z$162</f>
        <v>0</v>
      </c>
      <c r="O162" s="72">
        <f>$L$162-EFEITO!$O$162*EFEITO!$AA$162</f>
        <v>0</v>
      </c>
      <c r="P162" s="56"/>
      <c r="Q162" s="56"/>
      <c r="R162" s="56"/>
      <c r="S162" s="56"/>
      <c r="T162" s="56"/>
      <c r="U162" s="56"/>
      <c r="V162" s="56"/>
      <c r="W162" s="56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</row>
    <row r="163" spans="1:36" ht="11.25" customHeight="1" x14ac:dyDescent="0.2">
      <c r="A163" s="52" t="s">
        <v>21</v>
      </c>
      <c r="B163" s="52" t="s">
        <v>33</v>
      </c>
      <c r="C163" s="52" t="s">
        <v>34</v>
      </c>
      <c r="D163" s="52" t="s">
        <v>24</v>
      </c>
      <c r="E163" s="52" t="s">
        <v>24</v>
      </c>
      <c r="F163" s="52" t="s">
        <v>25</v>
      </c>
      <c r="G163" s="52" t="s">
        <v>25</v>
      </c>
      <c r="H163" s="52" t="s">
        <v>35</v>
      </c>
      <c r="I163" s="71">
        <v>44440</v>
      </c>
      <c r="J163" s="72">
        <f>EFEITO!$J$163*EFEITO!$Y$163</f>
        <v>0</v>
      </c>
      <c r="K163" s="72">
        <f ca="1">EFEITO!$L$163*EFEITO!$Z$163</f>
        <v>2132.1541947981395</v>
      </c>
      <c r="L163" s="72">
        <f>EFEITO!$N$163*EFEITO!$AA$163</f>
        <v>113.71016990119716</v>
      </c>
      <c r="M163" s="72">
        <f>$J$163-EFEITO!$K$163*EFEITO!$Y$163</f>
        <v>0</v>
      </c>
      <c r="N163" s="72">
        <f ca="1">$K$163-EFEITO!$M$163*EFEITO!$Z$163</f>
        <v>0</v>
      </c>
      <c r="O163" s="72">
        <f>$L$163-EFEITO!$O$163*EFEITO!$AA$163</f>
        <v>0</v>
      </c>
      <c r="P163" s="56"/>
      <c r="Q163" s="56"/>
      <c r="R163" s="56"/>
      <c r="S163" s="56"/>
      <c r="T163" s="56"/>
      <c r="U163" s="56"/>
      <c r="V163" s="56"/>
      <c r="W163" s="56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</row>
    <row r="164" spans="1:36" ht="11.25" customHeight="1" x14ac:dyDescent="0.2">
      <c r="A164" s="52" t="s">
        <v>21</v>
      </c>
      <c r="B164" s="52" t="s">
        <v>33</v>
      </c>
      <c r="C164" s="52" t="s">
        <v>34</v>
      </c>
      <c r="D164" s="52" t="s">
        <v>24</v>
      </c>
      <c r="E164" s="52" t="s">
        <v>24</v>
      </c>
      <c r="F164" s="52" t="s">
        <v>25</v>
      </c>
      <c r="G164" s="52" t="s">
        <v>25</v>
      </c>
      <c r="H164" s="52" t="s">
        <v>35</v>
      </c>
      <c r="I164" s="71">
        <v>44470</v>
      </c>
      <c r="J164" s="72">
        <f>EFEITO!$J$164*EFEITO!$Y$164</f>
        <v>0</v>
      </c>
      <c r="K164" s="72">
        <f ca="1">EFEITO!$L$164*EFEITO!$Z$164</f>
        <v>1975.6658135285513</v>
      </c>
      <c r="L164" s="72">
        <f>EFEITO!$N$164*EFEITO!$AA$164</f>
        <v>105.36446935799003</v>
      </c>
      <c r="M164" s="72">
        <f>$J$164-EFEITO!$K$164*EFEITO!$Y$164</f>
        <v>0</v>
      </c>
      <c r="N164" s="72">
        <f ca="1">$K$164-EFEITO!$M$164*EFEITO!$Z$164</f>
        <v>0</v>
      </c>
      <c r="O164" s="72">
        <f>$L$164-EFEITO!$O$164*EFEITO!$AA$164</f>
        <v>0</v>
      </c>
      <c r="P164" s="56"/>
      <c r="Q164" s="56"/>
      <c r="R164" s="56"/>
      <c r="S164" s="56"/>
      <c r="T164" s="56"/>
      <c r="U164" s="56"/>
      <c r="V164" s="56"/>
      <c r="W164" s="56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</row>
    <row r="165" spans="1:36" ht="11.25" customHeight="1" x14ac:dyDescent="0.2">
      <c r="A165" s="52" t="s">
        <v>21</v>
      </c>
      <c r="B165" s="52" t="s">
        <v>33</v>
      </c>
      <c r="C165" s="52" t="s">
        <v>34</v>
      </c>
      <c r="D165" s="52" t="s">
        <v>24</v>
      </c>
      <c r="E165" s="52" t="s">
        <v>24</v>
      </c>
      <c r="F165" s="52" t="s">
        <v>25</v>
      </c>
      <c r="G165" s="52" t="s">
        <v>25</v>
      </c>
      <c r="H165" s="52" t="s">
        <v>35</v>
      </c>
      <c r="I165" s="71">
        <v>44501</v>
      </c>
      <c r="J165" s="72">
        <f>EFEITO!$J$165*EFEITO!$Y$165</f>
        <v>0</v>
      </c>
      <c r="K165" s="72">
        <f ca="1">EFEITO!$L$165*EFEITO!$Z$165</f>
        <v>1819.1774322589631</v>
      </c>
      <c r="L165" s="72">
        <f>EFEITO!$N$165*EFEITO!$AA$165</f>
        <v>97.018768814782902</v>
      </c>
      <c r="M165" s="72">
        <f>$J$165-EFEITO!$K$165*EFEITO!$Y$165</f>
        <v>0</v>
      </c>
      <c r="N165" s="72">
        <f ca="1">$K$165-EFEITO!$M$165*EFEITO!$Z$165</f>
        <v>0</v>
      </c>
      <c r="O165" s="72">
        <f>$L$165-EFEITO!$O$165*EFEITO!$AA$165</f>
        <v>0</v>
      </c>
      <c r="P165" s="56"/>
      <c r="Q165" s="56"/>
      <c r="R165" s="56"/>
      <c r="S165" s="56"/>
      <c r="T165" s="56"/>
      <c r="U165" s="56"/>
      <c r="V165" s="56"/>
      <c r="W165" s="56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</row>
    <row r="166" spans="1:36" ht="11.25" customHeight="1" x14ac:dyDescent="0.2">
      <c r="A166" s="52" t="s">
        <v>21</v>
      </c>
      <c r="B166" s="52" t="s">
        <v>33</v>
      </c>
      <c r="C166" s="52" t="s">
        <v>34</v>
      </c>
      <c r="D166" s="52" t="s">
        <v>24</v>
      </c>
      <c r="E166" s="52" t="s">
        <v>24</v>
      </c>
      <c r="F166" s="52" t="s">
        <v>25</v>
      </c>
      <c r="G166" s="52" t="s">
        <v>25</v>
      </c>
      <c r="H166" s="52" t="s">
        <v>35</v>
      </c>
      <c r="I166" s="71">
        <v>44531</v>
      </c>
      <c r="J166" s="72">
        <f>EFEITO!$J$166*EFEITO!$Y$166</f>
        <v>0</v>
      </c>
      <c r="K166" s="72">
        <f ca="1">EFEITO!$L$166*EFEITO!$Z$166</f>
        <v>2298.423099897077</v>
      </c>
      <c r="L166" s="72">
        <f>EFEITO!$N$166*EFEITO!$AA$166</f>
        <v>122.57747672835472</v>
      </c>
      <c r="M166" s="72">
        <f>$J$166-EFEITO!$K$166*EFEITO!$Y$166</f>
        <v>0</v>
      </c>
      <c r="N166" s="72">
        <f ca="1">$K$166-EFEITO!$M$166*EFEITO!$Z$166</f>
        <v>0</v>
      </c>
      <c r="O166" s="72">
        <f>$L$166-EFEITO!$O$166*EFEITO!$AA$166</f>
        <v>0</v>
      </c>
      <c r="P166" s="56"/>
      <c r="Q166" s="56"/>
      <c r="R166" s="56"/>
      <c r="S166" s="56"/>
      <c r="T166" s="56"/>
      <c r="U166" s="56"/>
      <c r="V166" s="56"/>
      <c r="W166" s="56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</row>
    <row r="167" spans="1:36" ht="11.25" customHeight="1" x14ac:dyDescent="0.2">
      <c r="A167" s="52" t="s">
        <v>21</v>
      </c>
      <c r="B167" s="52" t="s">
        <v>33</v>
      </c>
      <c r="C167" s="52" t="s">
        <v>34</v>
      </c>
      <c r="D167" s="52" t="s">
        <v>24</v>
      </c>
      <c r="E167" s="52" t="s">
        <v>24</v>
      </c>
      <c r="F167" s="52" t="s">
        <v>25</v>
      </c>
      <c r="G167" s="52" t="s">
        <v>25</v>
      </c>
      <c r="H167" s="52" t="s">
        <v>35</v>
      </c>
      <c r="I167" s="71">
        <v>44562</v>
      </c>
      <c r="J167" s="72">
        <f>EFEITO!$J$167*EFEITO!$Y$167</f>
        <v>0</v>
      </c>
      <c r="K167" s="72">
        <f ca="1">EFEITO!$L$167*EFEITO!$Z$167</f>
        <v>1682.2500986480732</v>
      </c>
      <c r="L167" s="72">
        <f>EFEITO!$N$167*EFEITO!$AA$167</f>
        <v>89.716280839476653</v>
      </c>
      <c r="M167" s="72">
        <f>$J$167-EFEITO!$K$167*EFEITO!$Y$167</f>
        <v>0</v>
      </c>
      <c r="N167" s="72">
        <f ca="1">$K$167-EFEITO!$M$167*EFEITO!$Z$167</f>
        <v>0</v>
      </c>
      <c r="O167" s="72">
        <f>$L$167-EFEITO!$O$167*EFEITO!$AA$167</f>
        <v>0</v>
      </c>
      <c r="P167" s="56"/>
      <c r="Q167" s="56"/>
      <c r="R167" s="56"/>
      <c r="S167" s="56"/>
      <c r="T167" s="56"/>
      <c r="U167" s="56"/>
      <c r="V167" s="56"/>
      <c r="W167" s="56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</row>
    <row r="168" spans="1:36" ht="11.25" customHeight="1" x14ac:dyDescent="0.2">
      <c r="A168" s="52" t="s">
        <v>21</v>
      </c>
      <c r="B168" s="52" t="s">
        <v>33</v>
      </c>
      <c r="C168" s="52" t="s">
        <v>34</v>
      </c>
      <c r="D168" s="52" t="s">
        <v>24</v>
      </c>
      <c r="E168" s="52" t="s">
        <v>24</v>
      </c>
      <c r="F168" s="52" t="s">
        <v>25</v>
      </c>
      <c r="G168" s="52" t="s">
        <v>25</v>
      </c>
      <c r="H168" s="52" t="s">
        <v>35</v>
      </c>
      <c r="I168" s="71">
        <v>44593</v>
      </c>
      <c r="J168" s="72">
        <f>EFEITO!$J$168*EFEITO!$Y$168</f>
        <v>0</v>
      </c>
      <c r="K168" s="72">
        <f ca="1">EFEITO!$L$168*EFEITO!$Z$168</f>
        <v>1980.5560754432261</v>
      </c>
      <c r="L168" s="72">
        <f>EFEITO!$N$168*EFEITO!$AA$168</f>
        <v>105.62527249996526</v>
      </c>
      <c r="M168" s="72">
        <f>$J$168-EFEITO!$K$168*EFEITO!$Y$168</f>
        <v>0</v>
      </c>
      <c r="N168" s="72">
        <f ca="1">$K$168-EFEITO!$M$168*EFEITO!$Z$168</f>
        <v>0</v>
      </c>
      <c r="O168" s="72">
        <f>$L$168-EFEITO!$O$168*EFEITO!$AA$168</f>
        <v>0</v>
      </c>
      <c r="P168" s="56"/>
      <c r="Q168" s="56"/>
      <c r="R168" s="56"/>
      <c r="S168" s="56"/>
      <c r="T168" s="56"/>
      <c r="U168" s="56"/>
      <c r="V168" s="56"/>
      <c r="W168" s="56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</row>
    <row r="169" spans="1:36" ht="11.25" customHeight="1" x14ac:dyDescent="0.2">
      <c r="A169" s="52" t="s">
        <v>21</v>
      </c>
      <c r="B169" s="52" t="s">
        <v>33</v>
      </c>
      <c r="C169" s="52" t="s">
        <v>34</v>
      </c>
      <c r="D169" s="52" t="s">
        <v>24</v>
      </c>
      <c r="E169" s="52" t="s">
        <v>24</v>
      </c>
      <c r="F169" s="52" t="s">
        <v>25</v>
      </c>
      <c r="G169" s="52" t="s">
        <v>25</v>
      </c>
      <c r="H169" s="52" t="s">
        <v>35</v>
      </c>
      <c r="I169" s="71">
        <v>44621</v>
      </c>
      <c r="J169" s="72">
        <f>EFEITO!$J$169*EFEITO!$Y$169</f>
        <v>0</v>
      </c>
      <c r="K169" s="72">
        <f ca="1">EFEITO!$L$169*EFEITO!$Z$169</f>
        <v>2034.3489565046468</v>
      </c>
      <c r="L169" s="72">
        <f>EFEITO!$N$169*EFEITO!$AA$169</f>
        <v>108.4941070616927</v>
      </c>
      <c r="M169" s="72">
        <f>$J$169-EFEITO!$K$169*EFEITO!$Y$169</f>
        <v>0</v>
      </c>
      <c r="N169" s="72">
        <f ca="1">$K$169-EFEITO!$M$169*EFEITO!$Z$169</f>
        <v>0</v>
      </c>
      <c r="O169" s="72">
        <f>$L$169-EFEITO!$O$169*EFEITO!$AA$169</f>
        <v>0</v>
      </c>
      <c r="P169" s="56"/>
      <c r="Q169" s="56"/>
      <c r="R169" s="56"/>
      <c r="S169" s="56"/>
      <c r="T169" s="56"/>
      <c r="U169" s="56"/>
      <c r="V169" s="56"/>
      <c r="W169" s="56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</row>
    <row r="170" spans="1:36" ht="11.25" customHeight="1" x14ac:dyDescent="0.2">
      <c r="A170" s="52" t="s">
        <v>21</v>
      </c>
      <c r="B170" s="52" t="s">
        <v>22</v>
      </c>
      <c r="C170" s="52" t="s">
        <v>37</v>
      </c>
      <c r="D170" s="52" t="s">
        <v>24</v>
      </c>
      <c r="E170" s="52" t="s">
        <v>24</v>
      </c>
      <c r="F170" s="52" t="s">
        <v>25</v>
      </c>
      <c r="G170" s="52" t="s">
        <v>25</v>
      </c>
      <c r="H170" s="52" t="s">
        <v>36</v>
      </c>
      <c r="I170" s="71">
        <v>44287</v>
      </c>
      <c r="J170" s="72">
        <f>EFEITO!$J$170*EFEITO!$Y$170</f>
        <v>0</v>
      </c>
      <c r="K170" s="72">
        <f ca="1">EFEITO!$L$170*EFEITO!$Z$170</f>
        <v>1061.1761870443434</v>
      </c>
      <c r="L170" s="72">
        <f>EFEITO!$N$170*EFEITO!$AA$170</f>
        <v>454.84067960478865</v>
      </c>
      <c r="M170" s="72">
        <f>$J$170-EFEITO!$K$170*EFEITO!$Y$170</f>
        <v>0</v>
      </c>
      <c r="N170" s="72">
        <f ca="1">$K$170-EFEITO!$M$170*EFEITO!$Z$170</f>
        <v>0</v>
      </c>
      <c r="O170" s="72">
        <f>$L$170-EFEITO!$O$170*EFEITO!$AA$170</f>
        <v>0</v>
      </c>
      <c r="P170" s="56"/>
      <c r="Q170" s="56"/>
      <c r="R170" s="56"/>
      <c r="S170" s="56"/>
      <c r="T170" s="56"/>
      <c r="U170" s="56"/>
      <c r="V170" s="56"/>
      <c r="W170" s="56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</row>
    <row r="171" spans="1:36" ht="11.25" customHeight="1" x14ac:dyDescent="0.2">
      <c r="A171" s="52" t="s">
        <v>21</v>
      </c>
      <c r="B171" s="52" t="s">
        <v>22</v>
      </c>
      <c r="C171" s="52" t="s">
        <v>37</v>
      </c>
      <c r="D171" s="52" t="s">
        <v>24</v>
      </c>
      <c r="E171" s="52" t="s">
        <v>24</v>
      </c>
      <c r="F171" s="52" t="s">
        <v>25</v>
      </c>
      <c r="G171" s="52" t="s">
        <v>25</v>
      </c>
      <c r="H171" s="52" t="s">
        <v>36</v>
      </c>
      <c r="I171" s="71">
        <v>44317</v>
      </c>
      <c r="J171" s="72">
        <f>EFEITO!$J$171*EFEITO!$Y$171</f>
        <v>0</v>
      </c>
      <c r="K171" s="72">
        <f ca="1">EFEITO!$L$171*EFEITO!$Z$171</f>
        <v>826.30576949897841</v>
      </c>
      <c r="L171" s="72">
        <f>EFEITO!$N$171*EFEITO!$AA$171</f>
        <v>354.17066680235263</v>
      </c>
      <c r="M171" s="72">
        <f>$J$171-EFEITO!$K$171*EFEITO!$Y$171</f>
        <v>0</v>
      </c>
      <c r="N171" s="72">
        <f ca="1">$K$171-EFEITO!$M$171*EFEITO!$Z$171</f>
        <v>0</v>
      </c>
      <c r="O171" s="72">
        <f>$L$171-EFEITO!$O$171*EFEITO!$AA$171</f>
        <v>0</v>
      </c>
      <c r="P171" s="56"/>
      <c r="Q171" s="56"/>
      <c r="R171" s="56"/>
      <c r="S171" s="56"/>
      <c r="T171" s="56"/>
      <c r="U171" s="56"/>
      <c r="V171" s="56"/>
      <c r="W171" s="56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</row>
    <row r="172" spans="1:36" ht="11.25" customHeight="1" x14ac:dyDescent="0.2">
      <c r="A172" s="52" t="s">
        <v>21</v>
      </c>
      <c r="B172" s="52" t="s">
        <v>22</v>
      </c>
      <c r="C172" s="52" t="s">
        <v>37</v>
      </c>
      <c r="D172" s="52" t="s">
        <v>24</v>
      </c>
      <c r="E172" s="52" t="s">
        <v>24</v>
      </c>
      <c r="F172" s="52" t="s">
        <v>25</v>
      </c>
      <c r="G172" s="52" t="s">
        <v>25</v>
      </c>
      <c r="H172" s="52" t="s">
        <v>36</v>
      </c>
      <c r="I172" s="71">
        <v>44348</v>
      </c>
      <c r="J172" s="72">
        <f>EFEITO!$J$172*EFEITO!$Y$172</f>
        <v>0</v>
      </c>
      <c r="K172" s="72">
        <f ca="1">EFEITO!$L$172*EFEITO!$Z$172</f>
        <v>859.16328905195689</v>
      </c>
      <c r="L172" s="72">
        <f>EFEITO!$N$172*EFEITO!$AA$172</f>
        <v>368.25403646901464</v>
      </c>
      <c r="M172" s="72">
        <f>$J$172-EFEITO!$K$172*EFEITO!$Y$172</f>
        <v>0</v>
      </c>
      <c r="N172" s="72">
        <f ca="1">$K$172-EFEITO!$M$172*EFEITO!$Z$172</f>
        <v>0</v>
      </c>
      <c r="O172" s="72">
        <f>$L$172-EFEITO!$O$172*EFEITO!$AA$172</f>
        <v>0</v>
      </c>
      <c r="P172" s="56"/>
      <c r="Q172" s="56"/>
      <c r="R172" s="56"/>
      <c r="S172" s="56"/>
      <c r="T172" s="56"/>
      <c r="U172" s="56"/>
      <c r="V172" s="56"/>
      <c r="W172" s="56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</row>
    <row r="173" spans="1:36" ht="11.25" customHeight="1" x14ac:dyDescent="0.2">
      <c r="A173" s="52" t="s">
        <v>21</v>
      </c>
      <c r="B173" s="52" t="s">
        <v>22</v>
      </c>
      <c r="C173" s="52" t="s">
        <v>37</v>
      </c>
      <c r="D173" s="52" t="s">
        <v>24</v>
      </c>
      <c r="E173" s="52" t="s">
        <v>24</v>
      </c>
      <c r="F173" s="52" t="s">
        <v>25</v>
      </c>
      <c r="G173" s="52" t="s">
        <v>25</v>
      </c>
      <c r="H173" s="52" t="s">
        <v>36</v>
      </c>
      <c r="I173" s="71">
        <v>44378</v>
      </c>
      <c r="J173" s="72">
        <f>EFEITO!$J$173*EFEITO!$Y$173</f>
        <v>0</v>
      </c>
      <c r="K173" s="72">
        <f ca="1">EFEITO!$L$173*EFEITO!$Z$173</f>
        <v>740.51113511064568</v>
      </c>
      <c r="L173" s="72">
        <f>EFEITO!$N$173*EFEITO!$AA$173</f>
        <v>317.39742378384619</v>
      </c>
      <c r="M173" s="72">
        <f>$J$173-EFEITO!$K$173*EFEITO!$Y$173</f>
        <v>0</v>
      </c>
      <c r="N173" s="72">
        <f ca="1">$K$173-EFEITO!$M$173*EFEITO!$Z$173</f>
        <v>0</v>
      </c>
      <c r="O173" s="72">
        <f>$L$173-EFEITO!$O$173*EFEITO!$AA$173</f>
        <v>0</v>
      </c>
      <c r="P173" s="56"/>
      <c r="Q173" s="56"/>
      <c r="R173" s="56"/>
      <c r="S173" s="56"/>
      <c r="T173" s="56"/>
      <c r="U173" s="56"/>
      <c r="V173" s="56"/>
      <c r="W173" s="56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</row>
    <row r="174" spans="1:36" ht="11.25" customHeight="1" x14ac:dyDescent="0.2">
      <c r="A174" s="52" t="s">
        <v>21</v>
      </c>
      <c r="B174" s="52" t="s">
        <v>22</v>
      </c>
      <c r="C174" s="52" t="s">
        <v>37</v>
      </c>
      <c r="D174" s="52" t="s">
        <v>24</v>
      </c>
      <c r="E174" s="52" t="s">
        <v>24</v>
      </c>
      <c r="F174" s="52" t="s">
        <v>25</v>
      </c>
      <c r="G174" s="52" t="s">
        <v>25</v>
      </c>
      <c r="H174" s="52" t="s">
        <v>36</v>
      </c>
      <c r="I174" s="71">
        <v>44409</v>
      </c>
      <c r="J174" s="72">
        <f>EFEITO!$J$174*EFEITO!$Y$174</f>
        <v>0</v>
      </c>
      <c r="K174" s="72">
        <f ca="1">EFEITO!$L$174*EFEITO!$Z$174</f>
        <v>664.45206207134345</v>
      </c>
      <c r="L174" s="72">
        <f>EFEITO!$N$174*EFEITO!$AA$174</f>
        <v>284.79703103694334</v>
      </c>
      <c r="M174" s="72">
        <f>$J$174-EFEITO!$K$174*EFEITO!$Y$174</f>
        <v>0</v>
      </c>
      <c r="N174" s="72">
        <f ca="1">$K$174-EFEITO!$M$174*EFEITO!$Z$174</f>
        <v>0</v>
      </c>
      <c r="O174" s="72">
        <f>$L$174-EFEITO!$O$174*EFEITO!$AA$174</f>
        <v>0</v>
      </c>
      <c r="P174" s="56"/>
      <c r="Q174" s="56"/>
      <c r="R174" s="56"/>
      <c r="S174" s="56"/>
      <c r="T174" s="56"/>
      <c r="U174" s="56"/>
      <c r="V174" s="56"/>
      <c r="W174" s="56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</row>
    <row r="175" spans="1:36" ht="11.25" customHeight="1" x14ac:dyDescent="0.2">
      <c r="A175" s="52" t="s">
        <v>21</v>
      </c>
      <c r="B175" s="52" t="s">
        <v>22</v>
      </c>
      <c r="C175" s="52" t="s">
        <v>37</v>
      </c>
      <c r="D175" s="52" t="s">
        <v>24</v>
      </c>
      <c r="E175" s="52" t="s">
        <v>24</v>
      </c>
      <c r="F175" s="52" t="s">
        <v>25</v>
      </c>
      <c r="G175" s="52" t="s">
        <v>25</v>
      </c>
      <c r="H175" s="52" t="s">
        <v>36</v>
      </c>
      <c r="I175" s="71">
        <v>44440</v>
      </c>
      <c r="J175" s="72">
        <f>EFEITO!$J$175*EFEITO!$Y$175</f>
        <v>0</v>
      </c>
      <c r="K175" s="72">
        <f ca="1">EFEITO!$L$175*EFEITO!$Z$175</f>
        <v>856.72939871469919</v>
      </c>
      <c r="L175" s="72">
        <f>EFEITO!$N$175*EFEITO!$AA$175</f>
        <v>367.21082390111377</v>
      </c>
      <c r="M175" s="72">
        <f>$J$175-EFEITO!$K$175*EFEITO!$Y$175</f>
        <v>0</v>
      </c>
      <c r="N175" s="72">
        <f ca="1">$K$175-EFEITO!$M$175*EFEITO!$Z$175</f>
        <v>0</v>
      </c>
      <c r="O175" s="72">
        <f>$L$175-EFEITO!$O$175*EFEITO!$AA$175</f>
        <v>0</v>
      </c>
      <c r="P175" s="56"/>
      <c r="Q175" s="56"/>
      <c r="R175" s="56"/>
      <c r="S175" s="56"/>
      <c r="T175" s="56"/>
      <c r="U175" s="56"/>
      <c r="V175" s="56"/>
      <c r="W175" s="56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</row>
    <row r="176" spans="1:36" ht="11.25" customHeight="1" x14ac:dyDescent="0.2">
      <c r="A176" s="52" t="s">
        <v>21</v>
      </c>
      <c r="B176" s="52" t="s">
        <v>22</v>
      </c>
      <c r="C176" s="52" t="s">
        <v>37</v>
      </c>
      <c r="D176" s="52" t="s">
        <v>24</v>
      </c>
      <c r="E176" s="52" t="s">
        <v>24</v>
      </c>
      <c r="F176" s="52" t="s">
        <v>25</v>
      </c>
      <c r="G176" s="52" t="s">
        <v>25</v>
      </c>
      <c r="H176" s="52" t="s">
        <v>36</v>
      </c>
      <c r="I176" s="71">
        <v>44470</v>
      </c>
      <c r="J176" s="72">
        <f>EFEITO!$J$176*EFEITO!$Y$176</f>
        <v>0</v>
      </c>
      <c r="K176" s="72">
        <f ca="1">EFEITO!$L$176*EFEITO!$Z$176</f>
        <v>768.50087398910875</v>
      </c>
      <c r="L176" s="72">
        <f>EFEITO!$N$176*EFEITO!$AA$176</f>
        <v>329.39436831470641</v>
      </c>
      <c r="M176" s="72">
        <f>$J$176-EFEITO!$K$176*EFEITO!$Y$176</f>
        <v>0</v>
      </c>
      <c r="N176" s="72">
        <f ca="1">$K$176-EFEITO!$M$176*EFEITO!$Z$176</f>
        <v>0</v>
      </c>
      <c r="O176" s="72">
        <f>$L$176-EFEITO!$O$176*EFEITO!$AA$176</f>
        <v>0</v>
      </c>
      <c r="P176" s="56"/>
      <c r="Q176" s="56"/>
      <c r="R176" s="56"/>
      <c r="S176" s="56"/>
      <c r="T176" s="56"/>
      <c r="U176" s="56"/>
      <c r="V176" s="56"/>
      <c r="W176" s="56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</row>
    <row r="177" spans="1:36" ht="11.25" customHeight="1" x14ac:dyDescent="0.2">
      <c r="A177" s="52" t="s">
        <v>21</v>
      </c>
      <c r="B177" s="52" t="s">
        <v>22</v>
      </c>
      <c r="C177" s="52" t="s">
        <v>37</v>
      </c>
      <c r="D177" s="52" t="s">
        <v>24</v>
      </c>
      <c r="E177" s="52" t="s">
        <v>24</v>
      </c>
      <c r="F177" s="52" t="s">
        <v>25</v>
      </c>
      <c r="G177" s="52" t="s">
        <v>25</v>
      </c>
      <c r="H177" s="52" t="s">
        <v>36</v>
      </c>
      <c r="I177" s="71">
        <v>44501</v>
      </c>
      <c r="J177" s="72">
        <f>EFEITO!$J$177*EFEITO!$Y$177</f>
        <v>0</v>
      </c>
      <c r="K177" s="72">
        <f ca="1">EFEITO!$L$177*EFEITO!$Z$177</f>
        <v>745.9873883694753</v>
      </c>
      <c r="L177" s="72">
        <f>EFEITO!$N$177*EFEITO!$AA$177</f>
        <v>319.74465206162319</v>
      </c>
      <c r="M177" s="72">
        <f>$J$177-EFEITO!$K$177*EFEITO!$Y$177</f>
        <v>0</v>
      </c>
      <c r="N177" s="72">
        <f ca="1">$K$177-EFEITO!$M$177*EFEITO!$Z$177</f>
        <v>0</v>
      </c>
      <c r="O177" s="72">
        <f>$L$177-EFEITO!$O$177*EFEITO!$AA$177</f>
        <v>0</v>
      </c>
      <c r="P177" s="56"/>
      <c r="Q177" s="56"/>
      <c r="R177" s="56"/>
      <c r="S177" s="56"/>
      <c r="T177" s="56"/>
      <c r="U177" s="56"/>
      <c r="V177" s="56"/>
      <c r="W177" s="56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</row>
    <row r="178" spans="1:36" ht="11.25" customHeight="1" x14ac:dyDescent="0.2">
      <c r="A178" s="52" t="s">
        <v>21</v>
      </c>
      <c r="B178" s="52" t="s">
        <v>22</v>
      </c>
      <c r="C178" s="52" t="s">
        <v>37</v>
      </c>
      <c r="D178" s="52" t="s">
        <v>24</v>
      </c>
      <c r="E178" s="52" t="s">
        <v>24</v>
      </c>
      <c r="F178" s="52" t="s">
        <v>25</v>
      </c>
      <c r="G178" s="52" t="s">
        <v>25</v>
      </c>
      <c r="H178" s="52" t="s">
        <v>36</v>
      </c>
      <c r="I178" s="71">
        <v>44531</v>
      </c>
      <c r="J178" s="72">
        <f>EFEITO!$J$178*EFEITO!$Y$178</f>
        <v>0</v>
      </c>
      <c r="K178" s="72">
        <f ca="1">EFEITO!$L$178*EFEITO!$Z$178</f>
        <v>609.68952948304593</v>
      </c>
      <c r="L178" s="72">
        <f>EFEITO!$N$178*EFEITO!$AA$178</f>
        <v>261.3247482591733</v>
      </c>
      <c r="M178" s="72">
        <f>$J$178-EFEITO!$K$178*EFEITO!$Y$178</f>
        <v>0</v>
      </c>
      <c r="N178" s="72">
        <f ca="1">$K$178-EFEITO!$M$178*EFEITO!$Z$178</f>
        <v>0</v>
      </c>
      <c r="O178" s="72">
        <f>$L$178-EFEITO!$O$178*EFEITO!$AA$178</f>
        <v>0</v>
      </c>
      <c r="P178" s="56"/>
      <c r="Q178" s="56"/>
      <c r="R178" s="56"/>
      <c r="S178" s="56"/>
      <c r="T178" s="56"/>
      <c r="U178" s="56"/>
      <c r="V178" s="56"/>
      <c r="W178" s="56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</row>
    <row r="179" spans="1:36" ht="11.25" customHeight="1" x14ac:dyDescent="0.2">
      <c r="A179" s="52" t="s">
        <v>28</v>
      </c>
      <c r="B179" s="52" t="s">
        <v>22</v>
      </c>
      <c r="C179" s="52" t="s">
        <v>37</v>
      </c>
      <c r="D179" s="52" t="s">
        <v>24</v>
      </c>
      <c r="E179" s="52" t="s">
        <v>24</v>
      </c>
      <c r="F179" s="52" t="s">
        <v>25</v>
      </c>
      <c r="G179" s="52" t="s">
        <v>25</v>
      </c>
      <c r="H179" s="52" t="s">
        <v>36</v>
      </c>
      <c r="I179" s="71">
        <v>44531</v>
      </c>
      <c r="J179" s="72">
        <f>EFEITO!$J$179*EFEITO!$Y$179</f>
        <v>0</v>
      </c>
      <c r="K179" s="72">
        <f ca="1">EFEITO!$L$179*EFEITO!$Z$179</f>
        <v>150.29272832566102</v>
      </c>
      <c r="L179" s="72">
        <f>EFEITO!$N$179*EFEITO!$AA$179</f>
        <v>64.418376067880047</v>
      </c>
      <c r="M179" s="72">
        <f>$J$179-EFEITO!$K$179*EFEITO!$Y$179</f>
        <v>0</v>
      </c>
      <c r="N179" s="72">
        <f ca="1">$K$179-EFEITO!$M$179*EFEITO!$Z$179</f>
        <v>0</v>
      </c>
      <c r="O179" s="72">
        <f>$L$179-EFEITO!$O$179*EFEITO!$AA$179</f>
        <v>0</v>
      </c>
      <c r="P179" s="56"/>
      <c r="Q179" s="56"/>
      <c r="R179" s="56"/>
      <c r="S179" s="56"/>
      <c r="T179" s="56"/>
      <c r="U179" s="56"/>
      <c r="V179" s="56"/>
      <c r="W179" s="56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</row>
    <row r="180" spans="1:36" ht="11.25" customHeight="1" x14ac:dyDescent="0.2">
      <c r="A180" s="52" t="s">
        <v>21</v>
      </c>
      <c r="B180" s="52" t="s">
        <v>22</v>
      </c>
      <c r="C180" s="52" t="s">
        <v>37</v>
      </c>
      <c r="D180" s="52" t="s">
        <v>24</v>
      </c>
      <c r="E180" s="52" t="s">
        <v>24</v>
      </c>
      <c r="F180" s="52" t="s">
        <v>25</v>
      </c>
      <c r="G180" s="52" t="s">
        <v>25</v>
      </c>
      <c r="H180" s="52" t="s">
        <v>36</v>
      </c>
      <c r="I180" s="71">
        <v>44562</v>
      </c>
      <c r="J180" s="72">
        <f>EFEITO!$J$180*EFEITO!$Y$180</f>
        <v>0</v>
      </c>
      <c r="K180" s="72">
        <f ca="1">EFEITO!$L$180*EFEITO!$Z$180</f>
        <v>697.91805420863636</v>
      </c>
      <c r="L180" s="72">
        <f>EFEITO!$N$180*EFEITO!$AA$180</f>
        <v>299.14120384558061</v>
      </c>
      <c r="M180" s="72">
        <f>$J$180-EFEITO!$K$180*EFEITO!$Y$180</f>
        <v>0</v>
      </c>
      <c r="N180" s="72">
        <f ca="1">$K$180-EFEITO!$M$180*EFEITO!$Z$180</f>
        <v>0</v>
      </c>
      <c r="O180" s="72">
        <f>$L$180-EFEITO!$O$180*EFEITO!$AA$180</f>
        <v>0</v>
      </c>
      <c r="P180" s="56"/>
      <c r="Q180" s="56"/>
      <c r="R180" s="56"/>
      <c r="S180" s="56"/>
      <c r="T180" s="56"/>
      <c r="U180" s="56"/>
      <c r="V180" s="56"/>
      <c r="W180" s="56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</row>
    <row r="181" spans="1:36" ht="11.25" customHeight="1" x14ac:dyDescent="0.2">
      <c r="A181" s="52" t="s">
        <v>28</v>
      </c>
      <c r="B181" s="52" t="s">
        <v>22</v>
      </c>
      <c r="C181" s="52" t="s">
        <v>37</v>
      </c>
      <c r="D181" s="52" t="s">
        <v>24</v>
      </c>
      <c r="E181" s="52" t="s">
        <v>24</v>
      </c>
      <c r="F181" s="52" t="s">
        <v>25</v>
      </c>
      <c r="G181" s="52" t="s">
        <v>25</v>
      </c>
      <c r="H181" s="52" t="s">
        <v>36</v>
      </c>
      <c r="I181" s="71">
        <v>44562</v>
      </c>
      <c r="J181" s="72">
        <f>EFEITO!$J$181*EFEITO!$Y$181</f>
        <v>0</v>
      </c>
      <c r="K181" s="72">
        <f ca="1">EFEITO!$L$181*EFEITO!$Z$181</f>
        <v>43.201553486323611</v>
      </c>
      <c r="L181" s="72">
        <f>EFEITO!$N$181*EFEITO!$AA$181</f>
        <v>18.517023080240818</v>
      </c>
      <c r="M181" s="72">
        <f>$J$181-EFEITO!$K$181*EFEITO!$Y$181</f>
        <v>0</v>
      </c>
      <c r="N181" s="72">
        <f ca="1">$K$181-EFEITO!$M$181*EFEITO!$Z$181</f>
        <v>0</v>
      </c>
      <c r="O181" s="72">
        <f>$L$181-EFEITO!$O$181*EFEITO!$AA$181</f>
        <v>0</v>
      </c>
      <c r="P181" s="56"/>
      <c r="Q181" s="56"/>
      <c r="R181" s="56"/>
      <c r="S181" s="56"/>
      <c r="T181" s="56"/>
      <c r="U181" s="56"/>
      <c r="V181" s="56"/>
      <c r="W181" s="56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</row>
    <row r="182" spans="1:36" ht="11.25" customHeight="1" x14ac:dyDescent="0.2">
      <c r="A182" s="52" t="s">
        <v>21</v>
      </c>
      <c r="B182" s="52" t="s">
        <v>22</v>
      </c>
      <c r="C182" s="52" t="s">
        <v>37</v>
      </c>
      <c r="D182" s="52" t="s">
        <v>24</v>
      </c>
      <c r="E182" s="52" t="s">
        <v>24</v>
      </c>
      <c r="F182" s="52" t="s">
        <v>25</v>
      </c>
      <c r="G182" s="52" t="s">
        <v>25</v>
      </c>
      <c r="H182" s="52" t="s">
        <v>36</v>
      </c>
      <c r="I182" s="71">
        <v>44593</v>
      </c>
      <c r="J182" s="72">
        <f>EFEITO!$J$182*EFEITO!$Y$182</f>
        <v>0</v>
      </c>
      <c r="K182" s="72">
        <f ca="1">EFEITO!$L$182*EFEITO!$Z$182</f>
        <v>797.09908545188637</v>
      </c>
      <c r="L182" s="72">
        <f>EFEITO!$N$182*EFEITO!$AA$182</f>
        <v>341.65211598754195</v>
      </c>
      <c r="M182" s="72">
        <f>$J$182-EFEITO!$K$182*EFEITO!$Y$182</f>
        <v>0</v>
      </c>
      <c r="N182" s="72">
        <f ca="1">$K$182-EFEITO!$M$182*EFEITO!$Z$182</f>
        <v>0</v>
      </c>
      <c r="O182" s="72">
        <f>$L$182-EFEITO!$O$182*EFEITO!$AA$182</f>
        <v>0</v>
      </c>
      <c r="P182" s="56"/>
      <c r="Q182" s="56"/>
      <c r="R182" s="56"/>
      <c r="S182" s="56"/>
      <c r="T182" s="56"/>
      <c r="U182" s="56"/>
      <c r="V182" s="56"/>
      <c r="W182" s="56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</row>
    <row r="183" spans="1:36" ht="11.25" customHeight="1" x14ac:dyDescent="0.2">
      <c r="A183" s="52" t="s">
        <v>21</v>
      </c>
      <c r="B183" s="52" t="s">
        <v>22</v>
      </c>
      <c r="C183" s="52" t="s">
        <v>37</v>
      </c>
      <c r="D183" s="52" t="s">
        <v>24</v>
      </c>
      <c r="E183" s="52" t="s">
        <v>24</v>
      </c>
      <c r="F183" s="52" t="s">
        <v>25</v>
      </c>
      <c r="G183" s="52" t="s">
        <v>25</v>
      </c>
      <c r="H183" s="52" t="s">
        <v>36</v>
      </c>
      <c r="I183" s="71">
        <v>44621</v>
      </c>
      <c r="J183" s="72">
        <f>EFEITO!$J$183*EFEITO!$Y$183</f>
        <v>0</v>
      </c>
      <c r="K183" s="72">
        <f ca="1">EFEITO!$L$183*EFEITO!$Z$183</f>
        <v>784.32116118128351</v>
      </c>
      <c r="L183" s="72">
        <f>EFEITO!$N$183*EFEITO!$AA$183</f>
        <v>336.17525000606224</v>
      </c>
      <c r="M183" s="72">
        <f>$J$183-EFEITO!$K$183*EFEITO!$Y$183</f>
        <v>0</v>
      </c>
      <c r="N183" s="72">
        <f ca="1">$K$183-EFEITO!$M$183*EFEITO!$Z$183</f>
        <v>0</v>
      </c>
      <c r="O183" s="72">
        <f>$L$183-EFEITO!$O$183*EFEITO!$AA$183</f>
        <v>0</v>
      </c>
      <c r="P183" s="56"/>
      <c r="Q183" s="56"/>
      <c r="R183" s="56"/>
      <c r="S183" s="56"/>
      <c r="T183" s="56"/>
      <c r="U183" s="56"/>
      <c r="V183" s="56"/>
      <c r="W183" s="56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</row>
    <row r="184" spans="1:36" ht="11.25" customHeight="1" x14ac:dyDescent="0.2">
      <c r="A184" s="52" t="s">
        <v>21</v>
      </c>
      <c r="B184" s="52" t="s">
        <v>22</v>
      </c>
      <c r="C184" s="52" t="s">
        <v>37</v>
      </c>
      <c r="D184" s="52" t="s">
        <v>24</v>
      </c>
      <c r="E184" s="52" t="s">
        <v>24</v>
      </c>
      <c r="F184" s="52" t="s">
        <v>25</v>
      </c>
      <c r="G184" s="52" t="s">
        <v>25</v>
      </c>
      <c r="H184" s="52" t="s">
        <v>38</v>
      </c>
      <c r="I184" s="71">
        <v>44287</v>
      </c>
      <c r="J184" s="72">
        <f>EFEITO!$J$184*EFEITO!$Y$184</f>
        <v>0</v>
      </c>
      <c r="K184" s="72">
        <f ca="1">EFEITO!$L$184*EFEITO!$Z$184</f>
        <v>173.28251157114806</v>
      </c>
      <c r="L184" s="72">
        <f>EFEITO!$N$184*EFEITO!$AA$184</f>
        <v>31.035573895051517</v>
      </c>
      <c r="M184" s="72">
        <f>$J$184-EFEITO!$K$184*EFEITO!$Y$184</f>
        <v>0</v>
      </c>
      <c r="N184" s="72">
        <f ca="1">$K$184-EFEITO!$M$184*EFEITO!$Z$184</f>
        <v>0</v>
      </c>
      <c r="O184" s="72">
        <f>$L$184-EFEITO!$O$184*EFEITO!$AA$184</f>
        <v>0</v>
      </c>
      <c r="P184" s="56"/>
      <c r="Q184" s="56"/>
      <c r="R184" s="56"/>
      <c r="S184" s="56"/>
      <c r="T184" s="56"/>
      <c r="U184" s="56"/>
      <c r="V184" s="56"/>
      <c r="W184" s="56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</row>
    <row r="185" spans="1:36" ht="11.25" customHeight="1" x14ac:dyDescent="0.2">
      <c r="A185" s="52" t="s">
        <v>21</v>
      </c>
      <c r="B185" s="52" t="s">
        <v>22</v>
      </c>
      <c r="C185" s="52" t="s">
        <v>37</v>
      </c>
      <c r="D185" s="52" t="s">
        <v>24</v>
      </c>
      <c r="E185" s="52" t="s">
        <v>24</v>
      </c>
      <c r="F185" s="52" t="s">
        <v>25</v>
      </c>
      <c r="G185" s="52" t="s">
        <v>25</v>
      </c>
      <c r="H185" s="52" t="s">
        <v>38</v>
      </c>
      <c r="I185" s="71">
        <v>44317</v>
      </c>
      <c r="J185" s="72">
        <f>EFEITO!$J$185*EFEITO!$Y$185</f>
        <v>0</v>
      </c>
      <c r="K185" s="72">
        <f ca="1">EFEITO!$L$185*EFEITO!$Z$185</f>
        <v>152.89633373924829</v>
      </c>
      <c r="L185" s="72">
        <f>EFEITO!$N$185*EFEITO!$AA$185</f>
        <v>27.384329907398399</v>
      </c>
      <c r="M185" s="72">
        <f>$J$185-EFEITO!$K$185*EFEITO!$Y$185</f>
        <v>0</v>
      </c>
      <c r="N185" s="72">
        <f ca="1">$K$185-EFEITO!$M$185*EFEITO!$Z$185</f>
        <v>0</v>
      </c>
      <c r="O185" s="72">
        <f>$L$185-EFEITO!$O$185*EFEITO!$AA$185</f>
        <v>0</v>
      </c>
      <c r="P185" s="56"/>
      <c r="Q185" s="56"/>
      <c r="R185" s="56"/>
      <c r="S185" s="56"/>
      <c r="T185" s="56"/>
      <c r="U185" s="56"/>
      <c r="V185" s="56"/>
      <c r="W185" s="56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</row>
    <row r="186" spans="1:36" ht="11.25" customHeight="1" x14ac:dyDescent="0.2">
      <c r="A186" s="52" t="s">
        <v>21</v>
      </c>
      <c r="B186" s="52" t="s">
        <v>22</v>
      </c>
      <c r="C186" s="52" t="s">
        <v>37</v>
      </c>
      <c r="D186" s="52" t="s">
        <v>24</v>
      </c>
      <c r="E186" s="52" t="s">
        <v>24</v>
      </c>
      <c r="F186" s="52" t="s">
        <v>25</v>
      </c>
      <c r="G186" s="52" t="s">
        <v>25</v>
      </c>
      <c r="H186" s="52" t="s">
        <v>38</v>
      </c>
      <c r="I186" s="71">
        <v>44348</v>
      </c>
      <c r="J186" s="72">
        <f>EFEITO!$J$186*EFEITO!$Y$186</f>
        <v>0</v>
      </c>
      <c r="K186" s="72">
        <f ca="1">EFEITO!$L$186*EFEITO!$Z$186</f>
        <v>139.7909337044556</v>
      </c>
      <c r="L186" s="72">
        <f>EFEITO!$N$186*EFEITO!$AA$186</f>
        <v>25.037101629621393</v>
      </c>
      <c r="M186" s="72">
        <f>$J$186-EFEITO!$K$186*EFEITO!$Y$186</f>
        <v>0</v>
      </c>
      <c r="N186" s="72">
        <f ca="1">$K$186-EFEITO!$M$186*EFEITO!$Z$186</f>
        <v>0</v>
      </c>
      <c r="O186" s="72">
        <f>$L$186-EFEITO!$O$186*EFEITO!$AA$186</f>
        <v>0</v>
      </c>
      <c r="P186" s="56"/>
      <c r="Q186" s="56"/>
      <c r="R186" s="56"/>
      <c r="S186" s="56"/>
      <c r="T186" s="56"/>
      <c r="U186" s="56"/>
      <c r="V186" s="56"/>
      <c r="W186" s="56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</row>
    <row r="187" spans="1:36" ht="11.25" customHeight="1" x14ac:dyDescent="0.2">
      <c r="A187" s="52" t="s">
        <v>21</v>
      </c>
      <c r="B187" s="52" t="s">
        <v>22</v>
      </c>
      <c r="C187" s="52" t="s">
        <v>37</v>
      </c>
      <c r="D187" s="52" t="s">
        <v>24</v>
      </c>
      <c r="E187" s="52" t="s">
        <v>24</v>
      </c>
      <c r="F187" s="52" t="s">
        <v>25</v>
      </c>
      <c r="G187" s="52" t="s">
        <v>25</v>
      </c>
      <c r="H187" s="52" t="s">
        <v>38</v>
      </c>
      <c r="I187" s="71">
        <v>44378</v>
      </c>
      <c r="J187" s="72">
        <f>EFEITO!$J$187*EFEITO!$Y$187</f>
        <v>0</v>
      </c>
      <c r="K187" s="72">
        <f ca="1">EFEITO!$L$187*EFEITO!$Z$187</f>
        <v>155.80864485809113</v>
      </c>
      <c r="L187" s="72">
        <f>EFEITO!$N$187*EFEITO!$AA$187</f>
        <v>27.905936191348843</v>
      </c>
      <c r="M187" s="72">
        <f>$J$187-EFEITO!$K$187*EFEITO!$Y$187</f>
        <v>0</v>
      </c>
      <c r="N187" s="72">
        <f ca="1">$K$187-EFEITO!$M$187*EFEITO!$Z$187</f>
        <v>0</v>
      </c>
      <c r="O187" s="72">
        <f>$L$187-EFEITO!$O$187*EFEITO!$AA$187</f>
        <v>0</v>
      </c>
      <c r="P187" s="56"/>
      <c r="Q187" s="56"/>
      <c r="R187" s="56"/>
      <c r="S187" s="56"/>
      <c r="T187" s="56"/>
      <c r="U187" s="56"/>
      <c r="V187" s="56"/>
      <c r="W187" s="56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</row>
    <row r="188" spans="1:36" ht="11.25" customHeight="1" x14ac:dyDescent="0.2">
      <c r="A188" s="52" t="s">
        <v>21</v>
      </c>
      <c r="B188" s="52" t="s">
        <v>22</v>
      </c>
      <c r="C188" s="52" t="s">
        <v>37</v>
      </c>
      <c r="D188" s="52" t="s">
        <v>24</v>
      </c>
      <c r="E188" s="52" t="s">
        <v>24</v>
      </c>
      <c r="F188" s="52" t="s">
        <v>25</v>
      </c>
      <c r="G188" s="52" t="s">
        <v>25</v>
      </c>
      <c r="H188" s="52" t="s">
        <v>38</v>
      </c>
      <c r="I188" s="71">
        <v>44409</v>
      </c>
      <c r="J188" s="72">
        <f>EFEITO!$J$188*EFEITO!$Y$188</f>
        <v>0</v>
      </c>
      <c r="K188" s="72">
        <f ca="1">EFEITO!$L$188*EFEITO!$Z$188</f>
        <v>136.87862258561276</v>
      </c>
      <c r="L188" s="72">
        <f>EFEITO!$N$188*EFEITO!$AA$188</f>
        <v>24.515495345670946</v>
      </c>
      <c r="M188" s="72">
        <f>$J$188-EFEITO!$K$188*EFEITO!$Y$188</f>
        <v>0</v>
      </c>
      <c r="N188" s="72">
        <f ca="1">$K$188-EFEITO!$M$188*EFEITO!$Z$188</f>
        <v>0</v>
      </c>
      <c r="O188" s="72">
        <f>$L$188-EFEITO!$O$188*EFEITO!$AA$188</f>
        <v>0</v>
      </c>
      <c r="P188" s="56"/>
      <c r="Q188" s="56"/>
      <c r="R188" s="56"/>
      <c r="S188" s="56"/>
      <c r="T188" s="56"/>
      <c r="U188" s="56"/>
      <c r="V188" s="56"/>
      <c r="W188" s="56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</row>
    <row r="189" spans="1:36" ht="11.25" customHeight="1" x14ac:dyDescent="0.2">
      <c r="A189" s="52" t="s">
        <v>21</v>
      </c>
      <c r="B189" s="52" t="s">
        <v>22</v>
      </c>
      <c r="C189" s="52" t="s">
        <v>37</v>
      </c>
      <c r="D189" s="52" t="s">
        <v>24</v>
      </c>
      <c r="E189" s="52" t="s">
        <v>24</v>
      </c>
      <c r="F189" s="52" t="s">
        <v>25</v>
      </c>
      <c r="G189" s="52" t="s">
        <v>25</v>
      </c>
      <c r="H189" s="52" t="s">
        <v>38</v>
      </c>
      <c r="I189" s="71">
        <v>44440</v>
      </c>
      <c r="J189" s="72">
        <f>EFEITO!$J$189*EFEITO!$Y$189</f>
        <v>0</v>
      </c>
      <c r="K189" s="72">
        <f ca="1">EFEITO!$L$189*EFEITO!$Z$189</f>
        <v>160.17711153635537</v>
      </c>
      <c r="L189" s="72">
        <f>EFEITO!$N$189*EFEITO!$AA$189</f>
        <v>28.688345617274514</v>
      </c>
      <c r="M189" s="72">
        <f>$J$189-EFEITO!$K$189*EFEITO!$Y$189</f>
        <v>0</v>
      </c>
      <c r="N189" s="72">
        <f ca="1">$K$189-EFEITO!$M$189*EFEITO!$Z$189</f>
        <v>0</v>
      </c>
      <c r="O189" s="72">
        <f>$L$189-EFEITO!$O$189*EFEITO!$AA$189</f>
        <v>0</v>
      </c>
      <c r="P189" s="56"/>
      <c r="Q189" s="56"/>
      <c r="R189" s="56"/>
      <c r="S189" s="56"/>
      <c r="T189" s="56"/>
      <c r="U189" s="56"/>
      <c r="V189" s="56"/>
      <c r="W189" s="56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</row>
    <row r="190" spans="1:36" ht="11.25" customHeight="1" x14ac:dyDescent="0.2">
      <c r="A190" s="52" t="s">
        <v>21</v>
      </c>
      <c r="B190" s="52" t="s">
        <v>22</v>
      </c>
      <c r="C190" s="52" t="s">
        <v>37</v>
      </c>
      <c r="D190" s="52" t="s">
        <v>24</v>
      </c>
      <c r="E190" s="52" t="s">
        <v>24</v>
      </c>
      <c r="F190" s="52" t="s">
        <v>25</v>
      </c>
      <c r="G190" s="52" t="s">
        <v>25</v>
      </c>
      <c r="H190" s="52" t="s">
        <v>38</v>
      </c>
      <c r="I190" s="71">
        <v>44470</v>
      </c>
      <c r="J190" s="72">
        <f>EFEITO!$J$190*EFEITO!$Y$190</f>
        <v>0</v>
      </c>
      <c r="K190" s="72">
        <f ca="1">EFEITO!$L$190*EFEITO!$Z$190</f>
        <v>126.68553366966286</v>
      </c>
      <c r="L190" s="72">
        <f>EFEITO!$N$190*EFEITO!$AA$190</f>
        <v>22.689873351844387</v>
      </c>
      <c r="M190" s="72">
        <f>$J$190-EFEITO!$K$190*EFEITO!$Y$190</f>
        <v>0</v>
      </c>
      <c r="N190" s="72">
        <f ca="1">$K$190-EFEITO!$M$190*EFEITO!$Z$190</f>
        <v>0</v>
      </c>
      <c r="O190" s="72">
        <f>$L$190-EFEITO!$O$190*EFEITO!$AA$190</f>
        <v>0</v>
      </c>
      <c r="P190" s="56"/>
      <c r="Q190" s="56"/>
      <c r="R190" s="56"/>
      <c r="S190" s="56"/>
      <c r="T190" s="56"/>
      <c r="U190" s="56"/>
      <c r="V190" s="56"/>
      <c r="W190" s="56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</row>
    <row r="191" spans="1:36" ht="11.25" customHeight="1" x14ac:dyDescent="0.2">
      <c r="A191" s="52" t="s">
        <v>21</v>
      </c>
      <c r="B191" s="52" t="s">
        <v>22</v>
      </c>
      <c r="C191" s="52" t="s">
        <v>37</v>
      </c>
      <c r="D191" s="52" t="s">
        <v>24</v>
      </c>
      <c r="E191" s="52" t="s">
        <v>24</v>
      </c>
      <c r="F191" s="52" t="s">
        <v>25</v>
      </c>
      <c r="G191" s="52" t="s">
        <v>25</v>
      </c>
      <c r="H191" s="52" t="s">
        <v>38</v>
      </c>
      <c r="I191" s="71">
        <v>44501</v>
      </c>
      <c r="J191" s="72">
        <f>EFEITO!$J$191*EFEITO!$Y$191</f>
        <v>0</v>
      </c>
      <c r="K191" s="72">
        <f ca="1">EFEITO!$L$191*EFEITO!$Z$191</f>
        <v>179.10713380883371</v>
      </c>
      <c r="L191" s="72">
        <f>EFEITO!$N$191*EFEITO!$AA$191</f>
        <v>32.078786462952408</v>
      </c>
      <c r="M191" s="72">
        <f>$J$191-EFEITO!$K$191*EFEITO!$Y$191</f>
        <v>0</v>
      </c>
      <c r="N191" s="72">
        <f ca="1">$K$191-EFEITO!$M$191*EFEITO!$Z$191</f>
        <v>0</v>
      </c>
      <c r="O191" s="72">
        <f>$L$191-EFEITO!$O$191*EFEITO!$AA$191</f>
        <v>0</v>
      </c>
      <c r="P191" s="56"/>
      <c r="Q191" s="56"/>
      <c r="R191" s="56"/>
      <c r="S191" s="56"/>
      <c r="T191" s="56"/>
      <c r="U191" s="56"/>
      <c r="V191" s="56"/>
      <c r="W191" s="56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</row>
    <row r="192" spans="1:36" ht="11.25" customHeight="1" x14ac:dyDescent="0.2">
      <c r="A192" s="52" t="s">
        <v>21</v>
      </c>
      <c r="B192" s="52" t="s">
        <v>22</v>
      </c>
      <c r="C192" s="52" t="s">
        <v>37</v>
      </c>
      <c r="D192" s="52" t="s">
        <v>24</v>
      </c>
      <c r="E192" s="52" t="s">
        <v>24</v>
      </c>
      <c r="F192" s="52" t="s">
        <v>25</v>
      </c>
      <c r="G192" s="52" t="s">
        <v>25</v>
      </c>
      <c r="H192" s="52" t="s">
        <v>38</v>
      </c>
      <c r="I192" s="71">
        <v>44531</v>
      </c>
      <c r="J192" s="72">
        <f>EFEITO!$J$192*EFEITO!$Y$192</f>
        <v>0</v>
      </c>
      <c r="K192" s="72">
        <f ca="1">EFEITO!$L$192*EFEITO!$Z$192</f>
        <v>110.66782251602734</v>
      </c>
      <c r="L192" s="72">
        <f>EFEITO!$N$192*EFEITO!$AA$192</f>
        <v>19.821038790116937</v>
      </c>
      <c r="M192" s="72">
        <f>$J$192-EFEITO!$K$192*EFEITO!$Y$192</f>
        <v>0</v>
      </c>
      <c r="N192" s="72">
        <f ca="1">$K$192-EFEITO!$M$192*EFEITO!$Z$192</f>
        <v>0</v>
      </c>
      <c r="O192" s="72">
        <f>$L$192-EFEITO!$O$192*EFEITO!$AA$192</f>
        <v>0</v>
      </c>
      <c r="P192" s="56"/>
      <c r="Q192" s="56"/>
      <c r="R192" s="56"/>
      <c r="S192" s="56"/>
      <c r="T192" s="56"/>
      <c r="U192" s="56"/>
      <c r="V192" s="56"/>
      <c r="W192" s="56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</row>
    <row r="193" spans="1:36" ht="11.25" customHeight="1" x14ac:dyDescent="0.2">
      <c r="A193" s="52" t="s">
        <v>28</v>
      </c>
      <c r="B193" s="52" t="s">
        <v>22</v>
      </c>
      <c r="C193" s="52" t="s">
        <v>37</v>
      </c>
      <c r="D193" s="52" t="s">
        <v>24</v>
      </c>
      <c r="E193" s="52" t="s">
        <v>24</v>
      </c>
      <c r="F193" s="52" t="s">
        <v>25</v>
      </c>
      <c r="G193" s="52" t="s">
        <v>25</v>
      </c>
      <c r="H193" s="52" t="s">
        <v>38</v>
      </c>
      <c r="I193" s="71">
        <v>44531</v>
      </c>
      <c r="J193" s="72">
        <f>EFEITO!$J$193*EFEITO!$Y$193</f>
        <v>0</v>
      </c>
      <c r="K193" s="72">
        <f ca="1">EFEITO!$L$193*EFEITO!$Z$193</f>
        <v>45.140822342063785</v>
      </c>
      <c r="L193" s="72">
        <f>EFEITO!$N$193*EFEITO!$AA$193</f>
        <v>8.0848974012319079</v>
      </c>
      <c r="M193" s="72">
        <f>$J$193-EFEITO!$K$193*EFEITO!$Y$193</f>
        <v>0</v>
      </c>
      <c r="N193" s="72">
        <f ca="1">$K$193-EFEITO!$M$193*EFEITO!$Z$193</f>
        <v>0</v>
      </c>
      <c r="O193" s="72">
        <f>$L$193-EFEITO!$O$193*EFEITO!$AA$193</f>
        <v>0</v>
      </c>
      <c r="P193" s="56"/>
      <c r="Q193" s="56"/>
      <c r="R193" s="56"/>
      <c r="S193" s="56"/>
      <c r="T193" s="56"/>
      <c r="U193" s="56"/>
      <c r="V193" s="56"/>
      <c r="W193" s="56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</row>
    <row r="194" spans="1:36" ht="11.25" customHeight="1" x14ac:dyDescent="0.2">
      <c r="A194" s="52" t="s">
        <v>21</v>
      </c>
      <c r="B194" s="52" t="s">
        <v>22</v>
      </c>
      <c r="C194" s="52" t="s">
        <v>37</v>
      </c>
      <c r="D194" s="52" t="s">
        <v>24</v>
      </c>
      <c r="E194" s="52" t="s">
        <v>24</v>
      </c>
      <c r="F194" s="52" t="s">
        <v>25</v>
      </c>
      <c r="G194" s="52" t="s">
        <v>25</v>
      </c>
      <c r="H194" s="52" t="s">
        <v>38</v>
      </c>
      <c r="I194" s="71">
        <v>44562</v>
      </c>
      <c r="J194" s="72">
        <f>EFEITO!$J$194*EFEITO!$Y$194</f>
        <v>0</v>
      </c>
      <c r="K194" s="72">
        <f ca="1">EFEITO!$L$194*EFEITO!$Z$194</f>
        <v>125.22937811024146</v>
      </c>
      <c r="L194" s="72">
        <f>EFEITO!$N$194*EFEITO!$AA$194</f>
        <v>22.429070209869163</v>
      </c>
      <c r="M194" s="72">
        <f>$J$194-EFEITO!$K$194*EFEITO!$Y$194</f>
        <v>0</v>
      </c>
      <c r="N194" s="72">
        <f ca="1">$K$194-EFEITO!$M$194*EFEITO!$Z$194</f>
        <v>0</v>
      </c>
      <c r="O194" s="72">
        <f>$L$194-EFEITO!$O$194*EFEITO!$AA$194</f>
        <v>0</v>
      </c>
      <c r="P194" s="56"/>
      <c r="Q194" s="56"/>
      <c r="R194" s="56"/>
      <c r="S194" s="56"/>
      <c r="T194" s="56"/>
      <c r="U194" s="56"/>
      <c r="V194" s="56"/>
      <c r="W194" s="56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</row>
    <row r="195" spans="1:36" ht="11.25" customHeight="1" x14ac:dyDescent="0.2">
      <c r="A195" s="52" t="s">
        <v>21</v>
      </c>
      <c r="B195" s="52" t="s">
        <v>22</v>
      </c>
      <c r="C195" s="52" t="s">
        <v>37</v>
      </c>
      <c r="D195" s="52" t="s">
        <v>24</v>
      </c>
      <c r="E195" s="52" t="s">
        <v>24</v>
      </c>
      <c r="F195" s="52" t="s">
        <v>25</v>
      </c>
      <c r="G195" s="52" t="s">
        <v>25</v>
      </c>
      <c r="H195" s="52" t="s">
        <v>38</v>
      </c>
      <c r="I195" s="71">
        <v>44593</v>
      </c>
      <c r="J195" s="72">
        <f>EFEITO!$J$195*EFEITO!$Y$195</f>
        <v>0</v>
      </c>
      <c r="K195" s="72">
        <f ca="1">EFEITO!$L$195*EFEITO!$Z$195</f>
        <v>129.59784478850568</v>
      </c>
      <c r="L195" s="72">
        <f>EFEITO!$N$195*EFEITO!$AA$195</f>
        <v>23.211479635794831</v>
      </c>
      <c r="M195" s="72">
        <f>$J$195-EFEITO!$K$195*EFEITO!$Y$195</f>
        <v>0</v>
      </c>
      <c r="N195" s="72">
        <f ca="1">$K$195-EFEITO!$M$195*EFEITO!$Z$195</f>
        <v>0</v>
      </c>
      <c r="O195" s="72">
        <f>$L$195-EFEITO!$O$195*EFEITO!$AA$195</f>
        <v>0</v>
      </c>
      <c r="P195" s="56"/>
      <c r="Q195" s="56"/>
      <c r="R195" s="56"/>
      <c r="S195" s="56"/>
      <c r="T195" s="56"/>
      <c r="U195" s="56"/>
      <c r="V195" s="56"/>
      <c r="W195" s="56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</row>
    <row r="196" spans="1:36" ht="11.25" customHeight="1" x14ac:dyDescent="0.2">
      <c r="A196" s="52" t="s">
        <v>21</v>
      </c>
      <c r="B196" s="52" t="s">
        <v>22</v>
      </c>
      <c r="C196" s="52" t="s">
        <v>37</v>
      </c>
      <c r="D196" s="52" t="s">
        <v>24</v>
      </c>
      <c r="E196" s="52" t="s">
        <v>24</v>
      </c>
      <c r="F196" s="52" t="s">
        <v>25</v>
      </c>
      <c r="G196" s="52" t="s">
        <v>25</v>
      </c>
      <c r="H196" s="52" t="s">
        <v>38</v>
      </c>
      <c r="I196" s="71">
        <v>44621</v>
      </c>
      <c r="J196" s="72">
        <f>EFEITO!$J$196*EFEITO!$Y$196</f>
        <v>0</v>
      </c>
      <c r="K196" s="72">
        <f ca="1">EFEITO!$L$196*EFEITO!$Z$196</f>
        <v>145.61555594214124</v>
      </c>
      <c r="L196" s="72">
        <f>EFEITO!$N$196*EFEITO!$AA$196</f>
        <v>26.080314197522284</v>
      </c>
      <c r="M196" s="72">
        <f>$J$196-EFEITO!$K$196*EFEITO!$Y$196</f>
        <v>0</v>
      </c>
      <c r="N196" s="72">
        <f ca="1">$K$196-EFEITO!$M$196*EFEITO!$Z$196</f>
        <v>0</v>
      </c>
      <c r="O196" s="72">
        <f>$L$196-EFEITO!$O$196*EFEITO!$AA$196</f>
        <v>0</v>
      </c>
      <c r="P196" s="56"/>
      <c r="Q196" s="56"/>
      <c r="R196" s="56"/>
      <c r="S196" s="56"/>
      <c r="T196" s="56"/>
      <c r="U196" s="56"/>
      <c r="V196" s="56"/>
      <c r="W196" s="56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</row>
    <row r="197" spans="1:36" ht="11.25" customHeight="1" x14ac:dyDescent="0.2">
      <c r="A197" s="52" t="s">
        <v>21</v>
      </c>
      <c r="B197" s="52" t="s">
        <v>22</v>
      </c>
      <c r="C197" s="52" t="s">
        <v>37</v>
      </c>
      <c r="D197" s="52" t="s">
        <v>24</v>
      </c>
      <c r="E197" s="52" t="s">
        <v>24</v>
      </c>
      <c r="F197" s="52" t="s">
        <v>25</v>
      </c>
      <c r="G197" s="52" t="s">
        <v>25</v>
      </c>
      <c r="H197" s="52" t="s">
        <v>35</v>
      </c>
      <c r="I197" s="71">
        <v>44287</v>
      </c>
      <c r="J197" s="72">
        <f>EFEITO!$J$197*EFEITO!$Y$197</f>
        <v>0</v>
      </c>
      <c r="K197" s="72">
        <f ca="1">EFEITO!$L$197*EFEITO!$Z$197</f>
        <v>419.29879177348101</v>
      </c>
      <c r="L197" s="72">
        <f>EFEITO!$N$197*EFEITO!$AA$197</f>
        <v>47.466171839490556</v>
      </c>
      <c r="M197" s="72">
        <f>$J$197-EFEITO!$K$197*EFEITO!$Y$197</f>
        <v>0</v>
      </c>
      <c r="N197" s="72">
        <f ca="1">$K$197-EFEITO!$M$197*EFEITO!$Z$197</f>
        <v>0</v>
      </c>
      <c r="O197" s="72">
        <f>$L$197-EFEITO!$O$197*EFEITO!$AA$197</f>
        <v>0</v>
      </c>
      <c r="P197" s="56"/>
      <c r="Q197" s="56"/>
      <c r="R197" s="56"/>
      <c r="S197" s="56"/>
      <c r="T197" s="56"/>
      <c r="U197" s="56"/>
      <c r="V197" s="56"/>
      <c r="W197" s="56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</row>
    <row r="198" spans="1:36" ht="11.25" customHeight="1" x14ac:dyDescent="0.2">
      <c r="A198" s="52" t="s">
        <v>21</v>
      </c>
      <c r="B198" s="52" t="s">
        <v>22</v>
      </c>
      <c r="C198" s="52" t="s">
        <v>37</v>
      </c>
      <c r="D198" s="52" t="s">
        <v>24</v>
      </c>
      <c r="E198" s="52" t="s">
        <v>24</v>
      </c>
      <c r="F198" s="52" t="s">
        <v>25</v>
      </c>
      <c r="G198" s="52" t="s">
        <v>25</v>
      </c>
      <c r="H198" s="52" t="s">
        <v>35</v>
      </c>
      <c r="I198" s="71">
        <v>44317</v>
      </c>
      <c r="J198" s="72">
        <f>EFEITO!$J$198*EFEITO!$Y$198</f>
        <v>0</v>
      </c>
      <c r="K198" s="72">
        <f ca="1">EFEITO!$L$198*EFEITO!$Z$198</f>
        <v>384.74119904489743</v>
      </c>
      <c r="L198" s="72">
        <f>EFEITO!$N$198*EFEITO!$AA$198</f>
        <v>43.554124709862215</v>
      </c>
      <c r="M198" s="72">
        <f>$J$198-EFEITO!$K$198*EFEITO!$Y$198</f>
        <v>0</v>
      </c>
      <c r="N198" s="72">
        <f ca="1">$K$198-EFEITO!$M$198*EFEITO!$Z$198</f>
        <v>0</v>
      </c>
      <c r="O198" s="72">
        <f>$L$198-EFEITO!$O$198*EFEITO!$AA$198</f>
        <v>0</v>
      </c>
      <c r="P198" s="56"/>
      <c r="Q198" s="56"/>
      <c r="R198" s="56"/>
      <c r="S198" s="56"/>
      <c r="T198" s="56"/>
      <c r="U198" s="56"/>
      <c r="V198" s="56"/>
      <c r="W198" s="56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</row>
    <row r="199" spans="1:36" ht="11.25" customHeight="1" x14ac:dyDescent="0.2">
      <c r="A199" s="52" t="s">
        <v>21</v>
      </c>
      <c r="B199" s="52" t="s">
        <v>22</v>
      </c>
      <c r="C199" s="52" t="s">
        <v>37</v>
      </c>
      <c r="D199" s="52" t="s">
        <v>24</v>
      </c>
      <c r="E199" s="52" t="s">
        <v>24</v>
      </c>
      <c r="F199" s="52" t="s">
        <v>25</v>
      </c>
      <c r="G199" s="52" t="s">
        <v>25</v>
      </c>
      <c r="H199" s="52" t="s">
        <v>35</v>
      </c>
      <c r="I199" s="71">
        <v>44348</v>
      </c>
      <c r="J199" s="72">
        <f>EFEITO!$J$199*EFEITO!$Y$199</f>
        <v>0</v>
      </c>
      <c r="K199" s="72">
        <f ca="1">EFEITO!$L$199*EFEITO!$Z$199</f>
        <v>384.74119904489743</v>
      </c>
      <c r="L199" s="72">
        <f>EFEITO!$N$199*EFEITO!$AA$199</f>
        <v>43.554124709862215</v>
      </c>
      <c r="M199" s="72">
        <f>$J$199-EFEITO!$K$199*EFEITO!$Y$199</f>
        <v>0</v>
      </c>
      <c r="N199" s="72">
        <f ca="1">$K$199-EFEITO!$M$199*EFEITO!$Z$199</f>
        <v>0</v>
      </c>
      <c r="O199" s="72">
        <f>$L$199-EFEITO!$O$199*EFEITO!$AA$199</f>
        <v>0</v>
      </c>
      <c r="P199" s="56"/>
      <c r="Q199" s="56"/>
      <c r="R199" s="56"/>
      <c r="S199" s="56"/>
      <c r="T199" s="56"/>
      <c r="U199" s="56"/>
      <c r="V199" s="56"/>
      <c r="W199" s="56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</row>
    <row r="200" spans="1:36" ht="11.25" customHeight="1" x14ac:dyDescent="0.2">
      <c r="A200" s="52" t="s">
        <v>21</v>
      </c>
      <c r="B200" s="52" t="s">
        <v>22</v>
      </c>
      <c r="C200" s="52" t="s">
        <v>37</v>
      </c>
      <c r="D200" s="52" t="s">
        <v>24</v>
      </c>
      <c r="E200" s="52" t="s">
        <v>24</v>
      </c>
      <c r="F200" s="52" t="s">
        <v>25</v>
      </c>
      <c r="G200" s="52" t="s">
        <v>25</v>
      </c>
      <c r="H200" s="52" t="s">
        <v>35</v>
      </c>
      <c r="I200" s="71">
        <v>44378</v>
      </c>
      <c r="J200" s="72">
        <f>EFEITO!$J$200*EFEITO!$Y$200</f>
        <v>0</v>
      </c>
      <c r="K200" s="72">
        <f ca="1">EFEITO!$L$200*EFEITO!$Z$200</f>
        <v>354.7912853467916</v>
      </c>
      <c r="L200" s="72">
        <f>EFEITO!$N$200*EFEITO!$AA$200</f>
        <v>40.163683864184314</v>
      </c>
      <c r="M200" s="72">
        <f>$J$200-EFEITO!$K$200*EFEITO!$Y$200</f>
        <v>0</v>
      </c>
      <c r="N200" s="72">
        <f ca="1">$K$200-EFEITO!$M$200*EFEITO!$Z$200</f>
        <v>0</v>
      </c>
      <c r="O200" s="72">
        <f>$L$200-EFEITO!$O$200*EFEITO!$AA$200</f>
        <v>0</v>
      </c>
      <c r="P200" s="56"/>
      <c r="Q200" s="56"/>
      <c r="R200" s="56"/>
      <c r="S200" s="56"/>
      <c r="T200" s="56"/>
      <c r="U200" s="56"/>
      <c r="V200" s="56"/>
      <c r="W200" s="56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</row>
    <row r="201" spans="1:36" ht="11.25" customHeight="1" x14ac:dyDescent="0.2">
      <c r="A201" s="52" t="s">
        <v>21</v>
      </c>
      <c r="B201" s="52" t="s">
        <v>22</v>
      </c>
      <c r="C201" s="52" t="s">
        <v>37</v>
      </c>
      <c r="D201" s="52" t="s">
        <v>24</v>
      </c>
      <c r="E201" s="52" t="s">
        <v>24</v>
      </c>
      <c r="F201" s="52" t="s">
        <v>25</v>
      </c>
      <c r="G201" s="52" t="s">
        <v>25</v>
      </c>
      <c r="H201" s="52" t="s">
        <v>35</v>
      </c>
      <c r="I201" s="71">
        <v>44409</v>
      </c>
      <c r="J201" s="72">
        <f>EFEITO!$J$201*EFEITO!$Y$201</f>
        <v>0</v>
      </c>
      <c r="K201" s="72">
        <f ca="1">EFEITO!$L$201*EFEITO!$Z$201</f>
        <v>373.2220014687029</v>
      </c>
      <c r="L201" s="72">
        <f>EFEITO!$N$201*EFEITO!$AA$201</f>
        <v>42.250108999986104</v>
      </c>
      <c r="M201" s="72">
        <f>$J$201-EFEITO!$K$201*EFEITO!$Y$201</f>
        <v>0</v>
      </c>
      <c r="N201" s="72">
        <f ca="1">$K$201-EFEITO!$M$201*EFEITO!$Z$201</f>
        <v>0</v>
      </c>
      <c r="O201" s="72">
        <f>$L$201-EFEITO!$O$201*EFEITO!$AA$201</f>
        <v>0</v>
      </c>
      <c r="P201" s="56"/>
      <c r="Q201" s="56"/>
      <c r="R201" s="56"/>
      <c r="S201" s="56"/>
      <c r="T201" s="56"/>
      <c r="U201" s="56"/>
      <c r="V201" s="56"/>
      <c r="W201" s="56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</row>
    <row r="202" spans="1:36" ht="11.25" customHeight="1" x14ac:dyDescent="0.2">
      <c r="A202" s="52" t="s">
        <v>21</v>
      </c>
      <c r="B202" s="52" t="s">
        <v>22</v>
      </c>
      <c r="C202" s="52" t="s">
        <v>37</v>
      </c>
      <c r="D202" s="52" t="s">
        <v>24</v>
      </c>
      <c r="E202" s="52" t="s">
        <v>24</v>
      </c>
      <c r="F202" s="52" t="s">
        <v>25</v>
      </c>
      <c r="G202" s="52" t="s">
        <v>25</v>
      </c>
      <c r="H202" s="52" t="s">
        <v>35</v>
      </c>
      <c r="I202" s="71">
        <v>44440</v>
      </c>
      <c r="J202" s="72">
        <f>EFEITO!$J$202*EFEITO!$Y$202</f>
        <v>0</v>
      </c>
      <c r="K202" s="72">
        <f ca="1">EFEITO!$L$202*EFEITO!$Z$202</f>
        <v>410.08343371252539</v>
      </c>
      <c r="L202" s="72">
        <f>EFEITO!$N$202*EFEITO!$AA$202</f>
        <v>46.422959271589662</v>
      </c>
      <c r="M202" s="72">
        <f>$J$202-EFEITO!$K$202*EFEITO!$Y$202</f>
        <v>0</v>
      </c>
      <c r="N202" s="72">
        <f ca="1">$K$202-EFEITO!$M$202*EFEITO!$Z$202</f>
        <v>0</v>
      </c>
      <c r="O202" s="72">
        <f>$L$202-EFEITO!$O$202*EFEITO!$AA$202</f>
        <v>0</v>
      </c>
      <c r="P202" s="56"/>
      <c r="Q202" s="56"/>
      <c r="R202" s="56"/>
      <c r="S202" s="56"/>
      <c r="T202" s="56"/>
      <c r="U202" s="56"/>
      <c r="V202" s="56"/>
      <c r="W202" s="56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</row>
    <row r="203" spans="1:36" ht="11.25" customHeight="1" x14ac:dyDescent="0.2">
      <c r="A203" s="52" t="s">
        <v>21</v>
      </c>
      <c r="B203" s="52" t="s">
        <v>22</v>
      </c>
      <c r="C203" s="52" t="s">
        <v>37</v>
      </c>
      <c r="D203" s="52" t="s">
        <v>24</v>
      </c>
      <c r="E203" s="52" t="s">
        <v>24</v>
      </c>
      <c r="F203" s="52" t="s">
        <v>25</v>
      </c>
      <c r="G203" s="52" t="s">
        <v>25</v>
      </c>
      <c r="H203" s="52" t="s">
        <v>35</v>
      </c>
      <c r="I203" s="71">
        <v>44470</v>
      </c>
      <c r="J203" s="72">
        <f>EFEITO!$J$203*EFEITO!$Y$203</f>
        <v>0</v>
      </c>
      <c r="K203" s="72">
        <f ca="1">EFEITO!$L$203*EFEITO!$Z$203</f>
        <v>311.01833455725244</v>
      </c>
      <c r="L203" s="72">
        <f>EFEITO!$N$203*EFEITO!$AA$203</f>
        <v>35.208424166655085</v>
      </c>
      <c r="M203" s="72">
        <f>$J$203-EFEITO!$K$203*EFEITO!$Y$203</f>
        <v>0</v>
      </c>
      <c r="N203" s="72">
        <f ca="1">$K$203-EFEITO!$M$203*EFEITO!$Z$203</f>
        <v>0</v>
      </c>
      <c r="O203" s="72">
        <f>$L$203-EFEITO!$O$203*EFEITO!$AA$203</f>
        <v>0</v>
      </c>
      <c r="P203" s="56"/>
      <c r="Q203" s="56"/>
      <c r="R203" s="56"/>
      <c r="S203" s="56"/>
      <c r="T203" s="56"/>
      <c r="U203" s="56"/>
      <c r="V203" s="56"/>
      <c r="W203" s="56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</row>
    <row r="204" spans="1:36" ht="11.25" customHeight="1" x14ac:dyDescent="0.2">
      <c r="A204" s="52" t="s">
        <v>21</v>
      </c>
      <c r="B204" s="52" t="s">
        <v>22</v>
      </c>
      <c r="C204" s="52" t="s">
        <v>37</v>
      </c>
      <c r="D204" s="52" t="s">
        <v>24</v>
      </c>
      <c r="E204" s="52" t="s">
        <v>24</v>
      </c>
      <c r="F204" s="52" t="s">
        <v>25</v>
      </c>
      <c r="G204" s="52" t="s">
        <v>25</v>
      </c>
      <c r="H204" s="52" t="s">
        <v>35</v>
      </c>
      <c r="I204" s="71">
        <v>44501</v>
      </c>
      <c r="J204" s="72">
        <f>EFEITO!$J$204*EFEITO!$Y$204</f>
        <v>0</v>
      </c>
      <c r="K204" s="72">
        <f ca="1">EFEITO!$L$204*EFEITO!$Z$204</f>
        <v>1297.0616470795044</v>
      </c>
      <c r="L204" s="72">
        <f>EFEITO!$N$204*EFEITO!$AA$204</f>
        <v>146.83216893205045</v>
      </c>
      <c r="M204" s="72">
        <f>$J$204-EFEITO!$K$204*EFEITO!$Y$204</f>
        <v>0</v>
      </c>
      <c r="N204" s="72">
        <f ca="1">$K$204-EFEITO!$M$204*EFEITO!$Z$204</f>
        <v>0</v>
      </c>
      <c r="O204" s="72">
        <f>$L$204-EFEITO!$O$204*EFEITO!$AA$204</f>
        <v>0</v>
      </c>
      <c r="P204" s="56"/>
      <c r="Q204" s="56"/>
      <c r="R204" s="56"/>
      <c r="S204" s="56"/>
      <c r="T204" s="56"/>
      <c r="U204" s="56"/>
      <c r="V204" s="56"/>
      <c r="W204" s="56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</row>
    <row r="205" spans="1:36" ht="11.25" customHeight="1" x14ac:dyDescent="0.2">
      <c r="A205" s="52" t="s">
        <v>21</v>
      </c>
      <c r="B205" s="52" t="s">
        <v>22</v>
      </c>
      <c r="C205" s="52" t="s">
        <v>37</v>
      </c>
      <c r="D205" s="52" t="s">
        <v>24</v>
      </c>
      <c r="E205" s="52" t="s">
        <v>24</v>
      </c>
      <c r="F205" s="52" t="s">
        <v>25</v>
      </c>
      <c r="G205" s="52" t="s">
        <v>25</v>
      </c>
      <c r="H205" s="52" t="s">
        <v>35</v>
      </c>
      <c r="I205" s="71">
        <v>44531</v>
      </c>
      <c r="J205" s="72">
        <f>EFEITO!$J$205*EFEITO!$Y$205</f>
        <v>0</v>
      </c>
      <c r="K205" s="72">
        <f ca="1">EFEITO!$L$205*EFEITO!$Z$205</f>
        <v>264.94154425247427</v>
      </c>
      <c r="L205" s="72">
        <f>EFEITO!$N$205*EFEITO!$AA$205</f>
        <v>29.992361327150629</v>
      </c>
      <c r="M205" s="72">
        <f>$J$205-EFEITO!$K$205*EFEITO!$Y$205</f>
        <v>0</v>
      </c>
      <c r="N205" s="72">
        <f ca="1">$K$205-EFEITO!$M$205*EFEITO!$Z$205</f>
        <v>0</v>
      </c>
      <c r="O205" s="72">
        <f>$L$205-EFEITO!$O$205*EFEITO!$AA$205</f>
        <v>0</v>
      </c>
      <c r="P205" s="56"/>
      <c r="Q205" s="56"/>
      <c r="R205" s="56"/>
      <c r="S205" s="56"/>
      <c r="T205" s="56"/>
      <c r="U205" s="56"/>
      <c r="V205" s="56"/>
      <c r="W205" s="56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</row>
    <row r="206" spans="1:36" ht="11.25" customHeight="1" x14ac:dyDescent="0.2">
      <c r="A206" s="52" t="s">
        <v>28</v>
      </c>
      <c r="B206" s="52" t="s">
        <v>22</v>
      </c>
      <c r="C206" s="52" t="s">
        <v>37</v>
      </c>
      <c r="D206" s="52" t="s">
        <v>24</v>
      </c>
      <c r="E206" s="52" t="s">
        <v>24</v>
      </c>
      <c r="F206" s="52" t="s">
        <v>25</v>
      </c>
      <c r="G206" s="52" t="s">
        <v>25</v>
      </c>
      <c r="H206" s="52" t="s">
        <v>35</v>
      </c>
      <c r="I206" s="71">
        <v>44531</v>
      </c>
      <c r="J206" s="72">
        <f>EFEITO!$J$206*EFEITO!$Y$206</f>
        <v>0</v>
      </c>
      <c r="K206" s="72">
        <f ca="1">EFEITO!$L$206*EFEITO!$Z$206</f>
        <v>94.457420124795178</v>
      </c>
      <c r="L206" s="72">
        <f>EFEITO!$N$206*EFEITO!$AA$206</f>
        <v>10.692928820984138</v>
      </c>
      <c r="M206" s="72">
        <f>$J$206-EFEITO!$K$206*EFEITO!$Y$206</f>
        <v>0</v>
      </c>
      <c r="N206" s="72">
        <f ca="1">$K$206-EFEITO!$M$206*EFEITO!$Z$206</f>
        <v>0</v>
      </c>
      <c r="O206" s="72">
        <f>$L$206-EFEITO!$O$206*EFEITO!$AA$206</f>
        <v>0</v>
      </c>
      <c r="P206" s="56"/>
      <c r="Q206" s="56"/>
      <c r="R206" s="56"/>
      <c r="S206" s="56"/>
      <c r="T206" s="56"/>
      <c r="U206" s="56"/>
      <c r="V206" s="56"/>
      <c r="W206" s="56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</row>
    <row r="207" spans="1:36" ht="11.25" customHeight="1" x14ac:dyDescent="0.2">
      <c r="A207" s="52" t="s">
        <v>21</v>
      </c>
      <c r="B207" s="52" t="s">
        <v>22</v>
      </c>
      <c r="C207" s="52" t="s">
        <v>37</v>
      </c>
      <c r="D207" s="52" t="s">
        <v>24</v>
      </c>
      <c r="E207" s="52" t="s">
        <v>24</v>
      </c>
      <c r="F207" s="52" t="s">
        <v>25</v>
      </c>
      <c r="G207" s="52" t="s">
        <v>25</v>
      </c>
      <c r="H207" s="52" t="s">
        <v>35</v>
      </c>
      <c r="I207" s="71">
        <v>44562</v>
      </c>
      <c r="J207" s="72">
        <f>EFEITO!$J$207*EFEITO!$Y$207</f>
        <v>0</v>
      </c>
      <c r="K207" s="72">
        <f ca="1">EFEITO!$L$207*EFEITO!$Z$207</f>
        <v>364.00664340774728</v>
      </c>
      <c r="L207" s="72">
        <f>EFEITO!$N$207*EFEITO!$AA$207</f>
        <v>41.206896432085209</v>
      </c>
      <c r="M207" s="72">
        <f>$J$207-EFEITO!$K$207*EFEITO!$Y$207</f>
        <v>0</v>
      </c>
      <c r="N207" s="72">
        <f ca="1">$K$207-EFEITO!$M$207*EFEITO!$Z$207</f>
        <v>0</v>
      </c>
      <c r="O207" s="72">
        <f>$L$207-EFEITO!$O$207*EFEITO!$AA$207</f>
        <v>0</v>
      </c>
      <c r="P207" s="56"/>
      <c r="Q207" s="56"/>
      <c r="R207" s="56"/>
      <c r="S207" s="56"/>
      <c r="T207" s="56"/>
      <c r="U207" s="56"/>
      <c r="V207" s="56"/>
      <c r="W207" s="56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</row>
    <row r="208" spans="1:36" ht="11.25" customHeight="1" x14ac:dyDescent="0.2">
      <c r="A208" s="52" t="s">
        <v>21</v>
      </c>
      <c r="B208" s="52" t="s">
        <v>22</v>
      </c>
      <c r="C208" s="52" t="s">
        <v>37</v>
      </c>
      <c r="D208" s="52" t="s">
        <v>24</v>
      </c>
      <c r="E208" s="52" t="s">
        <v>24</v>
      </c>
      <c r="F208" s="52" t="s">
        <v>25</v>
      </c>
      <c r="G208" s="52" t="s">
        <v>25</v>
      </c>
      <c r="H208" s="52" t="s">
        <v>35</v>
      </c>
      <c r="I208" s="71">
        <v>44593</v>
      </c>
      <c r="J208" s="72">
        <f>EFEITO!$J$208*EFEITO!$Y$208</f>
        <v>0</v>
      </c>
      <c r="K208" s="72">
        <f ca="1">EFEITO!$L$208*EFEITO!$Z$208</f>
        <v>297.19529746581895</v>
      </c>
      <c r="L208" s="72">
        <f>EFEITO!$N$208*EFEITO!$AA$208</f>
        <v>33.64360531480375</v>
      </c>
      <c r="M208" s="72">
        <f>$J$208-EFEITO!$K$208*EFEITO!$Y$208</f>
        <v>0</v>
      </c>
      <c r="N208" s="72">
        <f ca="1">$K$208-EFEITO!$M$208*EFEITO!$Z$208</f>
        <v>0</v>
      </c>
      <c r="O208" s="72">
        <f>$L$208-EFEITO!$O$208*EFEITO!$AA$208</f>
        <v>0</v>
      </c>
      <c r="P208" s="56"/>
      <c r="Q208" s="56"/>
      <c r="R208" s="56"/>
      <c r="S208" s="56"/>
      <c r="T208" s="56"/>
      <c r="U208" s="56"/>
      <c r="V208" s="56"/>
      <c r="W208" s="56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</row>
    <row r="209" spans="1:36" ht="11.25" customHeight="1" x14ac:dyDescent="0.2">
      <c r="A209" s="52" t="s">
        <v>21</v>
      </c>
      <c r="B209" s="52" t="s">
        <v>22</v>
      </c>
      <c r="C209" s="52" t="s">
        <v>37</v>
      </c>
      <c r="D209" s="52" t="s">
        <v>24</v>
      </c>
      <c r="E209" s="52" t="s">
        <v>24</v>
      </c>
      <c r="F209" s="52" t="s">
        <v>25</v>
      </c>
      <c r="G209" s="52" t="s">
        <v>25</v>
      </c>
      <c r="H209" s="52" t="s">
        <v>35</v>
      </c>
      <c r="I209" s="71">
        <v>44621</v>
      </c>
      <c r="J209" s="72">
        <f>EFEITO!$J$209*EFEITO!$Y$209</f>
        <v>0</v>
      </c>
      <c r="K209" s="72">
        <f ca="1">EFEITO!$L$209*EFEITO!$Z$209</f>
        <v>375.52584098394181</v>
      </c>
      <c r="L209" s="72">
        <f>EFEITO!$N$209*EFEITO!$AA$209</f>
        <v>42.510912141961327</v>
      </c>
      <c r="M209" s="72">
        <f>$J$209-EFEITO!$K$209*EFEITO!$Y$209</f>
        <v>0</v>
      </c>
      <c r="N209" s="72">
        <f ca="1">$K$209-EFEITO!$M$209*EFEITO!$Z$209</f>
        <v>0</v>
      </c>
      <c r="O209" s="72">
        <f>$L$209-EFEITO!$O$209*EFEITO!$AA$209</f>
        <v>0</v>
      </c>
      <c r="P209" s="56"/>
      <c r="Q209" s="56"/>
      <c r="R209" s="56"/>
      <c r="S209" s="56"/>
      <c r="T209" s="56"/>
      <c r="U209" s="56"/>
      <c r="V209" s="56"/>
      <c r="W209" s="56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</row>
    <row r="210" spans="1:36" ht="11.25" customHeight="1" x14ac:dyDescent="0.2">
      <c r="A210" s="52" t="s">
        <v>21</v>
      </c>
      <c r="B210" s="52" t="s">
        <v>22</v>
      </c>
      <c r="C210" s="52" t="s">
        <v>23</v>
      </c>
      <c r="D210" s="52" t="s">
        <v>24</v>
      </c>
      <c r="E210" s="52" t="s">
        <v>24</v>
      </c>
      <c r="F210" s="52" t="s">
        <v>25</v>
      </c>
      <c r="G210" s="52" t="s">
        <v>25</v>
      </c>
      <c r="H210" s="52" t="s">
        <v>25</v>
      </c>
      <c r="I210" s="71">
        <v>44287</v>
      </c>
      <c r="J210" s="72">
        <f>EFEITO!$J$210*EFEITO!$Y$210</f>
        <v>0</v>
      </c>
      <c r="K210" s="72">
        <f ca="1">EFEITO!$L$210*EFEITO!$Z$210</f>
        <v>2429225.8093228312</v>
      </c>
      <c r="L210" s="72">
        <f>EFEITO!$N$210*EFEITO!$AA$210</f>
        <v>653465.74450169865</v>
      </c>
      <c r="M210" s="72">
        <f>$J$210-EFEITO!$K$210*EFEITO!$Y$210</f>
        <v>0</v>
      </c>
      <c r="N210" s="72">
        <f ca="1">$K$210-EFEITO!$M$210*EFEITO!$Z$210</f>
        <v>0</v>
      </c>
      <c r="O210" s="72">
        <f>$L$210-EFEITO!$O$210*EFEITO!$AA$210</f>
        <v>0</v>
      </c>
      <c r="P210" s="56"/>
      <c r="Q210" s="56"/>
      <c r="R210" s="56"/>
      <c r="S210" s="56"/>
      <c r="T210" s="56"/>
      <c r="U210" s="56"/>
      <c r="V210" s="56"/>
      <c r="W210" s="56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</row>
    <row r="211" spans="1:36" ht="11.25" customHeight="1" x14ac:dyDescent="0.2">
      <c r="A211" s="52" t="s">
        <v>27</v>
      </c>
      <c r="B211" s="52" t="s">
        <v>22</v>
      </c>
      <c r="C211" s="52" t="s">
        <v>23</v>
      </c>
      <c r="D211" s="52" t="s">
        <v>24</v>
      </c>
      <c r="E211" s="52" t="s">
        <v>24</v>
      </c>
      <c r="F211" s="52" t="s">
        <v>25</v>
      </c>
      <c r="G211" s="52" t="s">
        <v>25</v>
      </c>
      <c r="H211" s="52" t="s">
        <v>25</v>
      </c>
      <c r="I211" s="71">
        <v>44287</v>
      </c>
      <c r="J211" s="72">
        <f>EFEITO!$J$211*EFEITO!$Y$211</f>
        <v>0</v>
      </c>
      <c r="K211" s="72">
        <f ca="1">EFEITO!$L$211*EFEITO!$Z$211</f>
        <v>-1448.4665723954477</v>
      </c>
      <c r="L211" s="72">
        <f>EFEITO!$N$211*EFEITO!$AA$211</f>
        <v>-389.63989411098294</v>
      </c>
      <c r="M211" s="72">
        <f>$J$211-EFEITO!$K$211*EFEITO!$Y$211</f>
        <v>0</v>
      </c>
      <c r="N211" s="72">
        <f ca="1">$K$211-EFEITO!$M$211*EFEITO!$Z$211</f>
        <v>0</v>
      </c>
      <c r="O211" s="72">
        <f>$L$211-EFEITO!$O$211*EFEITO!$AA$211</f>
        <v>0</v>
      </c>
      <c r="P211" s="56"/>
      <c r="Q211" s="56"/>
      <c r="R211" s="56"/>
      <c r="S211" s="56"/>
      <c r="T211" s="56"/>
      <c r="U211" s="56"/>
      <c r="V211" s="56"/>
      <c r="W211" s="56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</row>
    <row r="212" spans="1:36" ht="11.25" customHeight="1" x14ac:dyDescent="0.2">
      <c r="A212" s="52" t="s">
        <v>28</v>
      </c>
      <c r="B212" s="52" t="s">
        <v>22</v>
      </c>
      <c r="C212" s="52" t="s">
        <v>23</v>
      </c>
      <c r="D212" s="52" t="s">
        <v>24</v>
      </c>
      <c r="E212" s="52" t="s">
        <v>24</v>
      </c>
      <c r="F212" s="52" t="s">
        <v>25</v>
      </c>
      <c r="G212" s="52" t="s">
        <v>25</v>
      </c>
      <c r="H212" s="52" t="s">
        <v>25</v>
      </c>
      <c r="I212" s="71">
        <v>44287</v>
      </c>
      <c r="J212" s="72">
        <f>EFEITO!$J$212*EFEITO!$Y$212</f>
        <v>0</v>
      </c>
      <c r="K212" s="72">
        <f ca="1">EFEITO!$L$212*EFEITO!$Z$212</f>
        <v>17106.254486844227</v>
      </c>
      <c r="L212" s="72">
        <f>EFEITO!$N$212*EFEITO!$AA$212</f>
        <v>4601.6106370108319</v>
      </c>
      <c r="M212" s="72">
        <f>$J$212-EFEITO!$K$212*EFEITO!$Y$212</f>
        <v>0</v>
      </c>
      <c r="N212" s="72">
        <f ca="1">$K$212-EFEITO!$M$212*EFEITO!$Z$212</f>
        <v>0</v>
      </c>
      <c r="O212" s="72">
        <f>$L$212-EFEITO!$O$212*EFEITO!$AA$212</f>
        <v>0</v>
      </c>
      <c r="P212" s="56"/>
      <c r="Q212" s="56"/>
      <c r="R212" s="56"/>
      <c r="S212" s="56"/>
      <c r="T212" s="56"/>
      <c r="U212" s="56"/>
      <c r="V212" s="56"/>
      <c r="W212" s="56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</row>
    <row r="213" spans="1:36" ht="11.25" customHeight="1" x14ac:dyDescent="0.2">
      <c r="A213" s="52" t="s">
        <v>21</v>
      </c>
      <c r="B213" s="52" t="s">
        <v>22</v>
      </c>
      <c r="C213" s="52" t="s">
        <v>23</v>
      </c>
      <c r="D213" s="52" t="s">
        <v>24</v>
      </c>
      <c r="E213" s="52" t="s">
        <v>24</v>
      </c>
      <c r="F213" s="52" t="s">
        <v>25</v>
      </c>
      <c r="G213" s="52" t="s">
        <v>25</v>
      </c>
      <c r="H213" s="52" t="s">
        <v>25</v>
      </c>
      <c r="I213" s="71">
        <v>44317</v>
      </c>
      <c r="J213" s="72">
        <f>EFEITO!$J$213*EFEITO!$Y$213</f>
        <v>0</v>
      </c>
      <c r="K213" s="72">
        <f ca="1">EFEITO!$L$213*EFEITO!$Z$213</f>
        <v>2082493.5488014598</v>
      </c>
      <c r="L213" s="72">
        <f>EFEITO!$N$213*EFEITO!$AA$213</f>
        <v>560194.19523081568</v>
      </c>
      <c r="M213" s="72">
        <f>$J$213-EFEITO!$K$213*EFEITO!$Y$213</f>
        <v>0</v>
      </c>
      <c r="N213" s="72">
        <f ca="1">$K$213-EFEITO!$M$213*EFEITO!$Z$213</f>
        <v>0</v>
      </c>
      <c r="O213" s="72">
        <f>$L$213-EFEITO!$O$213*EFEITO!$AA$213</f>
        <v>0</v>
      </c>
      <c r="P213" s="56"/>
      <c r="Q213" s="56"/>
      <c r="R213" s="56"/>
      <c r="S213" s="56"/>
      <c r="T213" s="56"/>
      <c r="U213" s="56"/>
      <c r="V213" s="56"/>
      <c r="W213" s="56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</row>
    <row r="214" spans="1:36" ht="11.25" customHeight="1" x14ac:dyDescent="0.2">
      <c r="A214" s="52" t="s">
        <v>27</v>
      </c>
      <c r="B214" s="52" t="s">
        <v>22</v>
      </c>
      <c r="C214" s="52" t="s">
        <v>23</v>
      </c>
      <c r="D214" s="52" t="s">
        <v>24</v>
      </c>
      <c r="E214" s="52" t="s">
        <v>24</v>
      </c>
      <c r="F214" s="52" t="s">
        <v>25</v>
      </c>
      <c r="G214" s="52" t="s">
        <v>25</v>
      </c>
      <c r="H214" s="52" t="s">
        <v>25</v>
      </c>
      <c r="I214" s="71">
        <v>44317</v>
      </c>
      <c r="J214" s="72">
        <f>EFEITO!$J$214*EFEITO!$Y$214</f>
        <v>0</v>
      </c>
      <c r="K214" s="72">
        <f ca="1">EFEITO!$L$214*EFEITO!$Z$214</f>
        <v>-3391.3896052471728</v>
      </c>
      <c r="L214" s="72">
        <f>EFEITO!$N$214*EFEITO!$AA$214</f>
        <v>-912.28939062932955</v>
      </c>
      <c r="M214" s="72">
        <f>$J$214-EFEITO!$K$214*EFEITO!$Y$214</f>
        <v>0</v>
      </c>
      <c r="N214" s="72">
        <f ca="1">$K$214-EFEITO!$M$214*EFEITO!$Z$214</f>
        <v>0</v>
      </c>
      <c r="O214" s="72">
        <f>$L$214-EFEITO!$O$214*EFEITO!$AA$214</f>
        <v>0</v>
      </c>
      <c r="P214" s="56"/>
      <c r="Q214" s="56"/>
      <c r="R214" s="56"/>
      <c r="S214" s="56"/>
      <c r="T214" s="56"/>
      <c r="U214" s="56"/>
      <c r="V214" s="56"/>
      <c r="W214" s="56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</row>
    <row r="215" spans="1:36" ht="11.25" customHeight="1" x14ac:dyDescent="0.2">
      <c r="A215" s="52" t="s">
        <v>28</v>
      </c>
      <c r="B215" s="52" t="s">
        <v>22</v>
      </c>
      <c r="C215" s="52" t="s">
        <v>23</v>
      </c>
      <c r="D215" s="52" t="s">
        <v>24</v>
      </c>
      <c r="E215" s="52" t="s">
        <v>24</v>
      </c>
      <c r="F215" s="52" t="s">
        <v>25</v>
      </c>
      <c r="G215" s="52" t="s">
        <v>25</v>
      </c>
      <c r="H215" s="52" t="s">
        <v>25</v>
      </c>
      <c r="I215" s="71">
        <v>44317</v>
      </c>
      <c r="J215" s="72">
        <f>EFEITO!$J$215*EFEITO!$Y$215</f>
        <v>0</v>
      </c>
      <c r="K215" s="72">
        <f ca="1">EFEITO!$L$215*EFEITO!$Z$215</f>
        <v>16310.27653775677</v>
      </c>
      <c r="L215" s="72">
        <f>EFEITO!$N$215*EFEITO!$AA$215</f>
        <v>4387.4912574491736</v>
      </c>
      <c r="M215" s="72">
        <f>$J$215-EFEITO!$K$215*EFEITO!$Y$215</f>
        <v>0</v>
      </c>
      <c r="N215" s="72">
        <f ca="1">$K$215-EFEITO!$M$215*EFEITO!$Z$215</f>
        <v>0</v>
      </c>
      <c r="O215" s="72">
        <f>$L$215-EFEITO!$O$215*EFEITO!$AA$215</f>
        <v>0</v>
      </c>
      <c r="P215" s="56"/>
      <c r="Q215" s="56"/>
      <c r="R215" s="56"/>
      <c r="S215" s="56"/>
      <c r="T215" s="56"/>
      <c r="U215" s="56"/>
      <c r="V215" s="56"/>
      <c r="W215" s="56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</row>
    <row r="216" spans="1:36" ht="11.25" customHeight="1" x14ac:dyDescent="0.2">
      <c r="A216" s="52" t="s">
        <v>21</v>
      </c>
      <c r="B216" s="52" t="s">
        <v>22</v>
      </c>
      <c r="C216" s="52" t="s">
        <v>23</v>
      </c>
      <c r="D216" s="52" t="s">
        <v>24</v>
      </c>
      <c r="E216" s="52" t="s">
        <v>24</v>
      </c>
      <c r="F216" s="52" t="s">
        <v>25</v>
      </c>
      <c r="G216" s="52" t="s">
        <v>25</v>
      </c>
      <c r="H216" s="52" t="s">
        <v>25</v>
      </c>
      <c r="I216" s="71">
        <v>44348</v>
      </c>
      <c r="J216" s="72">
        <f>EFEITO!$J$216*EFEITO!$Y$216</f>
        <v>0</v>
      </c>
      <c r="K216" s="72">
        <f ca="1">EFEITO!$L$216*EFEITO!$Z$216</f>
        <v>2041876.3743811552</v>
      </c>
      <c r="L216" s="72">
        <f>EFEITO!$N$216*EFEITO!$AA$216</f>
        <v>549268.10840090574</v>
      </c>
      <c r="M216" s="72">
        <f>$J$216-EFEITO!$K$216*EFEITO!$Y$216</f>
        <v>0</v>
      </c>
      <c r="N216" s="72">
        <f ca="1">$K$216-EFEITO!$M$216*EFEITO!$Z$216</f>
        <v>0</v>
      </c>
      <c r="O216" s="72">
        <f>$L$216-EFEITO!$O$216*EFEITO!$AA$216</f>
        <v>0</v>
      </c>
      <c r="P216" s="56"/>
      <c r="Q216" s="56"/>
      <c r="R216" s="56"/>
      <c r="S216" s="56"/>
      <c r="T216" s="56"/>
      <c r="U216" s="56"/>
      <c r="V216" s="56"/>
      <c r="W216" s="56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</row>
    <row r="217" spans="1:36" ht="11.25" customHeight="1" x14ac:dyDescent="0.2">
      <c r="A217" s="52" t="s">
        <v>27</v>
      </c>
      <c r="B217" s="52" t="s">
        <v>22</v>
      </c>
      <c r="C217" s="52" t="s">
        <v>23</v>
      </c>
      <c r="D217" s="52" t="s">
        <v>24</v>
      </c>
      <c r="E217" s="52" t="s">
        <v>24</v>
      </c>
      <c r="F217" s="52" t="s">
        <v>25</v>
      </c>
      <c r="G217" s="52" t="s">
        <v>25</v>
      </c>
      <c r="H217" s="52" t="s">
        <v>25</v>
      </c>
      <c r="I217" s="71">
        <v>44348</v>
      </c>
      <c r="J217" s="72">
        <f>EFEITO!$J$217*EFEITO!$Y$217</f>
        <v>0</v>
      </c>
      <c r="K217" s="72">
        <f ca="1">EFEITO!$L$217*EFEITO!$Z$217</f>
        <v>-6118.656317528561</v>
      </c>
      <c r="L217" s="72">
        <f>EFEITO!$N$217*EFEITO!$AA$217</f>
        <v>-1645.9286290056314</v>
      </c>
      <c r="M217" s="72">
        <f>$J$217-EFEITO!$K$217*EFEITO!$Y$217</f>
        <v>0</v>
      </c>
      <c r="N217" s="72">
        <f ca="1">$K$217-EFEITO!$M$217*EFEITO!$Z$217</f>
        <v>0</v>
      </c>
      <c r="O217" s="72">
        <f>$L$217-EFEITO!$O$217*EFEITO!$AA$217</f>
        <v>0</v>
      </c>
      <c r="P217" s="56"/>
      <c r="Q217" s="56"/>
      <c r="R217" s="56"/>
      <c r="S217" s="56"/>
      <c r="T217" s="56"/>
      <c r="U217" s="56"/>
      <c r="V217" s="56"/>
      <c r="W217" s="56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</row>
    <row r="218" spans="1:36" ht="11.25" customHeight="1" x14ac:dyDescent="0.2">
      <c r="A218" s="52" t="s">
        <v>28</v>
      </c>
      <c r="B218" s="52" t="s">
        <v>22</v>
      </c>
      <c r="C218" s="52" t="s">
        <v>23</v>
      </c>
      <c r="D218" s="52" t="s">
        <v>24</v>
      </c>
      <c r="E218" s="52" t="s">
        <v>24</v>
      </c>
      <c r="F218" s="52" t="s">
        <v>25</v>
      </c>
      <c r="G218" s="52" t="s">
        <v>25</v>
      </c>
      <c r="H218" s="52" t="s">
        <v>25</v>
      </c>
      <c r="I218" s="71">
        <v>44348</v>
      </c>
      <c r="J218" s="72">
        <f>EFEITO!$J$218*EFEITO!$Y$218</f>
        <v>0</v>
      </c>
      <c r="K218" s="72">
        <f ca="1">EFEITO!$L$218*EFEITO!$Z$218</f>
        <v>22455.109962015373</v>
      </c>
      <c r="L218" s="72">
        <f>EFEITO!$N$218*EFEITO!$AA$218</f>
        <v>6040.4615712881368</v>
      </c>
      <c r="M218" s="72">
        <f>$J$218-EFEITO!$K$218*EFEITO!$Y$218</f>
        <v>0</v>
      </c>
      <c r="N218" s="72">
        <f ca="1">$K$218-EFEITO!$M$218*EFEITO!$Z$218</f>
        <v>0</v>
      </c>
      <c r="O218" s="72">
        <f>$L$218-EFEITO!$O$218*EFEITO!$AA$218</f>
        <v>0</v>
      </c>
      <c r="P218" s="56"/>
      <c r="Q218" s="56"/>
      <c r="R218" s="56"/>
      <c r="S218" s="56"/>
      <c r="T218" s="56"/>
      <c r="U218" s="56"/>
      <c r="V218" s="56"/>
      <c r="W218" s="56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</row>
    <row r="219" spans="1:36" ht="11.25" customHeight="1" x14ac:dyDescent="0.2">
      <c r="A219" s="52" t="s">
        <v>21</v>
      </c>
      <c r="B219" s="52" t="s">
        <v>22</v>
      </c>
      <c r="C219" s="52" t="s">
        <v>23</v>
      </c>
      <c r="D219" s="52" t="s">
        <v>24</v>
      </c>
      <c r="E219" s="52" t="s">
        <v>24</v>
      </c>
      <c r="F219" s="52" t="s">
        <v>25</v>
      </c>
      <c r="G219" s="52" t="s">
        <v>25</v>
      </c>
      <c r="H219" s="52" t="s">
        <v>25</v>
      </c>
      <c r="I219" s="71">
        <v>44378</v>
      </c>
      <c r="J219" s="72">
        <f>EFEITO!$J$219*EFEITO!$Y$219</f>
        <v>0</v>
      </c>
      <c r="K219" s="72">
        <f ca="1">EFEITO!$L$219*EFEITO!$Z$219</f>
        <v>1818609.8920357164</v>
      </c>
      <c r="L219" s="72">
        <f>EFEITO!$N$219*EFEITO!$AA$219</f>
        <v>489209.0568511415</v>
      </c>
      <c r="M219" s="72">
        <f>$J$219-EFEITO!$K$219*EFEITO!$Y$219</f>
        <v>0</v>
      </c>
      <c r="N219" s="72">
        <f ca="1">$K$219-EFEITO!$M$219*EFEITO!$Z$219</f>
        <v>0</v>
      </c>
      <c r="O219" s="72">
        <f>$L$219-EFEITO!$O$219*EFEITO!$AA$219</f>
        <v>0</v>
      </c>
      <c r="P219" s="56"/>
      <c r="Q219" s="56"/>
      <c r="R219" s="56"/>
      <c r="S219" s="56"/>
      <c r="T219" s="56"/>
      <c r="U219" s="56"/>
      <c r="V219" s="56"/>
      <c r="W219" s="56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</row>
    <row r="220" spans="1:36" ht="11.25" customHeight="1" x14ac:dyDescent="0.2">
      <c r="A220" s="52" t="s">
        <v>27</v>
      </c>
      <c r="B220" s="52" t="s">
        <v>22</v>
      </c>
      <c r="C220" s="52" t="s">
        <v>23</v>
      </c>
      <c r="D220" s="52" t="s">
        <v>24</v>
      </c>
      <c r="E220" s="52" t="s">
        <v>24</v>
      </c>
      <c r="F220" s="52" t="s">
        <v>25</v>
      </c>
      <c r="G220" s="52" t="s">
        <v>25</v>
      </c>
      <c r="H220" s="52" t="s">
        <v>25</v>
      </c>
      <c r="I220" s="71">
        <v>44378</v>
      </c>
      <c r="J220" s="72">
        <f>EFEITO!$J$220*EFEITO!$Y$220</f>
        <v>0</v>
      </c>
      <c r="K220" s="72">
        <f ca="1">EFEITO!$L$220*EFEITO!$Z$220</f>
        <v>-2368.5433978327164</v>
      </c>
      <c r="L220" s="72">
        <f>EFEITO!$N$220*EFEITO!$AA$220</f>
        <v>-637.14207584546944</v>
      </c>
      <c r="M220" s="72">
        <f>$J$220-EFEITO!$K$220*EFEITO!$Y$220</f>
        <v>0</v>
      </c>
      <c r="N220" s="72">
        <f ca="1">$K$220-EFEITO!$M$220*EFEITO!$Z$220</f>
        <v>0</v>
      </c>
      <c r="O220" s="72">
        <f>$L$220-EFEITO!$O$220*EFEITO!$AA$220</f>
        <v>0</v>
      </c>
      <c r="P220" s="56"/>
      <c r="Q220" s="56"/>
      <c r="R220" s="56"/>
      <c r="S220" s="56"/>
      <c r="T220" s="56"/>
      <c r="U220" s="56"/>
      <c r="V220" s="56"/>
      <c r="W220" s="56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</row>
    <row r="221" spans="1:36" ht="11.25" customHeight="1" x14ac:dyDescent="0.2">
      <c r="A221" s="52" t="s">
        <v>28</v>
      </c>
      <c r="B221" s="52" t="s">
        <v>22</v>
      </c>
      <c r="C221" s="52" t="s">
        <v>23</v>
      </c>
      <c r="D221" s="52" t="s">
        <v>24</v>
      </c>
      <c r="E221" s="52" t="s">
        <v>24</v>
      </c>
      <c r="F221" s="52" t="s">
        <v>25</v>
      </c>
      <c r="G221" s="52" t="s">
        <v>25</v>
      </c>
      <c r="H221" s="52" t="s">
        <v>25</v>
      </c>
      <c r="I221" s="71">
        <v>44378</v>
      </c>
      <c r="J221" s="72">
        <f>EFEITO!$J$221*EFEITO!$Y$221</f>
        <v>0</v>
      </c>
      <c r="K221" s="72">
        <f ca="1">EFEITO!$L$221*EFEITO!$Z$221</f>
        <v>21833.646057794831</v>
      </c>
      <c r="L221" s="72">
        <f>EFEITO!$N$221*EFEITO!$AA$221</f>
        <v>5873.2867572820187</v>
      </c>
      <c r="M221" s="72">
        <f>$J$221-EFEITO!$K$221*EFEITO!$Y$221</f>
        <v>0</v>
      </c>
      <c r="N221" s="72">
        <f ca="1">$K$221-EFEITO!$M$221*EFEITO!$Z$221</f>
        <v>0</v>
      </c>
      <c r="O221" s="72">
        <f>$L$221-EFEITO!$O$221*EFEITO!$AA$221</f>
        <v>0</v>
      </c>
      <c r="P221" s="56"/>
      <c r="Q221" s="56"/>
      <c r="R221" s="56"/>
      <c r="S221" s="56"/>
      <c r="T221" s="56"/>
      <c r="U221" s="56"/>
      <c r="V221" s="56"/>
      <c r="W221" s="56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</row>
    <row r="222" spans="1:36" ht="11.25" customHeight="1" x14ac:dyDescent="0.2">
      <c r="A222" s="52" t="s">
        <v>21</v>
      </c>
      <c r="B222" s="52" t="s">
        <v>22</v>
      </c>
      <c r="C222" s="52" t="s">
        <v>23</v>
      </c>
      <c r="D222" s="52" t="s">
        <v>24</v>
      </c>
      <c r="E222" s="52" t="s">
        <v>24</v>
      </c>
      <c r="F222" s="52" t="s">
        <v>25</v>
      </c>
      <c r="G222" s="52" t="s">
        <v>25</v>
      </c>
      <c r="H222" s="52" t="s">
        <v>25</v>
      </c>
      <c r="I222" s="71">
        <v>44409</v>
      </c>
      <c r="J222" s="72">
        <f>EFEITO!$J$222*EFEITO!$Y$222</f>
        <v>0</v>
      </c>
      <c r="K222" s="72">
        <f ca="1">EFEITO!$L$222*EFEITO!$Z$222</f>
        <v>1822014.8549555643</v>
      </c>
      <c r="L222" s="72">
        <f>EFEITO!$N$222*EFEITO!$AA$222</f>
        <v>490124.9974857585</v>
      </c>
      <c r="M222" s="72">
        <f>$J$222-EFEITO!$K$222*EFEITO!$Y$222</f>
        <v>0</v>
      </c>
      <c r="N222" s="72">
        <f ca="1">$K$222-EFEITO!$M$222*EFEITO!$Z$222</f>
        <v>0</v>
      </c>
      <c r="O222" s="72">
        <f>$L$222-EFEITO!$O$222*EFEITO!$AA$222</f>
        <v>0</v>
      </c>
      <c r="P222" s="56"/>
      <c r="Q222" s="56"/>
      <c r="R222" s="56"/>
      <c r="S222" s="56"/>
      <c r="T222" s="56"/>
      <c r="U222" s="56"/>
      <c r="V222" s="56"/>
      <c r="W222" s="56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</row>
    <row r="223" spans="1:36" ht="11.25" customHeight="1" x14ac:dyDescent="0.2">
      <c r="A223" s="52" t="s">
        <v>27</v>
      </c>
      <c r="B223" s="52" t="s">
        <v>22</v>
      </c>
      <c r="C223" s="52" t="s">
        <v>23</v>
      </c>
      <c r="D223" s="52" t="s">
        <v>24</v>
      </c>
      <c r="E223" s="52" t="s">
        <v>24</v>
      </c>
      <c r="F223" s="52" t="s">
        <v>25</v>
      </c>
      <c r="G223" s="52" t="s">
        <v>25</v>
      </c>
      <c r="H223" s="52" t="s">
        <v>25</v>
      </c>
      <c r="I223" s="71">
        <v>44409</v>
      </c>
      <c r="J223" s="72">
        <f>EFEITO!$J$223*EFEITO!$Y$223</f>
        <v>0</v>
      </c>
      <c r="K223" s="72">
        <f ca="1">EFEITO!$L$223*EFEITO!$Z$223</f>
        <v>-1413.5637634220634</v>
      </c>
      <c r="L223" s="72">
        <f>EFEITO!$N$223*EFEITO!$AA$223</f>
        <v>-380.25098099987491</v>
      </c>
      <c r="M223" s="72">
        <f>$J$223-EFEITO!$K$223*EFEITO!$Y$223</f>
        <v>0</v>
      </c>
      <c r="N223" s="72">
        <f ca="1">$K$223-EFEITO!$M$223*EFEITO!$Z$223</f>
        <v>0</v>
      </c>
      <c r="O223" s="72">
        <f>$L$223-EFEITO!$O$223*EFEITO!$AA$223</f>
        <v>0</v>
      </c>
      <c r="P223" s="56"/>
      <c r="Q223" s="56"/>
      <c r="R223" s="56"/>
      <c r="S223" s="56"/>
      <c r="T223" s="56"/>
      <c r="U223" s="56"/>
      <c r="V223" s="56"/>
      <c r="W223" s="56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</row>
    <row r="224" spans="1:36" ht="11.25" customHeight="1" x14ac:dyDescent="0.2">
      <c r="A224" s="52" t="s">
        <v>28</v>
      </c>
      <c r="B224" s="52" t="s">
        <v>22</v>
      </c>
      <c r="C224" s="52" t="s">
        <v>23</v>
      </c>
      <c r="D224" s="52" t="s">
        <v>24</v>
      </c>
      <c r="E224" s="52" t="s">
        <v>24</v>
      </c>
      <c r="F224" s="52" t="s">
        <v>25</v>
      </c>
      <c r="G224" s="52" t="s">
        <v>25</v>
      </c>
      <c r="H224" s="52" t="s">
        <v>25</v>
      </c>
      <c r="I224" s="71">
        <v>44409</v>
      </c>
      <c r="J224" s="72">
        <f>EFEITO!$J$224*EFEITO!$Y$224</f>
        <v>0</v>
      </c>
      <c r="K224" s="72">
        <f ca="1">EFEITO!$L$224*EFEITO!$Z$224</f>
        <v>21610.655889353766</v>
      </c>
      <c r="L224" s="72">
        <f>EFEITO!$N$224*EFEITO!$AA$224</f>
        <v>5813.3020346277171</v>
      </c>
      <c r="M224" s="72">
        <f>$J$224-EFEITO!$K$224*EFEITO!$Y$224</f>
        <v>0</v>
      </c>
      <c r="N224" s="72">
        <f ca="1">$K$224-EFEITO!$M$224*EFEITO!$Z$224</f>
        <v>0</v>
      </c>
      <c r="O224" s="72">
        <f>$L$224-EFEITO!$O$224*EFEITO!$AA$224</f>
        <v>0</v>
      </c>
      <c r="P224" s="56"/>
      <c r="Q224" s="56"/>
      <c r="R224" s="56"/>
      <c r="S224" s="56"/>
      <c r="T224" s="56"/>
      <c r="U224" s="56"/>
      <c r="V224" s="56"/>
      <c r="W224" s="56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</row>
    <row r="225" spans="1:36" ht="11.25" customHeight="1" x14ac:dyDescent="0.2">
      <c r="A225" s="52" t="s">
        <v>21</v>
      </c>
      <c r="B225" s="52" t="s">
        <v>22</v>
      </c>
      <c r="C225" s="52" t="s">
        <v>23</v>
      </c>
      <c r="D225" s="52" t="s">
        <v>24</v>
      </c>
      <c r="E225" s="52" t="s">
        <v>24</v>
      </c>
      <c r="F225" s="52" t="s">
        <v>25</v>
      </c>
      <c r="G225" s="52" t="s">
        <v>25</v>
      </c>
      <c r="H225" s="52" t="s">
        <v>25</v>
      </c>
      <c r="I225" s="71">
        <v>44440</v>
      </c>
      <c r="J225" s="72">
        <f>EFEITO!$J$225*EFEITO!$Y$225</f>
        <v>0</v>
      </c>
      <c r="K225" s="72">
        <f ca="1">EFEITO!$L$225*EFEITO!$Z$225</f>
        <v>2110718.2869912698</v>
      </c>
      <c r="L225" s="72">
        <f>EFEITO!$N$225*EFEITO!$AA$225</f>
        <v>567786.69629999844</v>
      </c>
      <c r="M225" s="72">
        <f>$J$225-EFEITO!$K$225*EFEITO!$Y$225</f>
        <v>0</v>
      </c>
      <c r="N225" s="72">
        <f ca="1">$K$225-EFEITO!$M$225*EFEITO!$Z$225</f>
        <v>0</v>
      </c>
      <c r="O225" s="72">
        <f>$L$225-EFEITO!$O$225*EFEITO!$AA$225</f>
        <v>0</v>
      </c>
      <c r="P225" s="56"/>
      <c r="Q225" s="56"/>
      <c r="R225" s="56"/>
      <c r="S225" s="56"/>
      <c r="T225" s="56"/>
      <c r="U225" s="56"/>
      <c r="V225" s="56"/>
      <c r="W225" s="56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</row>
    <row r="226" spans="1:36" ht="11.25" customHeight="1" x14ac:dyDescent="0.2">
      <c r="A226" s="52" t="s">
        <v>27</v>
      </c>
      <c r="B226" s="52" t="s">
        <v>22</v>
      </c>
      <c r="C226" s="52" t="s">
        <v>23</v>
      </c>
      <c r="D226" s="52" t="s">
        <v>24</v>
      </c>
      <c r="E226" s="52" t="s">
        <v>24</v>
      </c>
      <c r="F226" s="52" t="s">
        <v>25</v>
      </c>
      <c r="G226" s="52" t="s">
        <v>25</v>
      </c>
      <c r="H226" s="52" t="s">
        <v>25</v>
      </c>
      <c r="I226" s="71">
        <v>44440</v>
      </c>
      <c r="J226" s="72">
        <f>EFEITO!$J$226*EFEITO!$Y$226</f>
        <v>0</v>
      </c>
      <c r="K226" s="72">
        <f ca="1">EFEITO!$L$226*EFEITO!$Z$226</f>
        <v>-1149.8536511787154</v>
      </c>
      <c r="L226" s="72">
        <f>EFEITO!$N$226*EFEITO!$AA$226</f>
        <v>-309.31252638261429</v>
      </c>
      <c r="M226" s="72">
        <f>$J$226-EFEITO!$K$226*EFEITO!$Y$226</f>
        <v>0</v>
      </c>
      <c r="N226" s="72">
        <f ca="1">$K$226-EFEITO!$M$226*EFEITO!$Z$226</f>
        <v>0</v>
      </c>
      <c r="O226" s="72">
        <f>$L$226-EFEITO!$O$226*EFEITO!$AA$226</f>
        <v>0</v>
      </c>
      <c r="P226" s="56"/>
      <c r="Q226" s="56"/>
      <c r="R226" s="56"/>
      <c r="S226" s="56"/>
      <c r="T226" s="56"/>
      <c r="U226" s="56"/>
      <c r="V226" s="56"/>
      <c r="W226" s="56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</row>
    <row r="227" spans="1:36" ht="11.25" customHeight="1" x14ac:dyDescent="0.2">
      <c r="A227" s="52" t="s">
        <v>28</v>
      </c>
      <c r="B227" s="52" t="s">
        <v>22</v>
      </c>
      <c r="C227" s="52" t="s">
        <v>23</v>
      </c>
      <c r="D227" s="52" t="s">
        <v>24</v>
      </c>
      <c r="E227" s="52" t="s">
        <v>24</v>
      </c>
      <c r="F227" s="52" t="s">
        <v>25</v>
      </c>
      <c r="G227" s="52" t="s">
        <v>25</v>
      </c>
      <c r="H227" s="52" t="s">
        <v>25</v>
      </c>
      <c r="I227" s="71">
        <v>44440</v>
      </c>
      <c r="J227" s="72">
        <f>EFEITO!$J$227*EFEITO!$Y$227</f>
        <v>0</v>
      </c>
      <c r="K227" s="72">
        <f ca="1">EFEITO!$L$227*EFEITO!$Z$227</f>
        <v>21817.164175779624</v>
      </c>
      <c r="L227" s="72">
        <f>EFEITO!$N$227*EFEITO!$AA$227</f>
        <v>5868.8531038684396</v>
      </c>
      <c r="M227" s="72">
        <f>$J$227-EFEITO!$K$227*EFEITO!$Y$227</f>
        <v>0</v>
      </c>
      <c r="N227" s="72">
        <f ca="1">$K$227-EFEITO!$M$227*EFEITO!$Z$227</f>
        <v>0</v>
      </c>
      <c r="O227" s="72">
        <f>$L$227-EFEITO!$O$227*EFEITO!$AA$227</f>
        <v>0</v>
      </c>
      <c r="P227" s="56"/>
      <c r="Q227" s="56"/>
      <c r="R227" s="56"/>
      <c r="S227" s="56"/>
      <c r="T227" s="56"/>
      <c r="U227" s="56"/>
      <c r="V227" s="56"/>
      <c r="W227" s="56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</row>
    <row r="228" spans="1:36" ht="11.25" customHeight="1" x14ac:dyDescent="0.2">
      <c r="A228" s="52" t="s">
        <v>28</v>
      </c>
      <c r="B228" s="52" t="s">
        <v>22</v>
      </c>
      <c r="C228" s="52" t="s">
        <v>23</v>
      </c>
      <c r="D228" s="52" t="s">
        <v>24</v>
      </c>
      <c r="E228" s="52" t="s">
        <v>24</v>
      </c>
      <c r="F228" s="52" t="s">
        <v>25</v>
      </c>
      <c r="G228" s="52" t="s">
        <v>25</v>
      </c>
      <c r="H228" s="52" t="s">
        <v>25</v>
      </c>
      <c r="I228" s="71">
        <v>44440</v>
      </c>
      <c r="J228" s="72">
        <f>EFEITO!$J$228*EFEITO!$Y$228</f>
        <v>0</v>
      </c>
      <c r="K228" s="72">
        <f ca="1">EFEITO!$L$228*EFEITO!$Z$228</f>
        <v>700.96474688213425</v>
      </c>
      <c r="L228" s="72">
        <f>EFEITO!$N$228*EFEITO!$AA$228</f>
        <v>188.5606716480861</v>
      </c>
      <c r="M228" s="72">
        <f>$J$228-EFEITO!$K$228*EFEITO!$Y$228</f>
        <v>0</v>
      </c>
      <c r="N228" s="72">
        <f ca="1">$K$228-EFEITO!$M$228*EFEITO!$Z$228</f>
        <v>0</v>
      </c>
      <c r="O228" s="72">
        <f>$L$228-EFEITO!$O$228*EFEITO!$AA$228</f>
        <v>0</v>
      </c>
      <c r="P228" s="56"/>
      <c r="Q228" s="56"/>
      <c r="R228" s="56"/>
      <c r="S228" s="56"/>
      <c r="T228" s="56"/>
      <c r="U228" s="56"/>
      <c r="V228" s="56"/>
      <c r="W228" s="56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</row>
    <row r="229" spans="1:36" ht="11.25" customHeight="1" x14ac:dyDescent="0.2">
      <c r="A229" s="52" t="s">
        <v>21</v>
      </c>
      <c r="B229" s="52" t="s">
        <v>22</v>
      </c>
      <c r="C229" s="52" t="s">
        <v>23</v>
      </c>
      <c r="D229" s="52" t="s">
        <v>24</v>
      </c>
      <c r="E229" s="52" t="s">
        <v>24</v>
      </c>
      <c r="F229" s="52" t="s">
        <v>25</v>
      </c>
      <c r="G229" s="52" t="s">
        <v>25</v>
      </c>
      <c r="H229" s="52" t="s">
        <v>25</v>
      </c>
      <c r="I229" s="71">
        <v>44470</v>
      </c>
      <c r="J229" s="72">
        <f>EFEITO!$J$229*EFEITO!$Y$229</f>
        <v>0</v>
      </c>
      <c r="K229" s="72">
        <f ca="1">EFEITO!$L$229*EFEITO!$Z$229</f>
        <v>1998987.6088101666</v>
      </c>
      <c r="L229" s="72">
        <f>EFEITO!$N$229*EFEITO!$AA$229</f>
        <v>537730.95980934787</v>
      </c>
      <c r="M229" s="72">
        <f>$J$229-EFEITO!$K$229*EFEITO!$Y$229</f>
        <v>0</v>
      </c>
      <c r="N229" s="72">
        <f ca="1">$K$229-EFEITO!$M$229*EFEITO!$Z$229</f>
        <v>0</v>
      </c>
      <c r="O229" s="72">
        <f>$L$229-EFEITO!$O$229*EFEITO!$AA$229</f>
        <v>0</v>
      </c>
      <c r="P229" s="56"/>
      <c r="Q229" s="56"/>
      <c r="R229" s="56"/>
      <c r="S229" s="56"/>
      <c r="T229" s="56"/>
      <c r="U229" s="56"/>
      <c r="V229" s="56"/>
      <c r="W229" s="56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</row>
    <row r="230" spans="1:36" ht="11.25" customHeight="1" x14ac:dyDescent="0.2">
      <c r="A230" s="52" t="s">
        <v>27</v>
      </c>
      <c r="B230" s="52" t="s">
        <v>22</v>
      </c>
      <c r="C230" s="52" t="s">
        <v>23</v>
      </c>
      <c r="D230" s="52" t="s">
        <v>24</v>
      </c>
      <c r="E230" s="52" t="s">
        <v>24</v>
      </c>
      <c r="F230" s="52" t="s">
        <v>25</v>
      </c>
      <c r="G230" s="52" t="s">
        <v>25</v>
      </c>
      <c r="H230" s="52" t="s">
        <v>25</v>
      </c>
      <c r="I230" s="71">
        <v>44470</v>
      </c>
      <c r="J230" s="72">
        <f>EFEITO!$J$230*EFEITO!$Y$230</f>
        <v>0</v>
      </c>
      <c r="K230" s="72">
        <f ca="1">EFEITO!$L$230*EFEITO!$Z$230</f>
        <v>-1859.5441003041958</v>
      </c>
      <c r="L230" s="72">
        <f>EFEITO!$N$230*EFEITO!$AA$230</f>
        <v>-500.22042630847739</v>
      </c>
      <c r="M230" s="72">
        <f>$J$230-EFEITO!$K$230*EFEITO!$Y$230</f>
        <v>0</v>
      </c>
      <c r="N230" s="72">
        <f ca="1">$K$230-EFEITO!$M$230*EFEITO!$Z$230</f>
        <v>0</v>
      </c>
      <c r="O230" s="72">
        <f>$L$230-EFEITO!$O$230*EFEITO!$AA$230</f>
        <v>0</v>
      </c>
      <c r="P230" s="56"/>
      <c r="Q230" s="56"/>
      <c r="R230" s="56"/>
      <c r="S230" s="56"/>
      <c r="T230" s="56"/>
      <c r="U230" s="56"/>
      <c r="V230" s="56"/>
      <c r="W230" s="56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</row>
    <row r="231" spans="1:36" ht="11.25" customHeight="1" x14ac:dyDescent="0.2">
      <c r="A231" s="52" t="s">
        <v>28</v>
      </c>
      <c r="B231" s="52" t="s">
        <v>22</v>
      </c>
      <c r="C231" s="52" t="s">
        <v>23</v>
      </c>
      <c r="D231" s="52" t="s">
        <v>24</v>
      </c>
      <c r="E231" s="52" t="s">
        <v>24</v>
      </c>
      <c r="F231" s="52" t="s">
        <v>25</v>
      </c>
      <c r="G231" s="52" t="s">
        <v>25</v>
      </c>
      <c r="H231" s="52" t="s">
        <v>25</v>
      </c>
      <c r="I231" s="71">
        <v>44470</v>
      </c>
      <c r="J231" s="72">
        <f>EFEITO!$J$231*EFEITO!$Y$231</f>
        <v>0</v>
      </c>
      <c r="K231" s="72">
        <f ca="1">EFEITO!$L$231*EFEITO!$Z$231</f>
        <v>23386.821057110432</v>
      </c>
      <c r="L231" s="72">
        <f>EFEITO!$N$231*EFEITO!$AA$231</f>
        <v>6291.0933907263252</v>
      </c>
      <c r="M231" s="72">
        <f>$J$231-EFEITO!$K$231*EFEITO!$Y$231</f>
        <v>0</v>
      </c>
      <c r="N231" s="72">
        <f ca="1">$K$231-EFEITO!$M$231*EFEITO!$Z$231</f>
        <v>0</v>
      </c>
      <c r="O231" s="72">
        <f>$L$231-EFEITO!$O$231*EFEITO!$AA$231</f>
        <v>0</v>
      </c>
      <c r="P231" s="56"/>
      <c r="Q231" s="56"/>
      <c r="R231" s="56"/>
      <c r="S231" s="56"/>
      <c r="T231" s="56"/>
      <c r="U231" s="56"/>
      <c r="V231" s="56"/>
      <c r="W231" s="56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</row>
    <row r="232" spans="1:36" ht="11.25" customHeight="1" x14ac:dyDescent="0.2">
      <c r="A232" s="52" t="s">
        <v>21</v>
      </c>
      <c r="B232" s="52" t="s">
        <v>22</v>
      </c>
      <c r="C232" s="52" t="s">
        <v>23</v>
      </c>
      <c r="D232" s="52" t="s">
        <v>24</v>
      </c>
      <c r="E232" s="52" t="s">
        <v>24</v>
      </c>
      <c r="F232" s="52" t="s">
        <v>25</v>
      </c>
      <c r="G232" s="52" t="s">
        <v>25</v>
      </c>
      <c r="H232" s="52" t="s">
        <v>25</v>
      </c>
      <c r="I232" s="71">
        <v>44501</v>
      </c>
      <c r="J232" s="72">
        <f>EFEITO!$J$232*EFEITO!$Y$232</f>
        <v>0</v>
      </c>
      <c r="K232" s="72">
        <f ca="1">EFEITO!$L$232*EFEITO!$Z$232</f>
        <v>1980865.294773208</v>
      </c>
      <c r="L232" s="72">
        <f>EFEITO!$N$232*EFEITO!$AA$232</f>
        <v>532856.02747954696</v>
      </c>
      <c r="M232" s="72">
        <f>$J$232-EFEITO!$K$232*EFEITO!$Y$232</f>
        <v>0</v>
      </c>
      <c r="N232" s="72">
        <f ca="1">$K$232-EFEITO!$M$232*EFEITO!$Z$232</f>
        <v>0</v>
      </c>
      <c r="O232" s="72">
        <f>$L$232-EFEITO!$O$232*EFEITO!$AA$232</f>
        <v>0</v>
      </c>
      <c r="P232" s="56"/>
      <c r="Q232" s="56"/>
      <c r="R232" s="56"/>
      <c r="S232" s="56"/>
      <c r="T232" s="56"/>
      <c r="U232" s="56"/>
      <c r="V232" s="56"/>
      <c r="W232" s="56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</row>
    <row r="233" spans="1:36" ht="11.25" customHeight="1" x14ac:dyDescent="0.2">
      <c r="A233" s="52" t="s">
        <v>27</v>
      </c>
      <c r="B233" s="52" t="s">
        <v>22</v>
      </c>
      <c r="C233" s="52" t="s">
        <v>23</v>
      </c>
      <c r="D233" s="52" t="s">
        <v>24</v>
      </c>
      <c r="E233" s="52" t="s">
        <v>24</v>
      </c>
      <c r="F233" s="52" t="s">
        <v>25</v>
      </c>
      <c r="G233" s="52" t="s">
        <v>25</v>
      </c>
      <c r="H233" s="52" t="s">
        <v>25</v>
      </c>
      <c r="I233" s="71">
        <v>44501</v>
      </c>
      <c r="J233" s="72">
        <f>EFEITO!$J$233*EFEITO!$Y$233</f>
        <v>0</v>
      </c>
      <c r="K233" s="72">
        <f ca="1">EFEITO!$L$233*EFEITO!$Z$233</f>
        <v>-6040.1249973384465</v>
      </c>
      <c r="L233" s="72">
        <f>EFEITO!$N$233*EFEITO!$AA$233</f>
        <v>-1624.8035745056384</v>
      </c>
      <c r="M233" s="72">
        <f>$J$233-EFEITO!$K$233*EFEITO!$Y$233</f>
        <v>0</v>
      </c>
      <c r="N233" s="72">
        <f ca="1">$K$233-EFEITO!$M$233*EFEITO!$Z$233</f>
        <v>0</v>
      </c>
      <c r="O233" s="72">
        <f>$L$233-EFEITO!$O$233*EFEITO!$AA$233</f>
        <v>0</v>
      </c>
      <c r="P233" s="56"/>
      <c r="Q233" s="56"/>
      <c r="R233" s="56"/>
      <c r="S233" s="56"/>
      <c r="T233" s="56"/>
      <c r="U233" s="56"/>
      <c r="V233" s="56"/>
      <c r="W233" s="56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</row>
    <row r="234" spans="1:36" ht="11.25" customHeight="1" x14ac:dyDescent="0.2">
      <c r="A234" s="52" t="s">
        <v>28</v>
      </c>
      <c r="B234" s="52" t="s">
        <v>22</v>
      </c>
      <c r="C234" s="52" t="s">
        <v>23</v>
      </c>
      <c r="D234" s="52" t="s">
        <v>24</v>
      </c>
      <c r="E234" s="52" t="s">
        <v>24</v>
      </c>
      <c r="F234" s="52" t="s">
        <v>25</v>
      </c>
      <c r="G234" s="52" t="s">
        <v>25</v>
      </c>
      <c r="H234" s="52" t="s">
        <v>25</v>
      </c>
      <c r="I234" s="71">
        <v>44501</v>
      </c>
      <c r="J234" s="72">
        <f>EFEITO!$J$234*EFEITO!$Y$234</f>
        <v>0</v>
      </c>
      <c r="K234" s="72">
        <f ca="1">EFEITO!$L$234*EFEITO!$Z$234</f>
        <v>23847.34423106481</v>
      </c>
      <c r="L234" s="72">
        <f>EFEITO!$N$234*EFEITO!$AA$234</f>
        <v>6414.9748831645566</v>
      </c>
      <c r="M234" s="72">
        <f>$J$234-EFEITO!$K$234*EFEITO!$Y$234</f>
        <v>0</v>
      </c>
      <c r="N234" s="72">
        <f ca="1">$K$234-EFEITO!$M$234*EFEITO!$Z$234</f>
        <v>0</v>
      </c>
      <c r="O234" s="72">
        <f>$L$234-EFEITO!$O$234*EFEITO!$AA$234</f>
        <v>0</v>
      </c>
      <c r="P234" s="56"/>
      <c r="Q234" s="56"/>
      <c r="R234" s="56"/>
      <c r="S234" s="56"/>
      <c r="T234" s="56"/>
      <c r="U234" s="56"/>
      <c r="V234" s="56"/>
      <c r="W234" s="56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</row>
    <row r="235" spans="1:36" ht="11.25" customHeight="1" x14ac:dyDescent="0.2">
      <c r="A235" s="52" t="s">
        <v>21</v>
      </c>
      <c r="B235" s="52" t="s">
        <v>22</v>
      </c>
      <c r="C235" s="52" t="s">
        <v>23</v>
      </c>
      <c r="D235" s="52" t="s">
        <v>24</v>
      </c>
      <c r="E235" s="52" t="s">
        <v>24</v>
      </c>
      <c r="F235" s="52" t="s">
        <v>25</v>
      </c>
      <c r="G235" s="52" t="s">
        <v>25</v>
      </c>
      <c r="H235" s="52" t="s">
        <v>25</v>
      </c>
      <c r="I235" s="71">
        <v>44531</v>
      </c>
      <c r="J235" s="72">
        <f>EFEITO!$J$235*EFEITO!$Y$235</f>
        <v>0</v>
      </c>
      <c r="K235" s="72">
        <f ca="1">EFEITO!$L$235*EFEITO!$Z$235</f>
        <v>2093337.657644996</v>
      </c>
      <c r="L235" s="72">
        <f>EFEITO!$N$235*EFEITO!$AA$235</f>
        <v>563111.2783738086</v>
      </c>
      <c r="M235" s="72">
        <f>$J$235-EFEITO!$K$235*EFEITO!$Y$235</f>
        <v>0</v>
      </c>
      <c r="N235" s="72">
        <f ca="1">$K$235-EFEITO!$M$235*EFEITO!$Z$235</f>
        <v>0</v>
      </c>
      <c r="O235" s="72">
        <f>$L$235-EFEITO!$O$235*EFEITO!$AA$235</f>
        <v>0</v>
      </c>
      <c r="P235" s="56"/>
      <c r="Q235" s="56"/>
      <c r="R235" s="56"/>
      <c r="S235" s="56"/>
      <c r="T235" s="56"/>
      <c r="U235" s="56"/>
      <c r="V235" s="56"/>
      <c r="W235" s="56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</row>
    <row r="236" spans="1:36" ht="11.25" customHeight="1" x14ac:dyDescent="0.2">
      <c r="A236" s="52" t="s">
        <v>27</v>
      </c>
      <c r="B236" s="52" t="s">
        <v>22</v>
      </c>
      <c r="C236" s="52" t="s">
        <v>23</v>
      </c>
      <c r="D236" s="52" t="s">
        <v>24</v>
      </c>
      <c r="E236" s="52" t="s">
        <v>24</v>
      </c>
      <c r="F236" s="52" t="s">
        <v>25</v>
      </c>
      <c r="G236" s="52" t="s">
        <v>25</v>
      </c>
      <c r="H236" s="52" t="s">
        <v>25</v>
      </c>
      <c r="I236" s="71">
        <v>44531</v>
      </c>
      <c r="J236" s="72">
        <f>EFEITO!$J$236*EFEITO!$Y$236</f>
        <v>0</v>
      </c>
      <c r="K236" s="72">
        <f ca="1">EFEITO!$L$236*EFEITO!$Z$236</f>
        <v>-2692.363903308004</v>
      </c>
      <c r="L236" s="72">
        <f>EFEITO!$N$236*EFEITO!$AA$236</f>
        <v>-724.25032526519385</v>
      </c>
      <c r="M236" s="72">
        <f>$J$236-EFEITO!$K$236*EFEITO!$Y$236</f>
        <v>0</v>
      </c>
      <c r="N236" s="72">
        <f ca="1">$K$236-EFEITO!$M$236*EFEITO!$Z$236</f>
        <v>0</v>
      </c>
      <c r="O236" s="72">
        <f>$L$236-EFEITO!$O$236*EFEITO!$AA$236</f>
        <v>0</v>
      </c>
      <c r="P236" s="56"/>
      <c r="Q236" s="56"/>
      <c r="R236" s="56"/>
      <c r="S236" s="56"/>
      <c r="T236" s="56"/>
      <c r="U236" s="56"/>
      <c r="V236" s="56"/>
      <c r="W236" s="56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</row>
    <row r="237" spans="1:36" ht="11.25" customHeight="1" x14ac:dyDescent="0.2">
      <c r="A237" s="52" t="s">
        <v>28</v>
      </c>
      <c r="B237" s="52" t="s">
        <v>22</v>
      </c>
      <c r="C237" s="52" t="s">
        <v>23</v>
      </c>
      <c r="D237" s="52" t="s">
        <v>24</v>
      </c>
      <c r="E237" s="52" t="s">
        <v>24</v>
      </c>
      <c r="F237" s="52" t="s">
        <v>25</v>
      </c>
      <c r="G237" s="52" t="s">
        <v>25</v>
      </c>
      <c r="H237" s="52" t="s">
        <v>25</v>
      </c>
      <c r="I237" s="71">
        <v>44531</v>
      </c>
      <c r="J237" s="72">
        <f>EFEITO!$J$237*EFEITO!$Y$237</f>
        <v>0</v>
      </c>
      <c r="K237" s="72">
        <f ca="1">EFEITO!$L$237*EFEITO!$Z$237</f>
        <v>23776.569090646557</v>
      </c>
      <c r="L237" s="72">
        <f>EFEITO!$N$237*EFEITO!$AA$237</f>
        <v>6395.9362538003652</v>
      </c>
      <c r="M237" s="72">
        <f>$J$237-EFEITO!$K$237*EFEITO!$Y$237</f>
        <v>0</v>
      </c>
      <c r="N237" s="72">
        <f ca="1">$K$237-EFEITO!$M$237*EFEITO!$Z$237</f>
        <v>0</v>
      </c>
      <c r="O237" s="72">
        <f>$L$237-EFEITO!$O$237*EFEITO!$AA$237</f>
        <v>0</v>
      </c>
      <c r="P237" s="56"/>
      <c r="Q237" s="56"/>
      <c r="R237" s="56"/>
      <c r="S237" s="56"/>
      <c r="T237" s="56"/>
      <c r="U237" s="56"/>
      <c r="V237" s="56"/>
      <c r="W237" s="56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</row>
    <row r="238" spans="1:36" ht="11.25" customHeight="1" x14ac:dyDescent="0.2">
      <c r="A238" s="52" t="s">
        <v>21</v>
      </c>
      <c r="B238" s="52" t="s">
        <v>22</v>
      </c>
      <c r="C238" s="52" t="s">
        <v>23</v>
      </c>
      <c r="D238" s="52" t="s">
        <v>24</v>
      </c>
      <c r="E238" s="52" t="s">
        <v>24</v>
      </c>
      <c r="F238" s="52" t="s">
        <v>25</v>
      </c>
      <c r="G238" s="52" t="s">
        <v>25</v>
      </c>
      <c r="H238" s="52" t="s">
        <v>25</v>
      </c>
      <c r="I238" s="71">
        <v>44562</v>
      </c>
      <c r="J238" s="72">
        <f>EFEITO!$J$238*EFEITO!$Y$238</f>
        <v>0</v>
      </c>
      <c r="K238" s="72">
        <f ca="1">EFEITO!$L$238*EFEITO!$Z$238</f>
        <v>2287498.1058740467</v>
      </c>
      <c r="L238" s="72">
        <f>EFEITO!$N$238*EFEITO!$AA$238</f>
        <v>615340.75879833463</v>
      </c>
      <c r="M238" s="72">
        <f>$J$238-EFEITO!$K$238*EFEITO!$Y$238</f>
        <v>0</v>
      </c>
      <c r="N238" s="72">
        <f ca="1">$K$238-EFEITO!$M$238*EFEITO!$Z$238</f>
        <v>0</v>
      </c>
      <c r="O238" s="72">
        <f>$L$238-EFEITO!$O$238*EFEITO!$AA$238</f>
        <v>0</v>
      </c>
      <c r="P238" s="56"/>
      <c r="Q238" s="56"/>
      <c r="R238" s="56"/>
      <c r="S238" s="56"/>
      <c r="T238" s="56"/>
      <c r="U238" s="56"/>
      <c r="V238" s="56"/>
      <c r="W238" s="56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</row>
    <row r="239" spans="1:36" ht="11.25" customHeight="1" x14ac:dyDescent="0.2">
      <c r="A239" s="52" t="s">
        <v>27</v>
      </c>
      <c r="B239" s="52" t="s">
        <v>22</v>
      </c>
      <c r="C239" s="52" t="s">
        <v>23</v>
      </c>
      <c r="D239" s="52" t="s">
        <v>24</v>
      </c>
      <c r="E239" s="52" t="s">
        <v>24</v>
      </c>
      <c r="F239" s="52" t="s">
        <v>25</v>
      </c>
      <c r="G239" s="52" t="s">
        <v>25</v>
      </c>
      <c r="H239" s="52" t="s">
        <v>25</v>
      </c>
      <c r="I239" s="71">
        <v>44562</v>
      </c>
      <c r="J239" s="72">
        <f>EFEITO!$J$239*EFEITO!$Y$239</f>
        <v>0</v>
      </c>
      <c r="K239" s="72">
        <f ca="1">EFEITO!$L$239*EFEITO!$Z$239</f>
        <v>-5557.302806539964</v>
      </c>
      <c r="L239" s="72">
        <f>EFEITO!$N$239*EFEITO!$AA$239</f>
        <v>-1494.9236098019774</v>
      </c>
      <c r="M239" s="72">
        <f>$J$239-EFEITO!$K$239*EFEITO!$Y$239</f>
        <v>0</v>
      </c>
      <c r="N239" s="72">
        <f ca="1">$K$239-EFEITO!$M$239*EFEITO!$Z$239</f>
        <v>0</v>
      </c>
      <c r="O239" s="72">
        <f>$L$239-EFEITO!$O$239*EFEITO!$AA$239</f>
        <v>0</v>
      </c>
      <c r="P239" s="56"/>
      <c r="Q239" s="56"/>
      <c r="R239" s="56"/>
      <c r="S239" s="56"/>
      <c r="T239" s="56"/>
      <c r="U239" s="56"/>
      <c r="V239" s="56"/>
      <c r="W239" s="56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</row>
    <row r="240" spans="1:36" ht="11.25" customHeight="1" x14ac:dyDescent="0.2">
      <c r="A240" s="52" t="s">
        <v>28</v>
      </c>
      <c r="B240" s="52" t="s">
        <v>22</v>
      </c>
      <c r="C240" s="52" t="s">
        <v>23</v>
      </c>
      <c r="D240" s="52" t="s">
        <v>24</v>
      </c>
      <c r="E240" s="52" t="s">
        <v>24</v>
      </c>
      <c r="F240" s="52" t="s">
        <v>25</v>
      </c>
      <c r="G240" s="52" t="s">
        <v>25</v>
      </c>
      <c r="H240" s="52" t="s">
        <v>25</v>
      </c>
      <c r="I240" s="71">
        <v>44562</v>
      </c>
      <c r="J240" s="72">
        <f>EFEITO!$J$240*EFEITO!$Y$240</f>
        <v>0</v>
      </c>
      <c r="K240" s="72">
        <f ca="1">EFEITO!$L$240*EFEITO!$Z$240</f>
        <v>30831.784115627594</v>
      </c>
      <c r="L240" s="72">
        <f>EFEITO!$N$240*EFEITO!$AA$240</f>
        <v>8293.8007179540618</v>
      </c>
      <c r="M240" s="72">
        <f>$J$240-EFEITO!$K$240*EFEITO!$Y$240</f>
        <v>0</v>
      </c>
      <c r="N240" s="72">
        <f ca="1">$K$240-EFEITO!$M$240*EFEITO!$Z$240</f>
        <v>0</v>
      </c>
      <c r="O240" s="72">
        <f>$L$240-EFEITO!$O$240*EFEITO!$AA$240</f>
        <v>0</v>
      </c>
      <c r="P240" s="56"/>
      <c r="Q240" s="56"/>
      <c r="R240" s="56"/>
      <c r="S240" s="56"/>
      <c r="T240" s="56"/>
      <c r="U240" s="56"/>
      <c r="V240" s="56"/>
      <c r="W240" s="56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</row>
    <row r="241" spans="1:36" ht="11.25" customHeight="1" x14ac:dyDescent="0.2">
      <c r="A241" s="52" t="s">
        <v>21</v>
      </c>
      <c r="B241" s="52" t="s">
        <v>22</v>
      </c>
      <c r="C241" s="52" t="s">
        <v>23</v>
      </c>
      <c r="D241" s="52" t="s">
        <v>24</v>
      </c>
      <c r="E241" s="52" t="s">
        <v>24</v>
      </c>
      <c r="F241" s="52" t="s">
        <v>25</v>
      </c>
      <c r="G241" s="52" t="s">
        <v>25</v>
      </c>
      <c r="H241" s="52" t="s">
        <v>25</v>
      </c>
      <c r="I241" s="71">
        <v>44593</v>
      </c>
      <c r="J241" s="72">
        <f>EFEITO!$J$241*EFEITO!$Y$241</f>
        <v>0</v>
      </c>
      <c r="K241" s="72">
        <f ca="1">EFEITO!$L$241*EFEITO!$Z$241</f>
        <v>2443611.5837546941</v>
      </c>
      <c r="L241" s="72">
        <f>EFEITO!$N$241*EFEITO!$AA$241</f>
        <v>657335.54152232688</v>
      </c>
      <c r="M241" s="72">
        <f>$J$241-EFEITO!$K$241*EFEITO!$Y$241</f>
        <v>0</v>
      </c>
      <c r="N241" s="72">
        <f ca="1">$K$241-EFEITO!$M$241*EFEITO!$Z$241</f>
        <v>0</v>
      </c>
      <c r="O241" s="72">
        <f>$L$241-EFEITO!$O$241*EFEITO!$AA$241</f>
        <v>0</v>
      </c>
      <c r="P241" s="56"/>
      <c r="Q241" s="56"/>
      <c r="R241" s="56"/>
      <c r="S241" s="56"/>
      <c r="T241" s="56"/>
      <c r="U241" s="56"/>
      <c r="V241" s="56"/>
      <c r="W241" s="56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</row>
    <row r="242" spans="1:36" ht="11.25" customHeight="1" x14ac:dyDescent="0.2">
      <c r="A242" s="52" t="s">
        <v>27</v>
      </c>
      <c r="B242" s="52" t="s">
        <v>22</v>
      </c>
      <c r="C242" s="52" t="s">
        <v>23</v>
      </c>
      <c r="D242" s="52" t="s">
        <v>24</v>
      </c>
      <c r="E242" s="52" t="s">
        <v>24</v>
      </c>
      <c r="F242" s="52" t="s">
        <v>25</v>
      </c>
      <c r="G242" s="52" t="s">
        <v>25</v>
      </c>
      <c r="H242" s="52" t="s">
        <v>25</v>
      </c>
      <c r="I242" s="71">
        <v>44593</v>
      </c>
      <c r="J242" s="72">
        <f>EFEITO!$J$242*EFEITO!$Y$242</f>
        <v>0</v>
      </c>
      <c r="K242" s="72">
        <f ca="1">EFEITO!$L$242*EFEITO!$Z$242</f>
        <v>226.86825832699782</v>
      </c>
      <c r="L242" s="72">
        <f>EFEITO!$N$242*EFEITO!$AA$242</f>
        <v>61.027935222202146</v>
      </c>
      <c r="M242" s="72">
        <f>$J$242-EFEITO!$K$242*EFEITO!$Y$242</f>
        <v>0</v>
      </c>
      <c r="N242" s="72">
        <f ca="1">$K$242-EFEITO!$M$242*EFEITO!$Z$242</f>
        <v>0</v>
      </c>
      <c r="O242" s="72">
        <f>$L$242-EFEITO!$O$242*EFEITO!$AA$242</f>
        <v>0</v>
      </c>
      <c r="P242" s="56"/>
      <c r="Q242" s="56"/>
      <c r="R242" s="56"/>
      <c r="S242" s="56"/>
      <c r="T242" s="56"/>
      <c r="U242" s="56"/>
      <c r="V242" s="56"/>
      <c r="W242" s="56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</row>
    <row r="243" spans="1:36" ht="11.25" customHeight="1" x14ac:dyDescent="0.2">
      <c r="A243" s="52" t="s">
        <v>28</v>
      </c>
      <c r="B243" s="52" t="s">
        <v>22</v>
      </c>
      <c r="C243" s="52" t="s">
        <v>23</v>
      </c>
      <c r="D243" s="52" t="s">
        <v>24</v>
      </c>
      <c r="E243" s="52" t="s">
        <v>24</v>
      </c>
      <c r="F243" s="52" t="s">
        <v>25</v>
      </c>
      <c r="G243" s="52" t="s">
        <v>25</v>
      </c>
      <c r="H243" s="52" t="s">
        <v>25</v>
      </c>
      <c r="I243" s="71">
        <v>44593</v>
      </c>
      <c r="J243" s="72">
        <f>EFEITO!$J$243*EFEITO!$Y$243</f>
        <v>0</v>
      </c>
      <c r="K243" s="72">
        <f ca="1">EFEITO!$L$243*EFEITO!$Z$243</f>
        <v>37303.346612775931</v>
      </c>
      <c r="L243" s="72">
        <f>EFEITO!$N$243*EFEITO!$AA$243</f>
        <v>10034.661690638673</v>
      </c>
      <c r="M243" s="72">
        <f>$J$243-EFEITO!$K$243*EFEITO!$Y$243</f>
        <v>0</v>
      </c>
      <c r="N243" s="72">
        <f ca="1">$K$243-EFEITO!$M$243*EFEITO!$Z$243</f>
        <v>0</v>
      </c>
      <c r="O243" s="72">
        <f>$L$243-EFEITO!$O$243*EFEITO!$AA$243</f>
        <v>0</v>
      </c>
      <c r="P243" s="56"/>
      <c r="Q243" s="56"/>
      <c r="R243" s="56"/>
      <c r="S243" s="56"/>
      <c r="T243" s="56"/>
      <c r="U243" s="56"/>
      <c r="V243" s="56"/>
      <c r="W243" s="56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</row>
    <row r="244" spans="1:36" ht="11.25" customHeight="1" x14ac:dyDescent="0.2">
      <c r="A244" s="52" t="s">
        <v>21</v>
      </c>
      <c r="B244" s="52" t="s">
        <v>22</v>
      </c>
      <c r="C244" s="52" t="s">
        <v>23</v>
      </c>
      <c r="D244" s="52" t="s">
        <v>24</v>
      </c>
      <c r="E244" s="52" t="s">
        <v>24</v>
      </c>
      <c r="F244" s="52" t="s">
        <v>25</v>
      </c>
      <c r="G244" s="52" t="s">
        <v>25</v>
      </c>
      <c r="H244" s="52" t="s">
        <v>25</v>
      </c>
      <c r="I244" s="71">
        <v>44621</v>
      </c>
      <c r="J244" s="72">
        <f>EFEITO!$J$244*EFEITO!$Y$244</f>
        <v>0</v>
      </c>
      <c r="K244" s="72">
        <f ca="1">EFEITO!$L$244*EFEITO!$Z$244</f>
        <v>2328185.0859122979</v>
      </c>
      <c r="L244" s="72">
        <f>EFEITO!$N$244*EFEITO!$AA$244</f>
        <v>626285.62345446681</v>
      </c>
      <c r="M244" s="72">
        <f>$J$244-EFEITO!$K$244*EFEITO!$Y$244</f>
        <v>0</v>
      </c>
      <c r="N244" s="72">
        <f ca="1">$K$244-EFEITO!$M$244*EFEITO!$Z$244</f>
        <v>0</v>
      </c>
      <c r="O244" s="72">
        <f>$L$244-EFEITO!$O$244*EFEITO!$AA$244</f>
        <v>0</v>
      </c>
      <c r="P244" s="56"/>
      <c r="Q244" s="56"/>
      <c r="R244" s="56"/>
      <c r="S244" s="56"/>
      <c r="T244" s="56"/>
      <c r="U244" s="56"/>
      <c r="V244" s="56"/>
      <c r="W244" s="56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</row>
    <row r="245" spans="1:36" ht="11.25" customHeight="1" x14ac:dyDescent="0.2">
      <c r="A245" s="52" t="s">
        <v>27</v>
      </c>
      <c r="B245" s="52" t="s">
        <v>22</v>
      </c>
      <c r="C245" s="52" t="s">
        <v>23</v>
      </c>
      <c r="D245" s="52" t="s">
        <v>24</v>
      </c>
      <c r="E245" s="52" t="s">
        <v>24</v>
      </c>
      <c r="F245" s="52" t="s">
        <v>25</v>
      </c>
      <c r="G245" s="52" t="s">
        <v>25</v>
      </c>
      <c r="H245" s="52" t="s">
        <v>25</v>
      </c>
      <c r="I245" s="71">
        <v>44621</v>
      </c>
      <c r="J245" s="72">
        <f>EFEITO!$J$245*EFEITO!$Y$245</f>
        <v>0</v>
      </c>
      <c r="K245" s="72">
        <f ca="1">EFEITO!$L$245*EFEITO!$Z$245</f>
        <v>-406.2299155513337</v>
      </c>
      <c r="L245" s="72">
        <f>EFEITO!$N$245*EFEITO!$AA$245</f>
        <v>-109.27651648761837</v>
      </c>
      <c r="M245" s="72">
        <f>$J$245-EFEITO!$K$245*EFEITO!$Y$245</f>
        <v>0</v>
      </c>
      <c r="N245" s="72">
        <f ca="1">$K$245-EFEITO!$M$245*EFEITO!$Z$245</f>
        <v>0</v>
      </c>
      <c r="O245" s="72">
        <f>$L$245-EFEITO!$O$245*EFEITO!$AA$245</f>
        <v>0</v>
      </c>
      <c r="P245" s="56"/>
      <c r="Q245" s="56"/>
      <c r="R245" s="56"/>
      <c r="S245" s="56"/>
      <c r="T245" s="56"/>
      <c r="U245" s="56"/>
      <c r="V245" s="56"/>
      <c r="W245" s="56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</row>
    <row r="246" spans="1:36" ht="11.25" customHeight="1" x14ac:dyDescent="0.2">
      <c r="A246" s="52" t="s">
        <v>28</v>
      </c>
      <c r="B246" s="52" t="s">
        <v>22</v>
      </c>
      <c r="C246" s="52" t="s">
        <v>23</v>
      </c>
      <c r="D246" s="52" t="s">
        <v>24</v>
      </c>
      <c r="E246" s="52" t="s">
        <v>24</v>
      </c>
      <c r="F246" s="52" t="s">
        <v>25</v>
      </c>
      <c r="G246" s="52" t="s">
        <v>25</v>
      </c>
      <c r="H246" s="52" t="s">
        <v>25</v>
      </c>
      <c r="I246" s="71">
        <v>44621</v>
      </c>
      <c r="J246" s="72">
        <f>EFEITO!$J$246*EFEITO!$Y$246</f>
        <v>0</v>
      </c>
      <c r="K246" s="72">
        <f ca="1">EFEITO!$L$246*EFEITO!$Z$246</f>
        <v>35944.076107756911</v>
      </c>
      <c r="L246" s="72">
        <f>EFEITO!$N$246*EFEITO!$AA$246</f>
        <v>9669.0156855894111</v>
      </c>
      <c r="M246" s="72">
        <f>$J$246-EFEITO!$K$246*EFEITO!$Y$246</f>
        <v>0</v>
      </c>
      <c r="N246" s="72">
        <f ca="1">$K$246-EFEITO!$M$246*EFEITO!$Z$246</f>
        <v>0</v>
      </c>
      <c r="O246" s="72">
        <f>$L$246-EFEITO!$O$246*EFEITO!$AA$246</f>
        <v>0</v>
      </c>
      <c r="P246" s="56"/>
      <c r="Q246" s="56"/>
      <c r="R246" s="56"/>
      <c r="S246" s="56"/>
      <c r="T246" s="56"/>
      <c r="U246" s="56"/>
      <c r="V246" s="56"/>
      <c r="W246" s="56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</row>
    <row r="247" spans="1:36" ht="11.25" customHeight="1" x14ac:dyDescent="0.2">
      <c r="A247" s="52" t="s">
        <v>21</v>
      </c>
      <c r="B247" s="52" t="s">
        <v>22</v>
      </c>
      <c r="C247" s="52" t="s">
        <v>23</v>
      </c>
      <c r="D247" s="52" t="s">
        <v>24</v>
      </c>
      <c r="E247" s="52" t="s">
        <v>29</v>
      </c>
      <c r="F247" s="52" t="s">
        <v>25</v>
      </c>
      <c r="G247" s="52" t="s">
        <v>25</v>
      </c>
      <c r="H247" s="52" t="s">
        <v>25</v>
      </c>
      <c r="I247" s="71">
        <v>44287</v>
      </c>
      <c r="J247" s="72">
        <f>EFEITO!$J$247*EFEITO!$Y$210</f>
        <v>0</v>
      </c>
      <c r="K247" s="72">
        <f ca="1">EFEITO!$L$247*EFEITO!$Z$307</f>
        <v>10531.109748740713</v>
      </c>
      <c r="L247" s="72">
        <f>EFEITO!$N$247*EFEITO!$AA$307</f>
        <v>3278.2954946285513</v>
      </c>
      <c r="M247" s="72">
        <f>$J$247-EFEITO!$K$247*EFEITO!$Y$247</f>
        <v>0</v>
      </c>
      <c r="N247" s="72">
        <f ca="1">$K$247-EFEITO!$M$247*EFEITO!$Z$247</f>
        <v>6845.221336681464</v>
      </c>
      <c r="O247" s="72">
        <f>$L$247-EFEITO!$O$247*EFEITO!$AA$247</f>
        <v>2130.8920715085583</v>
      </c>
      <c r="P247" s="56"/>
      <c r="Q247" s="56"/>
      <c r="R247" s="56"/>
      <c r="S247" s="56"/>
      <c r="T247" s="56"/>
      <c r="U247" s="56"/>
      <c r="V247" s="56"/>
      <c r="W247" s="56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</row>
    <row r="248" spans="1:36" ht="11.25" customHeight="1" x14ac:dyDescent="0.2">
      <c r="A248" s="52" t="s">
        <v>21</v>
      </c>
      <c r="B248" s="52" t="s">
        <v>22</v>
      </c>
      <c r="C248" s="52" t="s">
        <v>23</v>
      </c>
      <c r="D248" s="52" t="s">
        <v>24</v>
      </c>
      <c r="E248" s="52" t="s">
        <v>29</v>
      </c>
      <c r="F248" s="52" t="s">
        <v>25</v>
      </c>
      <c r="G248" s="52" t="s">
        <v>25</v>
      </c>
      <c r="H248" s="52" t="s">
        <v>25</v>
      </c>
      <c r="I248" s="71">
        <v>44317</v>
      </c>
      <c r="J248" s="72">
        <f>EFEITO!$J$248*EFEITO!$Y$210</f>
        <v>0</v>
      </c>
      <c r="K248" s="72">
        <f ca="1">EFEITO!$L$248*EFEITO!$Z$307</f>
        <v>16784.427422933288</v>
      </c>
      <c r="L248" s="72">
        <f>EFEITO!$N$248*EFEITO!$AA$307</f>
        <v>5224.9301463316142</v>
      </c>
      <c r="M248" s="72">
        <f>$J$248-EFEITO!$K$248*EFEITO!$Y$248</f>
        <v>0</v>
      </c>
      <c r="N248" s="72">
        <f ca="1">$K$248-EFEITO!$M$248*EFEITO!$Z$248</f>
        <v>10909.877824906638</v>
      </c>
      <c r="O248" s="72">
        <f>$L$248-EFEITO!$O$248*EFEITO!$AA$248</f>
        <v>3396.2045951155492</v>
      </c>
      <c r="P248" s="56"/>
      <c r="Q248" s="56"/>
      <c r="R248" s="56"/>
      <c r="S248" s="56"/>
      <c r="T248" s="56"/>
      <c r="U248" s="56"/>
      <c r="V248" s="56"/>
      <c r="W248" s="56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</row>
    <row r="249" spans="1:36" ht="11.25" customHeight="1" x14ac:dyDescent="0.2">
      <c r="A249" s="52" t="s">
        <v>27</v>
      </c>
      <c r="B249" s="52" t="s">
        <v>22</v>
      </c>
      <c r="C249" s="52" t="s">
        <v>23</v>
      </c>
      <c r="D249" s="52" t="s">
        <v>24</v>
      </c>
      <c r="E249" s="52" t="s">
        <v>29</v>
      </c>
      <c r="F249" s="52" t="s">
        <v>25</v>
      </c>
      <c r="G249" s="52" t="s">
        <v>25</v>
      </c>
      <c r="H249" s="52" t="s">
        <v>25</v>
      </c>
      <c r="I249" s="71">
        <v>44317</v>
      </c>
      <c r="J249" s="72">
        <f>EFEITO!$J$249*EFEITO!$Y$210</f>
        <v>0</v>
      </c>
      <c r="K249" s="72">
        <f ca="1">EFEITO!$L$249*EFEITO!$Z$307</f>
        <v>-4278.6298716641868</v>
      </c>
      <c r="L249" s="72">
        <f>EFEITO!$N$249*EFEITO!$AA$307</f>
        <v>-1331.9216460674631</v>
      </c>
      <c r="M249" s="72">
        <f>$J$249-EFEITO!$K$249*EFEITO!$Y$249</f>
        <v>0</v>
      </c>
      <c r="N249" s="72">
        <f ca="1">$K$249-EFEITO!$M$249*EFEITO!$Z$249</f>
        <v>-2781.1094165817217</v>
      </c>
      <c r="O249" s="72">
        <f>$L$249-EFEITO!$O$249*EFEITO!$AA$249</f>
        <v>-865.74906994385105</v>
      </c>
      <c r="P249" s="56"/>
      <c r="Q249" s="56"/>
      <c r="R249" s="56"/>
      <c r="S249" s="56"/>
      <c r="T249" s="56"/>
      <c r="U249" s="56"/>
      <c r="V249" s="56"/>
      <c r="W249" s="56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</row>
    <row r="250" spans="1:36" ht="11.25" customHeight="1" x14ac:dyDescent="0.2">
      <c r="A250" s="52" t="s">
        <v>28</v>
      </c>
      <c r="B250" s="52" t="s">
        <v>22</v>
      </c>
      <c r="C250" s="52" t="s">
        <v>23</v>
      </c>
      <c r="D250" s="52" t="s">
        <v>24</v>
      </c>
      <c r="E250" s="52" t="s">
        <v>29</v>
      </c>
      <c r="F250" s="52" t="s">
        <v>25</v>
      </c>
      <c r="G250" s="52" t="s">
        <v>25</v>
      </c>
      <c r="H250" s="52" t="s">
        <v>25</v>
      </c>
      <c r="I250" s="71">
        <v>44317</v>
      </c>
      <c r="J250" s="72">
        <f>EFEITO!$J$250*EFEITO!$Y$210</f>
        <v>0</v>
      </c>
      <c r="K250" s="72">
        <f ca="1">EFEITO!$L$250*EFEITO!$Z$307</f>
        <v>25.133913481481414</v>
      </c>
      <c r="L250" s="72">
        <f>EFEITO!$N$250*EFEITO!$AA$307</f>
        <v>7.8240942592566851</v>
      </c>
      <c r="M250" s="72">
        <f>$J$250-EFEITO!$K$250*EFEITO!$Y$250</f>
        <v>0</v>
      </c>
      <c r="N250" s="72">
        <f ca="1">$K$250-EFEITO!$M$250*EFEITO!$Z$250</f>
        <v>22.055009079999941</v>
      </c>
      <c r="O250" s="72">
        <f>$L$250-EFEITO!$O$250*EFEITO!$AA$250</f>
        <v>6.8656427124977411</v>
      </c>
      <c r="P250" s="56"/>
      <c r="Q250" s="56"/>
      <c r="R250" s="56"/>
      <c r="S250" s="56"/>
      <c r="T250" s="56"/>
      <c r="U250" s="56"/>
      <c r="V250" s="56"/>
      <c r="W250" s="56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</row>
    <row r="251" spans="1:36" ht="11.25" customHeight="1" x14ac:dyDescent="0.2">
      <c r="A251" s="52" t="s">
        <v>21</v>
      </c>
      <c r="B251" s="52" t="s">
        <v>22</v>
      </c>
      <c r="C251" s="52" t="s">
        <v>23</v>
      </c>
      <c r="D251" s="52" t="s">
        <v>24</v>
      </c>
      <c r="E251" s="52" t="s">
        <v>29</v>
      </c>
      <c r="F251" s="52" t="s">
        <v>25</v>
      </c>
      <c r="G251" s="52" t="s">
        <v>25</v>
      </c>
      <c r="H251" s="52" t="s">
        <v>25</v>
      </c>
      <c r="I251" s="71">
        <v>44348</v>
      </c>
      <c r="J251" s="72">
        <f>EFEITO!$J$251*EFEITO!$Y$210</f>
        <v>0</v>
      </c>
      <c r="K251" s="72">
        <f ca="1">EFEITO!$L$251*EFEITO!$Z$307</f>
        <v>11762.671509333302</v>
      </c>
      <c r="L251" s="72">
        <f>EFEITO!$N$251*EFEITO!$AA$307</f>
        <v>3661.6761133321284</v>
      </c>
      <c r="M251" s="72">
        <f>$J$251-EFEITO!$K$251*EFEITO!$Y$251</f>
        <v>0</v>
      </c>
      <c r="N251" s="72">
        <f ca="1">$K$251-EFEITO!$M$251*EFEITO!$Z$251</f>
        <v>7645.7364810666468</v>
      </c>
      <c r="O251" s="72">
        <f>$L$251-EFEITO!$O$251*EFEITO!$AA$251</f>
        <v>2380.0894736658834</v>
      </c>
      <c r="P251" s="56"/>
      <c r="Q251" s="56"/>
      <c r="R251" s="56"/>
      <c r="S251" s="56"/>
      <c r="T251" s="56"/>
      <c r="U251" s="56"/>
      <c r="V251" s="56"/>
      <c r="W251" s="56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</row>
    <row r="252" spans="1:36" ht="11.25" customHeight="1" x14ac:dyDescent="0.2">
      <c r="A252" s="52" t="s">
        <v>27</v>
      </c>
      <c r="B252" s="52" t="s">
        <v>22</v>
      </c>
      <c r="C252" s="52" t="s">
        <v>23</v>
      </c>
      <c r="D252" s="52" t="s">
        <v>24</v>
      </c>
      <c r="E252" s="52" t="s">
        <v>29</v>
      </c>
      <c r="F252" s="52" t="s">
        <v>25</v>
      </c>
      <c r="G252" s="52" t="s">
        <v>25</v>
      </c>
      <c r="H252" s="52" t="s">
        <v>25</v>
      </c>
      <c r="I252" s="71">
        <v>44348</v>
      </c>
      <c r="J252" s="72">
        <f>EFEITO!$J$252*EFEITO!$Y$210</f>
        <v>0</v>
      </c>
      <c r="K252" s="72">
        <f ca="1">EFEITO!$L$252*EFEITO!$Z$307</f>
        <v>-1280.1539933234535</v>
      </c>
      <c r="L252" s="72">
        <f>EFEITO!$N$252*EFEITO!$AA$307</f>
        <v>-398.5072009381405</v>
      </c>
      <c r="M252" s="72">
        <f>$J$252-EFEITO!$K$252*EFEITO!$Y$252</f>
        <v>0</v>
      </c>
      <c r="N252" s="72">
        <f ca="1">$K$252-EFEITO!$M$252*EFEITO!$Z$252</f>
        <v>-832.10009566024485</v>
      </c>
      <c r="O252" s="72">
        <f>$L$252-EFEITO!$O$252*EFEITO!$AA$252</f>
        <v>-259.02968060979128</v>
      </c>
      <c r="P252" s="56"/>
      <c r="Q252" s="56"/>
      <c r="R252" s="56"/>
      <c r="S252" s="56"/>
      <c r="T252" s="56"/>
      <c r="U252" s="56"/>
      <c r="V252" s="56"/>
      <c r="W252" s="56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</row>
    <row r="253" spans="1:36" ht="11.25" customHeight="1" x14ac:dyDescent="0.2">
      <c r="A253" s="52" t="s">
        <v>28</v>
      </c>
      <c r="B253" s="52" t="s">
        <v>22</v>
      </c>
      <c r="C253" s="52" t="s">
        <v>23</v>
      </c>
      <c r="D253" s="52" t="s">
        <v>24</v>
      </c>
      <c r="E253" s="52" t="s">
        <v>29</v>
      </c>
      <c r="F253" s="52" t="s">
        <v>25</v>
      </c>
      <c r="G253" s="52" t="s">
        <v>25</v>
      </c>
      <c r="H253" s="52" t="s">
        <v>25</v>
      </c>
      <c r="I253" s="71">
        <v>44348</v>
      </c>
      <c r="J253" s="72">
        <f>EFEITO!$J$253*EFEITO!$Y$210</f>
        <v>0</v>
      </c>
      <c r="K253" s="72">
        <f ca="1">EFEITO!$L$253*EFEITO!$Z$307</f>
        <v>25.133913481481414</v>
      </c>
      <c r="L253" s="72">
        <f>EFEITO!$N$253*EFEITO!$AA$307</f>
        <v>7.8240942592566851</v>
      </c>
      <c r="M253" s="72">
        <f>$J$253-EFEITO!$K$253*EFEITO!$Y$253</f>
        <v>0</v>
      </c>
      <c r="N253" s="72">
        <f ca="1">$K$253-EFEITO!$M$253*EFEITO!$Z$253</f>
        <v>22.055009079999941</v>
      </c>
      <c r="O253" s="72">
        <f>$L$253-EFEITO!$O$253*EFEITO!$AA$253</f>
        <v>6.8656427124977411</v>
      </c>
      <c r="P253" s="56"/>
      <c r="Q253" s="56"/>
      <c r="R253" s="56"/>
      <c r="S253" s="56"/>
      <c r="T253" s="56"/>
      <c r="U253" s="56"/>
      <c r="V253" s="56"/>
      <c r="W253" s="56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</row>
    <row r="254" spans="1:36" ht="11.25" customHeight="1" x14ac:dyDescent="0.2">
      <c r="A254" s="52" t="s">
        <v>21</v>
      </c>
      <c r="B254" s="52" t="s">
        <v>22</v>
      </c>
      <c r="C254" s="52" t="s">
        <v>23</v>
      </c>
      <c r="D254" s="52" t="s">
        <v>24</v>
      </c>
      <c r="E254" s="52" t="s">
        <v>29</v>
      </c>
      <c r="F254" s="52" t="s">
        <v>25</v>
      </c>
      <c r="G254" s="52" t="s">
        <v>25</v>
      </c>
      <c r="H254" s="52" t="s">
        <v>25</v>
      </c>
      <c r="I254" s="71">
        <v>44378</v>
      </c>
      <c r="J254" s="72">
        <f>EFEITO!$J$254*EFEITO!$Y$210</f>
        <v>0</v>
      </c>
      <c r="K254" s="72">
        <f ca="1">EFEITO!$L$254*EFEITO!$Z$307</f>
        <v>12416.153259851819</v>
      </c>
      <c r="L254" s="72">
        <f>EFEITO!$N$254*EFEITO!$AA$307</f>
        <v>3865.1025640728026</v>
      </c>
      <c r="M254" s="72">
        <f>$J$254-EFEITO!$K$254*EFEITO!$Y$254</f>
        <v>0</v>
      </c>
      <c r="N254" s="72">
        <f ca="1">$K$254-EFEITO!$M$254*EFEITO!$Z$254</f>
        <v>8070.4996189036819</v>
      </c>
      <c r="O254" s="72">
        <f>$L$254-EFEITO!$O$254*EFEITO!$AA$254</f>
        <v>2512.3166666473217</v>
      </c>
      <c r="P254" s="56"/>
      <c r="Q254" s="56"/>
      <c r="R254" s="56"/>
      <c r="S254" s="56"/>
      <c r="T254" s="56"/>
      <c r="U254" s="56"/>
      <c r="V254" s="56"/>
      <c r="W254" s="56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</row>
    <row r="255" spans="1:36" ht="11.25" customHeight="1" x14ac:dyDescent="0.2">
      <c r="A255" s="52" t="s">
        <v>28</v>
      </c>
      <c r="B255" s="52" t="s">
        <v>22</v>
      </c>
      <c r="C255" s="52" t="s">
        <v>23</v>
      </c>
      <c r="D255" s="52" t="s">
        <v>24</v>
      </c>
      <c r="E255" s="52" t="s">
        <v>29</v>
      </c>
      <c r="F255" s="52" t="s">
        <v>25</v>
      </c>
      <c r="G255" s="52" t="s">
        <v>25</v>
      </c>
      <c r="H255" s="52" t="s">
        <v>25</v>
      </c>
      <c r="I255" s="71">
        <v>44378</v>
      </c>
      <c r="J255" s="72">
        <f>EFEITO!$J$255*EFEITO!$Y$210</f>
        <v>0</v>
      </c>
      <c r="K255" s="72">
        <f ca="1">EFEITO!$L$255*EFEITO!$Z$307</f>
        <v>25.133913481481414</v>
      </c>
      <c r="L255" s="72">
        <f>EFEITO!$N$255*EFEITO!$AA$307</f>
        <v>7.8240942592566851</v>
      </c>
      <c r="M255" s="72">
        <f>$J$255-EFEITO!$K$255*EFEITO!$Y$255</f>
        <v>0</v>
      </c>
      <c r="N255" s="72">
        <f ca="1">$K$255-EFEITO!$M$255*EFEITO!$Z$255</f>
        <v>22.055009079999941</v>
      </c>
      <c r="O255" s="72">
        <f>$L$255-EFEITO!$O$255*EFEITO!$AA$255</f>
        <v>6.8656427124977411</v>
      </c>
      <c r="P255" s="56"/>
      <c r="Q255" s="56"/>
      <c r="R255" s="56"/>
      <c r="S255" s="56"/>
      <c r="T255" s="56"/>
      <c r="U255" s="56"/>
      <c r="V255" s="56"/>
      <c r="W255" s="56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</row>
    <row r="256" spans="1:36" ht="11.25" customHeight="1" x14ac:dyDescent="0.2">
      <c r="A256" s="52" t="s">
        <v>21</v>
      </c>
      <c r="B256" s="52" t="s">
        <v>22</v>
      </c>
      <c r="C256" s="52" t="s">
        <v>23</v>
      </c>
      <c r="D256" s="52" t="s">
        <v>24</v>
      </c>
      <c r="E256" s="52" t="s">
        <v>29</v>
      </c>
      <c r="F256" s="52" t="s">
        <v>25</v>
      </c>
      <c r="G256" s="52" t="s">
        <v>25</v>
      </c>
      <c r="H256" s="52" t="s">
        <v>25</v>
      </c>
      <c r="I256" s="71">
        <v>44409</v>
      </c>
      <c r="J256" s="72">
        <f>EFEITO!$J$256*EFEITO!$Y$210</f>
        <v>0</v>
      </c>
      <c r="K256" s="72">
        <f ca="1">EFEITO!$L$256*EFEITO!$Z$307</f>
        <v>12843.429789037004</v>
      </c>
      <c r="L256" s="72">
        <f>EFEITO!$N$256*EFEITO!$AA$307</f>
        <v>3998.1121664801663</v>
      </c>
      <c r="M256" s="72">
        <f>$J$256-EFEITO!$K$256*EFEITO!$Y$256</f>
        <v>0</v>
      </c>
      <c r="N256" s="72">
        <f ca="1">$K$256-EFEITO!$M$256*EFEITO!$Z$256</f>
        <v>8348.2293628740517</v>
      </c>
      <c r="O256" s="72">
        <f>$L$256-EFEITO!$O$256*EFEITO!$AA$256</f>
        <v>2598.7729082121082</v>
      </c>
      <c r="P256" s="56"/>
      <c r="Q256" s="56"/>
      <c r="R256" s="56"/>
      <c r="S256" s="56"/>
      <c r="T256" s="56"/>
      <c r="U256" s="56"/>
      <c r="V256" s="56"/>
      <c r="W256" s="56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</row>
    <row r="257" spans="1:36" ht="11.25" customHeight="1" x14ac:dyDescent="0.2">
      <c r="A257" s="52" t="s">
        <v>28</v>
      </c>
      <c r="B257" s="52" t="s">
        <v>22</v>
      </c>
      <c r="C257" s="52" t="s">
        <v>23</v>
      </c>
      <c r="D257" s="52" t="s">
        <v>24</v>
      </c>
      <c r="E257" s="52" t="s">
        <v>29</v>
      </c>
      <c r="F257" s="52" t="s">
        <v>25</v>
      </c>
      <c r="G257" s="52" t="s">
        <v>25</v>
      </c>
      <c r="H257" s="52" t="s">
        <v>25</v>
      </c>
      <c r="I257" s="71">
        <v>44409</v>
      </c>
      <c r="J257" s="72">
        <f>EFEITO!$J$257*EFEITO!$Y$210</f>
        <v>0</v>
      </c>
      <c r="K257" s="72">
        <f ca="1">EFEITO!$L$257*EFEITO!$Z$307</f>
        <v>25.133913481481414</v>
      </c>
      <c r="L257" s="72">
        <f>EFEITO!$N$257*EFEITO!$AA$307</f>
        <v>7.8240942592566851</v>
      </c>
      <c r="M257" s="72">
        <f>$J$257-EFEITO!$K$257*EFEITO!$Y$257</f>
        <v>0</v>
      </c>
      <c r="N257" s="72">
        <f ca="1">$K$257-EFEITO!$M$257*EFEITO!$Z$257</f>
        <v>22.055009079999941</v>
      </c>
      <c r="O257" s="72">
        <f>$L$257-EFEITO!$O$257*EFEITO!$AA$257</f>
        <v>6.8656427124977411</v>
      </c>
      <c r="P257" s="56"/>
      <c r="Q257" s="56"/>
      <c r="R257" s="56"/>
      <c r="S257" s="56"/>
      <c r="T257" s="56"/>
      <c r="U257" s="56"/>
      <c r="V257" s="56"/>
      <c r="W257" s="56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</row>
    <row r="258" spans="1:36" ht="11.25" customHeight="1" x14ac:dyDescent="0.2">
      <c r="A258" s="52" t="s">
        <v>21</v>
      </c>
      <c r="B258" s="52" t="s">
        <v>22</v>
      </c>
      <c r="C258" s="52" t="s">
        <v>23</v>
      </c>
      <c r="D258" s="52" t="s">
        <v>24</v>
      </c>
      <c r="E258" s="52" t="s">
        <v>29</v>
      </c>
      <c r="F258" s="52" t="s">
        <v>25</v>
      </c>
      <c r="G258" s="52" t="s">
        <v>25</v>
      </c>
      <c r="H258" s="52" t="s">
        <v>25</v>
      </c>
      <c r="I258" s="71">
        <v>44440</v>
      </c>
      <c r="J258" s="72">
        <f>EFEITO!$J$258*EFEITO!$Y$210</f>
        <v>0</v>
      </c>
      <c r="K258" s="72">
        <f ca="1">EFEITO!$L$258*EFEITO!$Z$307</f>
        <v>12943.965442962928</v>
      </c>
      <c r="L258" s="72">
        <f>EFEITO!$N$258*EFEITO!$AA$307</f>
        <v>4029.4085435171928</v>
      </c>
      <c r="M258" s="72">
        <f>$J$258-EFEITO!$K$258*EFEITO!$Y$258</f>
        <v>0</v>
      </c>
      <c r="N258" s="72">
        <f ca="1">$K$258-EFEITO!$M$258*EFEITO!$Z$258</f>
        <v>8413.577537925903</v>
      </c>
      <c r="O258" s="72">
        <f>$L$258-EFEITO!$O$258*EFEITO!$AA$258</f>
        <v>2619.1155532861753</v>
      </c>
      <c r="P258" s="56"/>
      <c r="Q258" s="56"/>
      <c r="R258" s="56"/>
      <c r="S258" s="56"/>
      <c r="T258" s="56"/>
      <c r="U258" s="56"/>
      <c r="V258" s="56"/>
      <c r="W258" s="56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</row>
    <row r="259" spans="1:36" ht="11.25" customHeight="1" x14ac:dyDescent="0.2">
      <c r="A259" s="52" t="s">
        <v>28</v>
      </c>
      <c r="B259" s="52" t="s">
        <v>22</v>
      </c>
      <c r="C259" s="52" t="s">
        <v>23</v>
      </c>
      <c r="D259" s="52" t="s">
        <v>24</v>
      </c>
      <c r="E259" s="52" t="s">
        <v>29</v>
      </c>
      <c r="F259" s="52" t="s">
        <v>25</v>
      </c>
      <c r="G259" s="52" t="s">
        <v>25</v>
      </c>
      <c r="H259" s="52" t="s">
        <v>25</v>
      </c>
      <c r="I259" s="71">
        <v>44440</v>
      </c>
      <c r="J259" s="72">
        <f>EFEITO!$J$259*EFEITO!$Y$210</f>
        <v>0</v>
      </c>
      <c r="K259" s="72">
        <f ca="1">EFEITO!$L$259*EFEITO!$Z$307</f>
        <v>25.133913481481414</v>
      </c>
      <c r="L259" s="72">
        <f>EFEITO!$N$259*EFEITO!$AA$307</f>
        <v>7.8240942592566851</v>
      </c>
      <c r="M259" s="72">
        <f>$J$259-EFEITO!$K$259*EFEITO!$Y$259</f>
        <v>0</v>
      </c>
      <c r="N259" s="72">
        <f ca="1">$K$259-EFEITO!$M$259*EFEITO!$Z$259</f>
        <v>22.055009079999941</v>
      </c>
      <c r="O259" s="72">
        <f>$L$259-EFEITO!$O$259*EFEITO!$AA$259</f>
        <v>6.8656427124977411</v>
      </c>
      <c r="P259" s="56"/>
      <c r="Q259" s="56"/>
      <c r="R259" s="56"/>
      <c r="S259" s="56"/>
      <c r="T259" s="56"/>
      <c r="U259" s="56"/>
      <c r="V259" s="56"/>
      <c r="W259" s="56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</row>
    <row r="260" spans="1:36" ht="11.25" customHeight="1" x14ac:dyDescent="0.2">
      <c r="A260" s="52" t="s">
        <v>21</v>
      </c>
      <c r="B260" s="52" t="s">
        <v>22</v>
      </c>
      <c r="C260" s="52" t="s">
        <v>23</v>
      </c>
      <c r="D260" s="52" t="s">
        <v>24</v>
      </c>
      <c r="E260" s="52" t="s">
        <v>29</v>
      </c>
      <c r="F260" s="52" t="s">
        <v>25</v>
      </c>
      <c r="G260" s="52" t="s">
        <v>25</v>
      </c>
      <c r="H260" s="52" t="s">
        <v>25</v>
      </c>
      <c r="I260" s="71">
        <v>44470</v>
      </c>
      <c r="J260" s="72">
        <f>EFEITO!$J$260*EFEITO!$Y$210</f>
        <v>0</v>
      </c>
      <c r="K260" s="72">
        <f ca="1">EFEITO!$L$260*EFEITO!$Z$307</f>
        <v>14301.196770962926</v>
      </c>
      <c r="L260" s="72">
        <f>EFEITO!$N$260*EFEITO!$AA$307</f>
        <v>4451.9096335170543</v>
      </c>
      <c r="M260" s="72">
        <f>$J$260-EFEITO!$K$260*EFEITO!$Y$260</f>
        <v>0</v>
      </c>
      <c r="N260" s="72">
        <f ca="1">$K$260-EFEITO!$M$260*EFEITO!$Z$260</f>
        <v>9295.7779011259026</v>
      </c>
      <c r="O260" s="72">
        <f>$L$260-EFEITO!$O$260*EFEITO!$AA$260</f>
        <v>2893.7412617860855</v>
      </c>
      <c r="P260" s="56"/>
      <c r="Q260" s="56"/>
      <c r="R260" s="56"/>
      <c r="S260" s="56"/>
      <c r="T260" s="56"/>
      <c r="U260" s="56"/>
      <c r="V260" s="56"/>
      <c r="W260" s="56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</row>
    <row r="261" spans="1:36" ht="11.25" customHeight="1" x14ac:dyDescent="0.2">
      <c r="A261" s="52" t="s">
        <v>28</v>
      </c>
      <c r="B261" s="52" t="s">
        <v>22</v>
      </c>
      <c r="C261" s="52" t="s">
        <v>23</v>
      </c>
      <c r="D261" s="52" t="s">
        <v>24</v>
      </c>
      <c r="E261" s="52" t="s">
        <v>29</v>
      </c>
      <c r="F261" s="52" t="s">
        <v>25</v>
      </c>
      <c r="G261" s="52" t="s">
        <v>25</v>
      </c>
      <c r="H261" s="52" t="s">
        <v>25</v>
      </c>
      <c r="I261" s="71">
        <v>44470</v>
      </c>
      <c r="J261" s="72">
        <f>EFEITO!$J$261*EFEITO!$Y$210</f>
        <v>0</v>
      </c>
      <c r="K261" s="72">
        <f ca="1">EFEITO!$L$261*EFEITO!$Z$307</f>
        <v>25.133913481481414</v>
      </c>
      <c r="L261" s="72">
        <f>EFEITO!$N$261*EFEITO!$AA$307</f>
        <v>7.8240942592566851</v>
      </c>
      <c r="M261" s="72">
        <f>$J$261-EFEITO!$K$261*EFEITO!$Y$261</f>
        <v>0</v>
      </c>
      <c r="N261" s="72">
        <f ca="1">$K$261-EFEITO!$M$261*EFEITO!$Z$261</f>
        <v>22.055009079999941</v>
      </c>
      <c r="O261" s="72">
        <f>$L$261-EFEITO!$O$261*EFEITO!$AA$261</f>
        <v>6.8656427124977411</v>
      </c>
      <c r="P261" s="56"/>
      <c r="Q261" s="56"/>
      <c r="R261" s="56"/>
      <c r="S261" s="56"/>
      <c r="T261" s="56"/>
      <c r="U261" s="56"/>
      <c r="V261" s="56"/>
      <c r="W261" s="56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</row>
    <row r="262" spans="1:36" ht="11.25" customHeight="1" x14ac:dyDescent="0.2">
      <c r="A262" s="52" t="s">
        <v>21</v>
      </c>
      <c r="B262" s="52" t="s">
        <v>22</v>
      </c>
      <c r="C262" s="52" t="s">
        <v>23</v>
      </c>
      <c r="D262" s="52" t="s">
        <v>24</v>
      </c>
      <c r="E262" s="52" t="s">
        <v>29</v>
      </c>
      <c r="F262" s="52" t="s">
        <v>25</v>
      </c>
      <c r="G262" s="52" t="s">
        <v>25</v>
      </c>
      <c r="H262" s="52" t="s">
        <v>25</v>
      </c>
      <c r="I262" s="71">
        <v>44501</v>
      </c>
      <c r="J262" s="72">
        <f>EFEITO!$J$262*EFEITO!$Y$210</f>
        <v>0</v>
      </c>
      <c r="K262" s="72">
        <f ca="1">EFEITO!$L$262*EFEITO!$Z$307</f>
        <v>15109.670987950578</v>
      </c>
      <c r="L262" s="72">
        <f>EFEITO!$N$262*EFEITO!$AA$307</f>
        <v>4703.5846655231444</v>
      </c>
      <c r="M262" s="72">
        <f>$J$262-EFEITO!$K$262*EFEITO!$Y$262</f>
        <v>0</v>
      </c>
      <c r="N262" s="72">
        <f ca="1">$K$262-EFEITO!$M$262*EFEITO!$Z$262</f>
        <v>9821.2861421678754</v>
      </c>
      <c r="O262" s="72">
        <f>$L$262-EFEITO!$O$262*EFEITO!$AA$262</f>
        <v>3057.3300325900441</v>
      </c>
      <c r="P262" s="56"/>
      <c r="Q262" s="56"/>
      <c r="R262" s="56"/>
      <c r="S262" s="56"/>
      <c r="T262" s="56"/>
      <c r="U262" s="56"/>
      <c r="V262" s="56"/>
      <c r="W262" s="56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</row>
    <row r="263" spans="1:36" ht="11.25" customHeight="1" x14ac:dyDescent="0.2">
      <c r="A263" s="52" t="s">
        <v>28</v>
      </c>
      <c r="B263" s="52" t="s">
        <v>22</v>
      </c>
      <c r="C263" s="52" t="s">
        <v>23</v>
      </c>
      <c r="D263" s="52" t="s">
        <v>24</v>
      </c>
      <c r="E263" s="52" t="s">
        <v>29</v>
      </c>
      <c r="F263" s="52" t="s">
        <v>25</v>
      </c>
      <c r="G263" s="52" t="s">
        <v>25</v>
      </c>
      <c r="H263" s="52" t="s">
        <v>25</v>
      </c>
      <c r="I263" s="71">
        <v>44501</v>
      </c>
      <c r="J263" s="72">
        <f>EFEITO!$J$263*EFEITO!$Y$210</f>
        <v>0</v>
      </c>
      <c r="K263" s="72">
        <f ca="1">EFEITO!$L$263*EFEITO!$Z$307</f>
        <v>50.267826962962829</v>
      </c>
      <c r="L263" s="72">
        <f>EFEITO!$N$263*EFEITO!$AA$307</f>
        <v>15.64818851851337</v>
      </c>
      <c r="M263" s="72">
        <f>$J$263-EFEITO!$K$263*EFEITO!$Y$263</f>
        <v>0</v>
      </c>
      <c r="N263" s="72">
        <f ca="1">$K$263-EFEITO!$M$263*EFEITO!$Z$263</f>
        <v>44.110018159999882</v>
      </c>
      <c r="O263" s="72">
        <f>$L$263-EFEITO!$O$263*EFEITO!$AA$263</f>
        <v>13.731285424995482</v>
      </c>
      <c r="P263" s="56"/>
      <c r="Q263" s="56"/>
      <c r="R263" s="56"/>
      <c r="S263" s="56"/>
      <c r="T263" s="56"/>
      <c r="U263" s="56"/>
      <c r="V263" s="56"/>
      <c r="W263" s="56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</row>
    <row r="264" spans="1:36" ht="11.25" customHeight="1" x14ac:dyDescent="0.2">
      <c r="A264" s="52" t="s">
        <v>21</v>
      </c>
      <c r="B264" s="52" t="s">
        <v>22</v>
      </c>
      <c r="C264" s="52" t="s">
        <v>23</v>
      </c>
      <c r="D264" s="52" t="s">
        <v>24</v>
      </c>
      <c r="E264" s="52" t="s">
        <v>29</v>
      </c>
      <c r="F264" s="52" t="s">
        <v>25</v>
      </c>
      <c r="G264" s="52" t="s">
        <v>25</v>
      </c>
      <c r="H264" s="52" t="s">
        <v>25</v>
      </c>
      <c r="I264" s="71">
        <v>44531</v>
      </c>
      <c r="J264" s="72">
        <f>EFEITO!$J$264*EFEITO!$Y$210</f>
        <v>0</v>
      </c>
      <c r="K264" s="72">
        <f ca="1">EFEITO!$L$264*EFEITO!$Z$307</f>
        <v>15733.829839407366</v>
      </c>
      <c r="L264" s="72">
        <f>EFEITO!$N$264*EFEITO!$AA$307</f>
        <v>4897.8830062946854</v>
      </c>
      <c r="M264" s="72">
        <f>$J$264-EFEITO!$K$264*EFEITO!$Y$264</f>
        <v>0</v>
      </c>
      <c r="N264" s="72">
        <f ca="1">$K$264-EFEITO!$M$264*EFEITO!$Z$264</f>
        <v>10226.989395614788</v>
      </c>
      <c r="O264" s="72">
        <f>$L$264-EFEITO!$O$264*EFEITO!$AA$264</f>
        <v>3183.6239540915458</v>
      </c>
      <c r="P264" s="56"/>
      <c r="Q264" s="56"/>
      <c r="R264" s="56"/>
      <c r="S264" s="56"/>
      <c r="T264" s="56"/>
      <c r="U264" s="56"/>
      <c r="V264" s="56"/>
      <c r="W264" s="56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</row>
    <row r="265" spans="1:36" ht="11.25" customHeight="1" x14ac:dyDescent="0.2">
      <c r="A265" s="52" t="s">
        <v>28</v>
      </c>
      <c r="B265" s="52" t="s">
        <v>22</v>
      </c>
      <c r="C265" s="52" t="s">
        <v>23</v>
      </c>
      <c r="D265" s="52" t="s">
        <v>24</v>
      </c>
      <c r="E265" s="52" t="s">
        <v>29</v>
      </c>
      <c r="F265" s="52" t="s">
        <v>25</v>
      </c>
      <c r="G265" s="52" t="s">
        <v>25</v>
      </c>
      <c r="H265" s="52" t="s">
        <v>25</v>
      </c>
      <c r="I265" s="71">
        <v>44531</v>
      </c>
      <c r="J265" s="72">
        <f>EFEITO!$J$265*EFEITO!$Y$210</f>
        <v>0</v>
      </c>
      <c r="K265" s="72">
        <f ca="1">EFEITO!$L$265*EFEITO!$Z$307</f>
        <v>50.267826962962829</v>
      </c>
      <c r="L265" s="72">
        <f>EFEITO!$N$265*EFEITO!$AA$307</f>
        <v>15.64818851851337</v>
      </c>
      <c r="M265" s="72">
        <f>$J$265-EFEITO!$K$265*EFEITO!$Y$265</f>
        <v>0</v>
      </c>
      <c r="N265" s="72">
        <f ca="1">$K$265-EFEITO!$M$265*EFEITO!$Z$265</f>
        <v>44.110018159999882</v>
      </c>
      <c r="O265" s="72">
        <f>$L$265-EFEITO!$O$265*EFEITO!$AA$265</f>
        <v>13.731285424995482</v>
      </c>
      <c r="P265" s="56"/>
      <c r="Q265" s="56"/>
      <c r="R265" s="56"/>
      <c r="S265" s="56"/>
      <c r="T265" s="56"/>
      <c r="U265" s="56"/>
      <c r="V265" s="56"/>
      <c r="W265" s="56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</row>
    <row r="266" spans="1:36" ht="11.25" customHeight="1" x14ac:dyDescent="0.2">
      <c r="A266" s="52" t="s">
        <v>21</v>
      </c>
      <c r="B266" s="52" t="s">
        <v>22</v>
      </c>
      <c r="C266" s="52" t="s">
        <v>23</v>
      </c>
      <c r="D266" s="52" t="s">
        <v>24</v>
      </c>
      <c r="E266" s="52" t="s">
        <v>29</v>
      </c>
      <c r="F266" s="52" t="s">
        <v>25</v>
      </c>
      <c r="G266" s="52" t="s">
        <v>25</v>
      </c>
      <c r="H266" s="52" t="s">
        <v>25</v>
      </c>
      <c r="I266" s="71">
        <v>44562</v>
      </c>
      <c r="J266" s="72">
        <f>EFEITO!$J$266*EFEITO!$Y$210</f>
        <v>0</v>
      </c>
      <c r="K266" s="72">
        <f ca="1">EFEITO!$L$266*EFEITO!$Z$307</f>
        <v>16387.311589925881</v>
      </c>
      <c r="L266" s="72">
        <f>EFEITO!$N$266*EFEITO!$AA$307</f>
        <v>5101.3094570353587</v>
      </c>
      <c r="M266" s="72">
        <f>$J$266-EFEITO!$K$266*EFEITO!$Y$266</f>
        <v>0</v>
      </c>
      <c r="N266" s="72">
        <f ca="1">$K$266-EFEITO!$M$266*EFEITO!$Z$266</f>
        <v>10651.752533451823</v>
      </c>
      <c r="O266" s="72">
        <f>$L$266-EFEITO!$O$266*EFEITO!$AA$266</f>
        <v>3315.8511470729832</v>
      </c>
      <c r="P266" s="56"/>
      <c r="Q266" s="56"/>
      <c r="R266" s="56"/>
      <c r="S266" s="56"/>
      <c r="T266" s="56"/>
      <c r="U266" s="56"/>
      <c r="V266" s="56"/>
      <c r="W266" s="56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</row>
    <row r="267" spans="1:36" ht="11.25" customHeight="1" x14ac:dyDescent="0.2">
      <c r="A267" s="52" t="s">
        <v>28</v>
      </c>
      <c r="B267" s="52" t="s">
        <v>22</v>
      </c>
      <c r="C267" s="52" t="s">
        <v>23</v>
      </c>
      <c r="D267" s="52" t="s">
        <v>24</v>
      </c>
      <c r="E267" s="52" t="s">
        <v>29</v>
      </c>
      <c r="F267" s="52" t="s">
        <v>25</v>
      </c>
      <c r="G267" s="52" t="s">
        <v>25</v>
      </c>
      <c r="H267" s="52" t="s">
        <v>25</v>
      </c>
      <c r="I267" s="71">
        <v>44562</v>
      </c>
      <c r="J267" s="72">
        <f>EFEITO!$J$267*EFEITO!$Y$210</f>
        <v>0</v>
      </c>
      <c r="K267" s="72">
        <f ca="1">EFEITO!$L$267*EFEITO!$Z$307</f>
        <v>50.267826962962829</v>
      </c>
      <c r="L267" s="72">
        <f>EFEITO!$N$267*EFEITO!$AA$307</f>
        <v>15.64818851851337</v>
      </c>
      <c r="M267" s="72">
        <f>$J$267-EFEITO!$K$267*EFEITO!$Y$267</f>
        <v>0</v>
      </c>
      <c r="N267" s="72">
        <f ca="1">$K$267-EFEITO!$M$267*EFEITO!$Z$267</f>
        <v>44.110018159999882</v>
      </c>
      <c r="O267" s="72">
        <f>$L$267-EFEITO!$O$267*EFEITO!$AA$267</f>
        <v>13.731285424995482</v>
      </c>
      <c r="P267" s="56"/>
      <c r="Q267" s="56"/>
      <c r="R267" s="56"/>
      <c r="S267" s="56"/>
      <c r="T267" s="56"/>
      <c r="U267" s="56"/>
      <c r="V267" s="56"/>
      <c r="W267" s="56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</row>
    <row r="268" spans="1:36" ht="11.25" customHeight="1" x14ac:dyDescent="0.2">
      <c r="A268" s="52" t="s">
        <v>21</v>
      </c>
      <c r="B268" s="52" t="s">
        <v>22</v>
      </c>
      <c r="C268" s="52" t="s">
        <v>23</v>
      </c>
      <c r="D268" s="52" t="s">
        <v>24</v>
      </c>
      <c r="E268" s="52" t="s">
        <v>29</v>
      </c>
      <c r="F268" s="52" t="s">
        <v>25</v>
      </c>
      <c r="G268" s="52" t="s">
        <v>25</v>
      </c>
      <c r="H268" s="52" t="s">
        <v>25</v>
      </c>
      <c r="I268" s="71">
        <v>44593</v>
      </c>
      <c r="J268" s="72">
        <f>EFEITO!$J$268*EFEITO!$Y$210</f>
        <v>0</v>
      </c>
      <c r="K268" s="72">
        <f ca="1">EFEITO!$L$268*EFEITO!$Z$307</f>
        <v>17241.86464829625</v>
      </c>
      <c r="L268" s="72">
        <f>EFEITO!$N$268*EFEITO!$AA$307</f>
        <v>5367.3286618500861</v>
      </c>
      <c r="M268" s="72">
        <f>$J$268-EFEITO!$K$268*EFEITO!$Y$268</f>
        <v>0</v>
      </c>
      <c r="N268" s="72">
        <f ca="1">$K$268-EFEITO!$M$268*EFEITO!$Z$268</f>
        <v>11207.212021392563</v>
      </c>
      <c r="O268" s="72">
        <f>$L$268-EFEITO!$O$268*EFEITO!$AA$268</f>
        <v>3488.7636302025558</v>
      </c>
      <c r="P268" s="56"/>
      <c r="Q268" s="56"/>
      <c r="R268" s="56"/>
      <c r="S268" s="56"/>
      <c r="T268" s="56"/>
      <c r="U268" s="56"/>
      <c r="V268" s="56"/>
      <c r="W268" s="56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</row>
    <row r="269" spans="1:36" ht="11.25" customHeight="1" x14ac:dyDescent="0.2">
      <c r="A269" s="52" t="s">
        <v>28</v>
      </c>
      <c r="B269" s="52" t="s">
        <v>22</v>
      </c>
      <c r="C269" s="52" t="s">
        <v>23</v>
      </c>
      <c r="D269" s="52" t="s">
        <v>24</v>
      </c>
      <c r="E269" s="52" t="s">
        <v>29</v>
      </c>
      <c r="F269" s="52" t="s">
        <v>25</v>
      </c>
      <c r="G269" s="52" t="s">
        <v>25</v>
      </c>
      <c r="H269" s="52" t="s">
        <v>25</v>
      </c>
      <c r="I269" s="71">
        <v>44593</v>
      </c>
      <c r="J269" s="72">
        <f>EFEITO!$J$269*EFEITO!$Y$210</f>
        <v>0</v>
      </c>
      <c r="K269" s="72">
        <f ca="1">EFEITO!$L$269*EFEITO!$Z$307</f>
        <v>25.133913481481414</v>
      </c>
      <c r="L269" s="72">
        <f>EFEITO!$N$269*EFEITO!$AA$307</f>
        <v>7.8240942592566851</v>
      </c>
      <c r="M269" s="72">
        <f>$J$269-EFEITO!$K$269*EFEITO!$Y$269</f>
        <v>0</v>
      </c>
      <c r="N269" s="72">
        <f ca="1">$K$269-EFEITO!$M$269*EFEITO!$Z$269</f>
        <v>27.772974397036961</v>
      </c>
      <c r="O269" s="72">
        <f>$L$269-EFEITO!$O$269*EFEITO!$AA$269</f>
        <v>8.6456241564786378</v>
      </c>
      <c r="P269" s="56"/>
      <c r="Q269" s="56"/>
      <c r="R269" s="56"/>
      <c r="S269" s="56"/>
      <c r="T269" s="56"/>
      <c r="U269" s="56"/>
      <c r="V269" s="56"/>
      <c r="W269" s="56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</row>
    <row r="270" spans="1:36" ht="11.25" customHeight="1" x14ac:dyDescent="0.2">
      <c r="A270" s="52" t="s">
        <v>21</v>
      </c>
      <c r="B270" s="52" t="s">
        <v>22</v>
      </c>
      <c r="C270" s="52" t="s">
        <v>23</v>
      </c>
      <c r="D270" s="52" t="s">
        <v>24</v>
      </c>
      <c r="E270" s="52" t="s">
        <v>29</v>
      </c>
      <c r="F270" s="52" t="s">
        <v>25</v>
      </c>
      <c r="G270" s="52" t="s">
        <v>25</v>
      </c>
      <c r="H270" s="52" t="s">
        <v>25</v>
      </c>
      <c r="I270" s="71">
        <v>44621</v>
      </c>
      <c r="J270" s="72">
        <f>EFEITO!$J$270*EFEITO!$Y$210</f>
        <v>0</v>
      </c>
      <c r="K270" s="72">
        <f ca="1">EFEITO!$L$270*EFEITO!$Z$307</f>
        <v>37449.531087407311</v>
      </c>
      <c r="L270" s="72">
        <f>EFEITO!$N$270*EFEITO!$AA$307</f>
        <v>11657.900446292462</v>
      </c>
      <c r="M270" s="72">
        <f>$J$270-EFEITO!$K$270*EFEITO!$Y$270</f>
        <v>0</v>
      </c>
      <c r="N270" s="72">
        <f ca="1">$K$270-EFEITO!$M$270*EFEITO!$Z$270</f>
        <v>24342.195206814751</v>
      </c>
      <c r="O270" s="72">
        <f>$L$270-EFEITO!$O$270*EFEITO!$AA$270</f>
        <v>7577.6352900901002</v>
      </c>
      <c r="P270" s="56"/>
      <c r="Q270" s="56"/>
      <c r="R270" s="56"/>
      <c r="S270" s="56"/>
      <c r="T270" s="56"/>
      <c r="U270" s="56"/>
      <c r="V270" s="56"/>
      <c r="W270" s="56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</row>
    <row r="271" spans="1:36" ht="11.25" customHeight="1" x14ac:dyDescent="0.2">
      <c r="A271" s="52" t="s">
        <v>28</v>
      </c>
      <c r="B271" s="52" t="s">
        <v>22</v>
      </c>
      <c r="C271" s="52" t="s">
        <v>23</v>
      </c>
      <c r="D271" s="52" t="s">
        <v>24</v>
      </c>
      <c r="E271" s="52" t="s">
        <v>29</v>
      </c>
      <c r="F271" s="52" t="s">
        <v>25</v>
      </c>
      <c r="G271" s="52" t="s">
        <v>25</v>
      </c>
      <c r="H271" s="52" t="s">
        <v>25</v>
      </c>
      <c r="I271" s="71">
        <v>44621</v>
      </c>
      <c r="J271" s="72">
        <f>EFEITO!$J$271*EFEITO!$Y$210</f>
        <v>0</v>
      </c>
      <c r="K271" s="72">
        <f ca="1">EFEITO!$L$271*EFEITO!$Z$307</f>
        <v>2.5133913481481418</v>
      </c>
      <c r="L271" s="72">
        <f>EFEITO!$N$271*EFEITO!$AA$307</f>
        <v>0.78240942592566853</v>
      </c>
      <c r="M271" s="72">
        <f>$J$271-EFEITO!$K$271*EFEITO!$Y$271</f>
        <v>0</v>
      </c>
      <c r="N271" s="72">
        <f ca="1">$K$271-EFEITO!$M$271*EFEITO!$Z$271</f>
        <v>5.0644835665185051</v>
      </c>
      <c r="O271" s="72">
        <f>$L$271-EFEITO!$O$271*EFEITO!$AA$271</f>
        <v>1.5765549932402221</v>
      </c>
      <c r="P271" s="56"/>
      <c r="Q271" s="56"/>
      <c r="R271" s="56"/>
      <c r="S271" s="56"/>
      <c r="T271" s="56"/>
      <c r="U271" s="56"/>
      <c r="V271" s="56"/>
      <c r="W271" s="56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</row>
    <row r="272" spans="1:36" ht="11.25" customHeight="1" x14ac:dyDescent="0.2">
      <c r="A272" s="52" t="s">
        <v>21</v>
      </c>
      <c r="B272" s="52" t="s">
        <v>22</v>
      </c>
      <c r="C272" s="52" t="s">
        <v>23</v>
      </c>
      <c r="D272" s="52" t="s">
        <v>24</v>
      </c>
      <c r="E272" s="52" t="s">
        <v>30</v>
      </c>
      <c r="F272" s="52" t="s">
        <v>25</v>
      </c>
      <c r="G272" s="52" t="s">
        <v>25</v>
      </c>
      <c r="H272" s="52" t="s">
        <v>25</v>
      </c>
      <c r="I272" s="71">
        <v>44287</v>
      </c>
      <c r="J272" s="72">
        <f>EFEITO!$J$272*EFEITO!$Y$210</f>
        <v>0</v>
      </c>
      <c r="K272" s="72">
        <f ca="1">EFEITO!$L$272*EFEITO!$Z$307</f>
        <v>22385.101143723397</v>
      </c>
      <c r="L272" s="72">
        <f>EFEITO!$N$272*EFEITO!$AA$307</f>
        <v>6968.3991504359792</v>
      </c>
      <c r="M272" s="72">
        <f>$J$272-EFEITO!$K$272*EFEITO!$Y$272</f>
        <v>0</v>
      </c>
      <c r="N272" s="72">
        <f ca="1">$K$272-EFEITO!$M$272*EFEITO!$Z$272</f>
        <v>8954.0404574893582</v>
      </c>
      <c r="O272" s="72">
        <f>$L$272-EFEITO!$O$272*EFEITO!$AA$272</f>
        <v>2787.3596601743911</v>
      </c>
      <c r="P272" s="56"/>
      <c r="Q272" s="56"/>
      <c r="R272" s="56"/>
      <c r="S272" s="56"/>
      <c r="T272" s="56"/>
      <c r="U272" s="56"/>
      <c r="V272" s="56"/>
      <c r="W272" s="56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</row>
    <row r="273" spans="1:36" ht="11.25" customHeight="1" x14ac:dyDescent="0.2">
      <c r="A273" s="52" t="s">
        <v>21</v>
      </c>
      <c r="B273" s="52" t="s">
        <v>22</v>
      </c>
      <c r="C273" s="52" t="s">
        <v>23</v>
      </c>
      <c r="D273" s="52" t="s">
        <v>24</v>
      </c>
      <c r="E273" s="52" t="s">
        <v>30</v>
      </c>
      <c r="F273" s="52" t="s">
        <v>25</v>
      </c>
      <c r="G273" s="52" t="s">
        <v>25</v>
      </c>
      <c r="H273" s="52" t="s">
        <v>25</v>
      </c>
      <c r="I273" s="71">
        <v>44317</v>
      </c>
      <c r="J273" s="72">
        <f>EFEITO!$J$273*EFEITO!$Y$210</f>
        <v>0</v>
      </c>
      <c r="K273" s="72">
        <f ca="1">EFEITO!$L$273*EFEITO!$Z$307</f>
        <v>20060.214146686365</v>
      </c>
      <c r="L273" s="72">
        <f>EFEITO!$N$273*EFEITO!$AA$307</f>
        <v>6244.6704314547351</v>
      </c>
      <c r="M273" s="72">
        <f>$J$273-EFEITO!$K$273*EFEITO!$Y$273</f>
        <v>0</v>
      </c>
      <c r="N273" s="72">
        <f ca="1">$K$273-EFEITO!$M$273*EFEITO!$Z$273</f>
        <v>8024.0856586745449</v>
      </c>
      <c r="O273" s="72">
        <f>$L$273-EFEITO!$O$273*EFEITO!$AA$273</f>
        <v>2497.8681725818938</v>
      </c>
      <c r="P273" s="56"/>
      <c r="Q273" s="56"/>
      <c r="R273" s="56"/>
      <c r="S273" s="56"/>
      <c r="T273" s="56"/>
      <c r="U273" s="56"/>
      <c r="V273" s="56"/>
      <c r="W273" s="56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</row>
    <row r="274" spans="1:36" ht="11.25" customHeight="1" x14ac:dyDescent="0.2">
      <c r="A274" s="52" t="s">
        <v>27</v>
      </c>
      <c r="B274" s="52" t="s">
        <v>22</v>
      </c>
      <c r="C274" s="52" t="s">
        <v>23</v>
      </c>
      <c r="D274" s="52" t="s">
        <v>24</v>
      </c>
      <c r="E274" s="52" t="s">
        <v>30</v>
      </c>
      <c r="F274" s="52" t="s">
        <v>25</v>
      </c>
      <c r="G274" s="52" t="s">
        <v>25</v>
      </c>
      <c r="H274" s="52" t="s">
        <v>25</v>
      </c>
      <c r="I274" s="71">
        <v>44317</v>
      </c>
      <c r="J274" s="72">
        <f>EFEITO!$J$274*EFEITO!$Y$210</f>
        <v>0</v>
      </c>
      <c r="K274" s="72">
        <f ca="1">EFEITO!$L$274*EFEITO!$Z$307</f>
        <v>2063.4942968296241</v>
      </c>
      <c r="L274" s="72">
        <f>EFEITO!$N$274*EFEITO!$AA$307</f>
        <v>642.35813868497394</v>
      </c>
      <c r="M274" s="72">
        <f>$J$274-EFEITO!$K$274*EFEITO!$Y$274</f>
        <v>0</v>
      </c>
      <c r="N274" s="72">
        <f ca="1">$K$274-EFEITO!$M$274*EFEITO!$Z$274</f>
        <v>825.39771873184964</v>
      </c>
      <c r="O274" s="72">
        <f>$L$274-EFEITO!$O$274*EFEITO!$AA$274</f>
        <v>256.94325547398961</v>
      </c>
      <c r="P274" s="56"/>
      <c r="Q274" s="56"/>
      <c r="R274" s="56"/>
      <c r="S274" s="56"/>
      <c r="T274" s="56"/>
      <c r="U274" s="56"/>
      <c r="V274" s="56"/>
      <c r="W274" s="56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</row>
    <row r="275" spans="1:36" ht="11.25" customHeight="1" x14ac:dyDescent="0.2">
      <c r="A275" s="52" t="s">
        <v>21</v>
      </c>
      <c r="B275" s="52" t="s">
        <v>22</v>
      </c>
      <c r="C275" s="52" t="s">
        <v>23</v>
      </c>
      <c r="D275" s="52" t="s">
        <v>24</v>
      </c>
      <c r="E275" s="52" t="s">
        <v>30</v>
      </c>
      <c r="F275" s="52" t="s">
        <v>25</v>
      </c>
      <c r="G275" s="52" t="s">
        <v>25</v>
      </c>
      <c r="H275" s="52" t="s">
        <v>25</v>
      </c>
      <c r="I275" s="71">
        <v>44348</v>
      </c>
      <c r="J275" s="72">
        <f>EFEITO!$J$275*EFEITO!$Y$210</f>
        <v>0</v>
      </c>
      <c r="K275" s="72">
        <f ca="1">EFEITO!$L$275*EFEITO!$Z$307</f>
        <v>23976.077867101172</v>
      </c>
      <c r="L275" s="72">
        <f>EFEITO!$N$275*EFEITO!$AA$307</f>
        <v>7463.664317046927</v>
      </c>
      <c r="M275" s="72">
        <f>$J$275-EFEITO!$K$275*EFEITO!$Y$275</f>
        <v>0</v>
      </c>
      <c r="N275" s="72">
        <f ca="1">$K$275-EFEITO!$M$275*EFEITO!$Z$275</f>
        <v>9590.4311468404703</v>
      </c>
      <c r="O275" s="72">
        <f>$L$275-EFEITO!$O$275*EFEITO!$AA$275</f>
        <v>2985.4657268187711</v>
      </c>
      <c r="P275" s="56"/>
      <c r="Q275" s="56"/>
      <c r="R275" s="56"/>
      <c r="S275" s="56"/>
      <c r="T275" s="56"/>
      <c r="U275" s="56"/>
      <c r="V275" s="56"/>
      <c r="W275" s="56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</row>
    <row r="276" spans="1:36" ht="11.25" customHeight="1" x14ac:dyDescent="0.2">
      <c r="A276" s="52" t="s">
        <v>27</v>
      </c>
      <c r="B276" s="52" t="s">
        <v>22</v>
      </c>
      <c r="C276" s="52" t="s">
        <v>23</v>
      </c>
      <c r="D276" s="52" t="s">
        <v>24</v>
      </c>
      <c r="E276" s="52" t="s">
        <v>30</v>
      </c>
      <c r="F276" s="52" t="s">
        <v>25</v>
      </c>
      <c r="G276" s="52" t="s">
        <v>25</v>
      </c>
      <c r="H276" s="52" t="s">
        <v>25</v>
      </c>
      <c r="I276" s="71">
        <v>44348</v>
      </c>
      <c r="J276" s="72">
        <f>EFEITO!$J$276*EFEITO!$Y$210</f>
        <v>0</v>
      </c>
      <c r="K276" s="72">
        <f ca="1">EFEITO!$L$276*EFEITO!$Z$307</f>
        <v>558.81067640493688</v>
      </c>
      <c r="L276" s="72">
        <f>EFEITO!$N$276*EFEITO!$AA$307</f>
        <v>173.95569569747366</v>
      </c>
      <c r="M276" s="72">
        <f>$J$276-EFEITO!$K$276*EFEITO!$Y$276</f>
        <v>0</v>
      </c>
      <c r="N276" s="72">
        <f ca="1">$K$276-EFEITO!$M$276*EFEITO!$Z$276</f>
        <v>223.52427056197479</v>
      </c>
      <c r="O276" s="72">
        <f>$L$276-EFEITO!$O$276*EFEITO!$AA$276</f>
        <v>69.582278278989477</v>
      </c>
      <c r="P276" s="56"/>
      <c r="Q276" s="56"/>
      <c r="R276" s="56"/>
      <c r="S276" s="56"/>
      <c r="T276" s="56"/>
      <c r="U276" s="56"/>
      <c r="V276" s="56"/>
      <c r="W276" s="56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</row>
    <row r="277" spans="1:36" ht="11.25" customHeight="1" x14ac:dyDescent="0.2">
      <c r="A277" s="52" t="s">
        <v>21</v>
      </c>
      <c r="B277" s="52" t="s">
        <v>22</v>
      </c>
      <c r="C277" s="52" t="s">
        <v>23</v>
      </c>
      <c r="D277" s="52" t="s">
        <v>24</v>
      </c>
      <c r="E277" s="52" t="s">
        <v>30</v>
      </c>
      <c r="F277" s="52" t="s">
        <v>25</v>
      </c>
      <c r="G277" s="52" t="s">
        <v>25</v>
      </c>
      <c r="H277" s="52" t="s">
        <v>25</v>
      </c>
      <c r="I277" s="71">
        <v>44378</v>
      </c>
      <c r="J277" s="72">
        <f>EFEITO!$J$277*EFEITO!$Y$210</f>
        <v>0</v>
      </c>
      <c r="K277" s="72">
        <f ca="1">EFEITO!$L$277*EFEITO!$Z$307</f>
        <v>23813.54522658759</v>
      </c>
      <c r="L277" s="72">
        <f>EFEITO!$N$277*EFEITO!$AA$307</f>
        <v>7413.0685075037336</v>
      </c>
      <c r="M277" s="72">
        <f>$J$277-EFEITO!$K$277*EFEITO!$Y$277</f>
        <v>0</v>
      </c>
      <c r="N277" s="72">
        <f ca="1">$K$277-EFEITO!$M$277*EFEITO!$Z$277</f>
        <v>9525.4180906350357</v>
      </c>
      <c r="O277" s="72">
        <f>$L$277-EFEITO!$O$277*EFEITO!$AA$277</f>
        <v>2965.2274030014933</v>
      </c>
      <c r="P277" s="56"/>
      <c r="Q277" s="56"/>
      <c r="R277" s="56"/>
      <c r="S277" s="56"/>
      <c r="T277" s="56"/>
      <c r="U277" s="56"/>
      <c r="V277" s="56"/>
      <c r="W277" s="56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</row>
    <row r="278" spans="1:36" ht="11.25" customHeight="1" x14ac:dyDescent="0.2">
      <c r="A278" s="52" t="s">
        <v>21</v>
      </c>
      <c r="B278" s="52" t="s">
        <v>22</v>
      </c>
      <c r="C278" s="52" t="s">
        <v>23</v>
      </c>
      <c r="D278" s="52" t="s">
        <v>24</v>
      </c>
      <c r="E278" s="52" t="s">
        <v>30</v>
      </c>
      <c r="F278" s="52" t="s">
        <v>25</v>
      </c>
      <c r="G278" s="52" t="s">
        <v>25</v>
      </c>
      <c r="H278" s="52" t="s">
        <v>25</v>
      </c>
      <c r="I278" s="71">
        <v>44409</v>
      </c>
      <c r="J278" s="72">
        <f>EFEITO!$J$278*EFEITO!$Y$210</f>
        <v>0</v>
      </c>
      <c r="K278" s="72">
        <f ca="1">EFEITO!$L$278*EFEITO!$Z$307</f>
        <v>24545.779906014748</v>
      </c>
      <c r="L278" s="72">
        <f>EFEITO!$N$278*EFEITO!$AA$307</f>
        <v>7641.0104535900782</v>
      </c>
      <c r="M278" s="72">
        <f>$J$278-EFEITO!$K$278*EFEITO!$Y$278</f>
        <v>0</v>
      </c>
      <c r="N278" s="72">
        <f ca="1">$K$278-EFEITO!$M$278*EFEITO!$Z$278</f>
        <v>9818.3119624059</v>
      </c>
      <c r="O278" s="72">
        <f>$L$278-EFEITO!$O$278*EFEITO!$AA$278</f>
        <v>3056.4041814360307</v>
      </c>
      <c r="P278" s="56"/>
      <c r="Q278" s="56"/>
      <c r="R278" s="56"/>
      <c r="S278" s="56"/>
      <c r="T278" s="56"/>
      <c r="U278" s="56"/>
      <c r="V278" s="56"/>
      <c r="W278" s="56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</row>
    <row r="279" spans="1:36" ht="11.25" customHeight="1" x14ac:dyDescent="0.2">
      <c r="A279" s="52" t="s">
        <v>21</v>
      </c>
      <c r="B279" s="52" t="s">
        <v>22</v>
      </c>
      <c r="C279" s="52" t="s">
        <v>23</v>
      </c>
      <c r="D279" s="52" t="s">
        <v>24</v>
      </c>
      <c r="E279" s="52" t="s">
        <v>30</v>
      </c>
      <c r="F279" s="52" t="s">
        <v>25</v>
      </c>
      <c r="G279" s="52" t="s">
        <v>25</v>
      </c>
      <c r="H279" s="52" t="s">
        <v>25</v>
      </c>
      <c r="I279" s="71">
        <v>44440</v>
      </c>
      <c r="J279" s="72">
        <f>EFEITO!$J$279*EFEITO!$Y$210</f>
        <v>0</v>
      </c>
      <c r="K279" s="72">
        <f ca="1">EFEITO!$L$279*EFEITO!$Z$307</f>
        <v>26667.08220385178</v>
      </c>
      <c r="L279" s="72">
        <f>EFEITO!$N$279*EFEITO!$AA$307</f>
        <v>8301.3640090713434</v>
      </c>
      <c r="M279" s="72">
        <f>$J$279-EFEITO!$K$279*EFEITO!$Y$279</f>
        <v>0</v>
      </c>
      <c r="N279" s="72">
        <f ca="1">$K$279-EFEITO!$M$279*EFEITO!$Z$279</f>
        <v>10666.832881540713</v>
      </c>
      <c r="O279" s="72">
        <f>$L$279-EFEITO!$O$279*EFEITO!$AA$279</f>
        <v>3320.5456036285377</v>
      </c>
      <c r="P279" s="56"/>
      <c r="Q279" s="56"/>
      <c r="R279" s="56"/>
      <c r="S279" s="56"/>
      <c r="T279" s="56"/>
      <c r="U279" s="56"/>
      <c r="V279" s="56"/>
      <c r="W279" s="56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</row>
    <row r="280" spans="1:36" ht="11.25" customHeight="1" x14ac:dyDescent="0.2">
      <c r="A280" s="52" t="s">
        <v>21</v>
      </c>
      <c r="B280" s="52" t="s">
        <v>22</v>
      </c>
      <c r="C280" s="52" t="s">
        <v>23</v>
      </c>
      <c r="D280" s="52" t="s">
        <v>24</v>
      </c>
      <c r="E280" s="52" t="s">
        <v>30</v>
      </c>
      <c r="F280" s="52" t="s">
        <v>25</v>
      </c>
      <c r="G280" s="52" t="s">
        <v>25</v>
      </c>
      <c r="H280" s="52" t="s">
        <v>25</v>
      </c>
      <c r="I280" s="71">
        <v>44470</v>
      </c>
      <c r="J280" s="72">
        <f>EFEITO!$J$280*EFEITO!$Y$210</f>
        <v>0</v>
      </c>
      <c r="K280" s="72">
        <f ca="1">EFEITO!$L$280*EFEITO!$Z$307</f>
        <v>29203.094074133256</v>
      </c>
      <c r="L280" s="72">
        <f>EFEITO!$N$280*EFEITO!$AA$307</f>
        <v>9090.8151198303422</v>
      </c>
      <c r="M280" s="72">
        <f>$J$280-EFEITO!$K$280*EFEITO!$Y$280</f>
        <v>0</v>
      </c>
      <c r="N280" s="72">
        <f ca="1">$K$280-EFEITO!$M$280*EFEITO!$Z$280</f>
        <v>11681.237629653304</v>
      </c>
      <c r="O280" s="72">
        <f>$L$280-EFEITO!$O$280*EFEITO!$AA$280</f>
        <v>3636.326047932137</v>
      </c>
      <c r="P280" s="56"/>
      <c r="Q280" s="56"/>
      <c r="R280" s="56"/>
      <c r="S280" s="56"/>
      <c r="T280" s="56"/>
      <c r="U280" s="56"/>
      <c r="V280" s="56"/>
      <c r="W280" s="56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</row>
    <row r="281" spans="1:36" ht="11.25" customHeight="1" x14ac:dyDescent="0.2">
      <c r="A281" s="52" t="s">
        <v>21</v>
      </c>
      <c r="B281" s="52" t="s">
        <v>22</v>
      </c>
      <c r="C281" s="52" t="s">
        <v>23</v>
      </c>
      <c r="D281" s="52" t="s">
        <v>24</v>
      </c>
      <c r="E281" s="52" t="s">
        <v>30</v>
      </c>
      <c r="F281" s="52" t="s">
        <v>25</v>
      </c>
      <c r="G281" s="52" t="s">
        <v>25</v>
      </c>
      <c r="H281" s="52" t="s">
        <v>25</v>
      </c>
      <c r="I281" s="71">
        <v>44501</v>
      </c>
      <c r="J281" s="72">
        <f>EFEITO!$J$281*EFEITO!$Y$210</f>
        <v>0</v>
      </c>
      <c r="K281" s="72">
        <f ca="1">EFEITO!$L$281*EFEITO!$Z$307</f>
        <v>30557.812010785103</v>
      </c>
      <c r="L281" s="72">
        <f>EFEITO!$N$281*EFEITO!$AA$307</f>
        <v>9512.5338004042769</v>
      </c>
      <c r="M281" s="72">
        <f>$J$281-EFEITO!$K$281*EFEITO!$Y$281</f>
        <v>0</v>
      </c>
      <c r="N281" s="72">
        <f ca="1">$K$281-EFEITO!$M$281*EFEITO!$Z$281</f>
        <v>12223.124804314044</v>
      </c>
      <c r="O281" s="72">
        <f>$L$281-EFEITO!$O$281*EFEITO!$AA$281</f>
        <v>3805.0135201617104</v>
      </c>
      <c r="P281" s="56"/>
      <c r="Q281" s="56"/>
      <c r="R281" s="56"/>
      <c r="S281" s="56"/>
      <c r="T281" s="56"/>
      <c r="U281" s="56"/>
      <c r="V281" s="56"/>
      <c r="W281" s="56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</row>
    <row r="282" spans="1:36" ht="11.25" customHeight="1" x14ac:dyDescent="0.2">
      <c r="A282" s="52" t="s">
        <v>28</v>
      </c>
      <c r="B282" s="52" t="s">
        <v>22</v>
      </c>
      <c r="C282" s="52" t="s">
        <v>23</v>
      </c>
      <c r="D282" s="52" t="s">
        <v>24</v>
      </c>
      <c r="E282" s="52" t="s">
        <v>30</v>
      </c>
      <c r="F282" s="52" t="s">
        <v>25</v>
      </c>
      <c r="G282" s="52" t="s">
        <v>25</v>
      </c>
      <c r="H282" s="52" t="s">
        <v>25</v>
      </c>
      <c r="I282" s="71">
        <v>44501</v>
      </c>
      <c r="J282" s="72">
        <f>EFEITO!$J$282*EFEITO!$Y$210</f>
        <v>0</v>
      </c>
      <c r="K282" s="72">
        <f ca="1">EFEITO!$L$282*EFEITO!$Z$307</f>
        <v>31.836290409876458</v>
      </c>
      <c r="L282" s="72">
        <f>EFEITO!$N$282*EFEITO!$AA$307</f>
        <v>9.9105193950584685</v>
      </c>
      <c r="M282" s="72">
        <f>$J$282-EFEITO!$K$282*EFEITO!$Y$282</f>
        <v>0</v>
      </c>
      <c r="N282" s="72">
        <f ca="1">$K$282-EFEITO!$M$282*EFEITO!$Z$282</f>
        <v>20.375225862320931</v>
      </c>
      <c r="O282" s="72">
        <f>$L$282-EFEITO!$O$282*EFEITO!$AA$282</f>
        <v>6.3427324128374192</v>
      </c>
      <c r="P282" s="56"/>
      <c r="Q282" s="56"/>
      <c r="R282" s="56"/>
      <c r="S282" s="56"/>
      <c r="T282" s="56"/>
      <c r="U282" s="56"/>
      <c r="V282" s="56"/>
      <c r="W282" s="56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</row>
    <row r="283" spans="1:36" ht="11.25" customHeight="1" x14ac:dyDescent="0.2">
      <c r="A283" s="52" t="s">
        <v>21</v>
      </c>
      <c r="B283" s="52" t="s">
        <v>22</v>
      </c>
      <c r="C283" s="52" t="s">
        <v>23</v>
      </c>
      <c r="D283" s="52" t="s">
        <v>24</v>
      </c>
      <c r="E283" s="52" t="s">
        <v>30</v>
      </c>
      <c r="F283" s="52" t="s">
        <v>25</v>
      </c>
      <c r="G283" s="52" t="s">
        <v>25</v>
      </c>
      <c r="H283" s="52" t="s">
        <v>25</v>
      </c>
      <c r="I283" s="71">
        <v>44531</v>
      </c>
      <c r="J283" s="72">
        <f>EFEITO!$J$283*EFEITO!$Y$210</f>
        <v>0</v>
      </c>
      <c r="K283" s="72">
        <f ca="1">EFEITO!$L$283*EFEITO!$Z$307</f>
        <v>32881.861210706084</v>
      </c>
      <c r="L283" s="72">
        <f>EFEITO!$N$283*EFEITO!$AA$307</f>
        <v>10236.001716243545</v>
      </c>
      <c r="M283" s="72">
        <f>$J$283-EFEITO!$K$283*EFEITO!$Y$283</f>
        <v>0</v>
      </c>
      <c r="N283" s="72">
        <f ca="1">$K$283-EFEITO!$M$283*EFEITO!$Z$283</f>
        <v>13152.744484282433</v>
      </c>
      <c r="O283" s="72">
        <f>$L$283-EFEITO!$O$283*EFEITO!$AA$283</f>
        <v>4094.4006864974181</v>
      </c>
      <c r="P283" s="56"/>
      <c r="Q283" s="56"/>
      <c r="R283" s="56"/>
      <c r="S283" s="56"/>
      <c r="T283" s="56"/>
      <c r="U283" s="56"/>
      <c r="V283" s="56"/>
      <c r="W283" s="56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</row>
    <row r="284" spans="1:36" ht="11.25" customHeight="1" x14ac:dyDescent="0.2">
      <c r="A284" s="52" t="s">
        <v>28</v>
      </c>
      <c r="B284" s="52" t="s">
        <v>22</v>
      </c>
      <c r="C284" s="52" t="s">
        <v>23</v>
      </c>
      <c r="D284" s="52" t="s">
        <v>24</v>
      </c>
      <c r="E284" s="52" t="s">
        <v>30</v>
      </c>
      <c r="F284" s="52" t="s">
        <v>25</v>
      </c>
      <c r="G284" s="52" t="s">
        <v>25</v>
      </c>
      <c r="H284" s="52" t="s">
        <v>25</v>
      </c>
      <c r="I284" s="71">
        <v>44531</v>
      </c>
      <c r="J284" s="72">
        <f>EFEITO!$J$284*EFEITO!$Y$210</f>
        <v>0</v>
      </c>
      <c r="K284" s="72">
        <f ca="1">EFEITO!$L$284*EFEITO!$Z$307</f>
        <v>16.755942320987611</v>
      </c>
      <c r="L284" s="72">
        <f>EFEITO!$N$284*EFEITO!$AA$307</f>
        <v>5.216062839504457</v>
      </c>
      <c r="M284" s="72">
        <f>$J$284-EFEITO!$K$284*EFEITO!$Y$284</f>
        <v>0</v>
      </c>
      <c r="N284" s="72">
        <f ca="1">$K$284-EFEITO!$M$284*EFEITO!$Z$284</f>
        <v>10.723803085432071</v>
      </c>
      <c r="O284" s="72">
        <f>$L$284-EFEITO!$O$284*EFEITO!$AA$284</f>
        <v>3.3382802172828523</v>
      </c>
      <c r="P284" s="56"/>
      <c r="Q284" s="56"/>
      <c r="R284" s="56"/>
      <c r="S284" s="56"/>
      <c r="T284" s="56"/>
      <c r="U284" s="56"/>
      <c r="V284" s="56"/>
      <c r="W284" s="56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</row>
    <row r="285" spans="1:36" ht="11.25" customHeight="1" x14ac:dyDescent="0.2">
      <c r="A285" s="52" t="s">
        <v>21</v>
      </c>
      <c r="B285" s="52" t="s">
        <v>22</v>
      </c>
      <c r="C285" s="52" t="s">
        <v>23</v>
      </c>
      <c r="D285" s="52" t="s">
        <v>24</v>
      </c>
      <c r="E285" s="52" t="s">
        <v>30</v>
      </c>
      <c r="F285" s="52" t="s">
        <v>25</v>
      </c>
      <c r="G285" s="52" t="s">
        <v>25</v>
      </c>
      <c r="H285" s="52" t="s">
        <v>25</v>
      </c>
      <c r="I285" s="71">
        <v>44562</v>
      </c>
      <c r="J285" s="72">
        <f>EFEITO!$J$285*EFEITO!$Y$210</f>
        <v>0</v>
      </c>
      <c r="K285" s="72">
        <f ca="1">EFEITO!$L$285*EFEITO!$Z$307</f>
        <v>34750.148779496209</v>
      </c>
      <c r="L285" s="72">
        <f>EFEITO!$N$285*EFEITO!$AA$307</f>
        <v>10817.592722848294</v>
      </c>
      <c r="M285" s="72">
        <f>$J$285-EFEITO!$K$285*EFEITO!$Y$285</f>
        <v>0</v>
      </c>
      <c r="N285" s="72">
        <f ca="1">$K$285-EFEITO!$M$285*EFEITO!$Z$285</f>
        <v>13900.059511798485</v>
      </c>
      <c r="O285" s="72">
        <f>$L$285-EFEITO!$O$285*EFEITO!$AA$285</f>
        <v>4327.0370891393177</v>
      </c>
      <c r="P285" s="56"/>
      <c r="Q285" s="56"/>
      <c r="R285" s="56"/>
      <c r="S285" s="56"/>
      <c r="T285" s="56"/>
      <c r="U285" s="56"/>
      <c r="V285" s="56"/>
      <c r="W285" s="56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</row>
    <row r="286" spans="1:36" ht="11.25" customHeight="1" x14ac:dyDescent="0.2">
      <c r="A286" s="52" t="s">
        <v>28</v>
      </c>
      <c r="B286" s="52" t="s">
        <v>22</v>
      </c>
      <c r="C286" s="52" t="s">
        <v>23</v>
      </c>
      <c r="D286" s="52" t="s">
        <v>24</v>
      </c>
      <c r="E286" s="52" t="s">
        <v>30</v>
      </c>
      <c r="F286" s="52" t="s">
        <v>25</v>
      </c>
      <c r="G286" s="52" t="s">
        <v>25</v>
      </c>
      <c r="H286" s="52" t="s">
        <v>25</v>
      </c>
      <c r="I286" s="71">
        <v>44562</v>
      </c>
      <c r="J286" s="72">
        <f>EFEITO!$J$286*EFEITO!$Y$210</f>
        <v>0</v>
      </c>
      <c r="K286" s="72">
        <f ca="1">EFEITO!$L$286*EFEITO!$Z$307</f>
        <v>16.755942320987611</v>
      </c>
      <c r="L286" s="72">
        <f>EFEITO!$N$286*EFEITO!$AA$307</f>
        <v>5.216062839504457</v>
      </c>
      <c r="M286" s="72">
        <f>$J$286-EFEITO!$K$286*EFEITO!$Y$286</f>
        <v>0</v>
      </c>
      <c r="N286" s="72">
        <f ca="1">$K$286-EFEITO!$M$286*EFEITO!$Z$286</f>
        <v>10.723803085432071</v>
      </c>
      <c r="O286" s="72">
        <f>$L$286-EFEITO!$O$286*EFEITO!$AA$286</f>
        <v>3.3382802172828523</v>
      </c>
      <c r="P286" s="56"/>
      <c r="Q286" s="56"/>
      <c r="R286" s="56"/>
      <c r="S286" s="56"/>
      <c r="T286" s="56"/>
      <c r="U286" s="56"/>
      <c r="V286" s="56"/>
      <c r="W286" s="56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</row>
    <row r="287" spans="1:36" ht="11.25" customHeight="1" x14ac:dyDescent="0.2">
      <c r="A287" s="52" t="s">
        <v>21</v>
      </c>
      <c r="B287" s="52" t="s">
        <v>22</v>
      </c>
      <c r="C287" s="52" t="s">
        <v>23</v>
      </c>
      <c r="D287" s="52" t="s">
        <v>24</v>
      </c>
      <c r="E287" s="52" t="s">
        <v>30</v>
      </c>
      <c r="F287" s="52" t="s">
        <v>25</v>
      </c>
      <c r="G287" s="52" t="s">
        <v>25</v>
      </c>
      <c r="H287" s="52" t="s">
        <v>25</v>
      </c>
      <c r="I287" s="71">
        <v>44593</v>
      </c>
      <c r="J287" s="72">
        <f>EFEITO!$J$287*EFEITO!$Y$210</f>
        <v>0</v>
      </c>
      <c r="K287" s="72">
        <f ca="1">EFEITO!$L$287*EFEITO!$Z$307</f>
        <v>36915.016527367799</v>
      </c>
      <c r="L287" s="72">
        <f>EFEITO!$N$287*EFEITO!$AA$307</f>
        <v>11491.508041712268</v>
      </c>
      <c r="M287" s="72">
        <f>$J$287-EFEITO!$K$287*EFEITO!$Y$287</f>
        <v>0</v>
      </c>
      <c r="N287" s="72">
        <f ca="1">$K$287-EFEITO!$M$287*EFEITO!$Z$287</f>
        <v>14766.006610947119</v>
      </c>
      <c r="O287" s="72">
        <f>$L$287-EFEITO!$O$287*EFEITO!$AA$287</f>
        <v>4596.6032166849072</v>
      </c>
      <c r="P287" s="56"/>
      <c r="Q287" s="56"/>
      <c r="R287" s="56"/>
      <c r="S287" s="56"/>
      <c r="T287" s="56"/>
      <c r="U287" s="56"/>
      <c r="V287" s="56"/>
      <c r="W287" s="56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</row>
    <row r="288" spans="1:36" ht="11.25" customHeight="1" x14ac:dyDescent="0.2">
      <c r="A288" s="52" t="s">
        <v>21</v>
      </c>
      <c r="B288" s="52" t="s">
        <v>22</v>
      </c>
      <c r="C288" s="52" t="s">
        <v>23</v>
      </c>
      <c r="D288" s="52" t="s">
        <v>24</v>
      </c>
      <c r="E288" s="52" t="s">
        <v>30</v>
      </c>
      <c r="F288" s="52" t="s">
        <v>25</v>
      </c>
      <c r="G288" s="52" t="s">
        <v>25</v>
      </c>
      <c r="H288" s="52" t="s">
        <v>25</v>
      </c>
      <c r="I288" s="71">
        <v>44621</v>
      </c>
      <c r="J288" s="72">
        <f>EFEITO!$J$288*EFEITO!$Y$210</f>
        <v>0</v>
      </c>
      <c r="K288" s="72">
        <f ca="1">EFEITO!$L$288*EFEITO!$Z$307</f>
        <v>74743.231911229435</v>
      </c>
      <c r="L288" s="72">
        <f>EFEITO!$N$288*EFEITO!$AA$307</f>
        <v>23267.291508177532</v>
      </c>
      <c r="M288" s="72">
        <f>$J$288-EFEITO!$K$288*EFEITO!$Y$288</f>
        <v>0</v>
      </c>
      <c r="N288" s="72">
        <f ca="1">$K$288-EFEITO!$M$288*EFEITO!$Z$288</f>
        <v>29897.29276449178</v>
      </c>
      <c r="O288" s="72">
        <f>$L$288-EFEITO!$O$288*EFEITO!$AA$288</f>
        <v>9306.9166032710127</v>
      </c>
      <c r="P288" s="56"/>
      <c r="Q288" s="56"/>
      <c r="R288" s="56"/>
      <c r="S288" s="56"/>
      <c r="T288" s="56"/>
      <c r="U288" s="56"/>
      <c r="V288" s="56"/>
      <c r="W288" s="56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</row>
    <row r="289" spans="1:36" ht="11.25" customHeight="1" x14ac:dyDescent="0.2">
      <c r="A289" s="52" t="s">
        <v>27</v>
      </c>
      <c r="B289" s="52" t="s">
        <v>22</v>
      </c>
      <c r="C289" s="52" t="s">
        <v>23</v>
      </c>
      <c r="D289" s="52" t="s">
        <v>24</v>
      </c>
      <c r="E289" s="52" t="s">
        <v>30</v>
      </c>
      <c r="F289" s="52" t="s">
        <v>25</v>
      </c>
      <c r="G289" s="52" t="s">
        <v>25</v>
      </c>
      <c r="H289" s="52" t="s">
        <v>25</v>
      </c>
      <c r="I289" s="71">
        <v>44621</v>
      </c>
      <c r="J289" s="72">
        <f>EFEITO!$J$289*EFEITO!$Y$210</f>
        <v>0</v>
      </c>
      <c r="K289" s="72">
        <f ca="1">EFEITO!$L$289*EFEITO!$Z$307</f>
        <v>58.645798123456643</v>
      </c>
      <c r="L289" s="72">
        <f>EFEITO!$N$289*EFEITO!$AA$307</f>
        <v>18.256219938265602</v>
      </c>
      <c r="M289" s="72">
        <f>$J$289-EFEITO!$K$289*EFEITO!$Y$289</f>
        <v>0</v>
      </c>
      <c r="N289" s="72">
        <f ca="1">$K$289-EFEITO!$M$289*EFEITO!$Z$289</f>
        <v>23.458319249382662</v>
      </c>
      <c r="O289" s="72">
        <f>$L$289-EFEITO!$O$289*EFEITO!$AA$289</f>
        <v>7.3024879753062422</v>
      </c>
      <c r="P289" s="56"/>
      <c r="Q289" s="56"/>
      <c r="R289" s="56"/>
      <c r="S289" s="56"/>
      <c r="T289" s="56"/>
      <c r="U289" s="56"/>
      <c r="V289" s="56"/>
      <c r="W289" s="56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</row>
    <row r="290" spans="1:36" ht="11.25" customHeight="1" x14ac:dyDescent="0.2">
      <c r="A290" s="52" t="s">
        <v>21</v>
      </c>
      <c r="B290" s="52" t="s">
        <v>22</v>
      </c>
      <c r="C290" s="52" t="s">
        <v>23</v>
      </c>
      <c r="D290" s="52" t="s">
        <v>24</v>
      </c>
      <c r="E290" s="52" t="s">
        <v>31</v>
      </c>
      <c r="F290" s="52" t="s">
        <v>25</v>
      </c>
      <c r="G290" s="52" t="s">
        <v>25</v>
      </c>
      <c r="H290" s="52" t="s">
        <v>25</v>
      </c>
      <c r="I290" s="71">
        <v>44287</v>
      </c>
      <c r="J290" s="72">
        <f>EFEITO!$J$290*EFEITO!$Y$210</f>
        <v>0</v>
      </c>
      <c r="K290" s="72">
        <f ca="1">EFEITO!$L$290*EFEITO!$Z$307</f>
        <v>21001.060308009823</v>
      </c>
      <c r="L290" s="72">
        <f>EFEITO!$N$290*EFEITO!$AA$307</f>
        <v>6537.5523598929112</v>
      </c>
      <c r="M290" s="72">
        <f>$J$290-EFEITO!$K$290*EFEITO!$Y$290</f>
        <v>0</v>
      </c>
      <c r="N290" s="72">
        <f ca="1">$K$290-EFEITO!$M$290*EFEITO!$Z$290</f>
        <v>2100.1060308009837</v>
      </c>
      <c r="O290" s="72">
        <f>$L$290-EFEITO!$O$290*EFEITO!$AA$290</f>
        <v>653.75523598929158</v>
      </c>
      <c r="P290" s="56"/>
      <c r="Q290" s="56"/>
      <c r="R290" s="56"/>
      <c r="S290" s="56"/>
      <c r="T290" s="56"/>
      <c r="U290" s="56"/>
      <c r="V290" s="56"/>
      <c r="W290" s="56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</row>
    <row r="291" spans="1:36" ht="11.25" customHeight="1" x14ac:dyDescent="0.2">
      <c r="A291" s="52" t="s">
        <v>28</v>
      </c>
      <c r="B291" s="52" t="s">
        <v>22</v>
      </c>
      <c r="C291" s="52" t="s">
        <v>23</v>
      </c>
      <c r="D291" s="52" t="s">
        <v>24</v>
      </c>
      <c r="E291" s="52" t="s">
        <v>31</v>
      </c>
      <c r="F291" s="52" t="s">
        <v>25</v>
      </c>
      <c r="G291" s="52" t="s">
        <v>25</v>
      </c>
      <c r="H291" s="52" t="s">
        <v>25</v>
      </c>
      <c r="I291" s="71">
        <v>44287</v>
      </c>
      <c r="J291" s="72">
        <f>EFEITO!$J$291*EFEITO!$Y$210</f>
        <v>0</v>
      </c>
      <c r="K291" s="72">
        <f ca="1">EFEITO!$L$291*EFEITO!$Z$307</f>
        <v>102.21124815802442</v>
      </c>
      <c r="L291" s="72">
        <f>EFEITO!$N$291*EFEITO!$AA$307</f>
        <v>31.817983320977188</v>
      </c>
      <c r="M291" s="72">
        <f>$J$291-EFEITO!$K$291*EFEITO!$Y$291</f>
        <v>0</v>
      </c>
      <c r="N291" s="72">
        <f ca="1">$K$291-EFEITO!$M$291*EFEITO!$Z$291</f>
        <v>10.22112481580244</v>
      </c>
      <c r="O291" s="72">
        <f>$L$291-EFEITO!$O$291*EFEITO!$AA$291</f>
        <v>3.1817983320977206</v>
      </c>
      <c r="P291" s="56"/>
      <c r="Q291" s="56"/>
      <c r="R291" s="56"/>
      <c r="S291" s="56"/>
      <c r="T291" s="56"/>
      <c r="U291" s="56"/>
      <c r="V291" s="56"/>
      <c r="W291" s="56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</row>
    <row r="292" spans="1:36" ht="11.25" customHeight="1" x14ac:dyDescent="0.2">
      <c r="A292" s="52" t="s">
        <v>21</v>
      </c>
      <c r="B292" s="52" t="s">
        <v>22</v>
      </c>
      <c r="C292" s="52" t="s">
        <v>23</v>
      </c>
      <c r="D292" s="52" t="s">
        <v>24</v>
      </c>
      <c r="E292" s="52" t="s">
        <v>31</v>
      </c>
      <c r="F292" s="52" t="s">
        <v>25</v>
      </c>
      <c r="G292" s="52" t="s">
        <v>25</v>
      </c>
      <c r="H292" s="52" t="s">
        <v>25</v>
      </c>
      <c r="I292" s="71">
        <v>44317</v>
      </c>
      <c r="J292" s="72">
        <f>EFEITO!$J$292*EFEITO!$Y$210</f>
        <v>0</v>
      </c>
      <c r="K292" s="72">
        <f ca="1">EFEITO!$L$292*EFEITO!$Z$307</f>
        <v>14968.083275338233</v>
      </c>
      <c r="L292" s="72">
        <f>EFEITO!$N$292*EFEITO!$AA$307</f>
        <v>4659.5089345293309</v>
      </c>
      <c r="M292" s="72">
        <f>$J$292-EFEITO!$K$292*EFEITO!$Y$292</f>
        <v>0</v>
      </c>
      <c r="N292" s="72">
        <f ca="1">$K$292-EFEITO!$M$292*EFEITO!$Z$292</f>
        <v>1496.8083275338231</v>
      </c>
      <c r="O292" s="72">
        <f>$L$292-EFEITO!$O$292*EFEITO!$AA$292</f>
        <v>465.95089345293309</v>
      </c>
      <c r="P292" s="56"/>
      <c r="Q292" s="56"/>
      <c r="R292" s="56"/>
      <c r="S292" s="56"/>
      <c r="T292" s="56"/>
      <c r="U292" s="56"/>
      <c r="V292" s="56"/>
      <c r="W292" s="56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</row>
    <row r="293" spans="1:36" ht="11.25" customHeight="1" x14ac:dyDescent="0.2">
      <c r="A293" s="52" t="s">
        <v>27</v>
      </c>
      <c r="B293" s="52" t="s">
        <v>22</v>
      </c>
      <c r="C293" s="52" t="s">
        <v>23</v>
      </c>
      <c r="D293" s="52" t="s">
        <v>24</v>
      </c>
      <c r="E293" s="52" t="s">
        <v>31</v>
      </c>
      <c r="F293" s="52" t="s">
        <v>25</v>
      </c>
      <c r="G293" s="52" t="s">
        <v>25</v>
      </c>
      <c r="H293" s="52" t="s">
        <v>25</v>
      </c>
      <c r="I293" s="71">
        <v>44317</v>
      </c>
      <c r="J293" s="72">
        <f>EFEITO!$J$293*EFEITO!$Y$210</f>
        <v>0</v>
      </c>
      <c r="K293" s="72">
        <f ca="1">EFEITO!$L$293*EFEITO!$Z$307</f>
        <v>1897.610467851847</v>
      </c>
      <c r="L293" s="72">
        <f>EFEITO!$N$293*EFEITO!$AA$307</f>
        <v>590.71911657387977</v>
      </c>
      <c r="M293" s="72">
        <f>$J$293-EFEITO!$K$293*EFEITO!$Y$293</f>
        <v>0</v>
      </c>
      <c r="N293" s="72">
        <f ca="1">$K$293-EFEITO!$M$293*EFEITO!$Z$293</f>
        <v>189.76104678518459</v>
      </c>
      <c r="O293" s="72">
        <f>$L$293-EFEITO!$O$293*EFEITO!$AA$293</f>
        <v>59.071911657388</v>
      </c>
      <c r="P293" s="56"/>
      <c r="Q293" s="56"/>
      <c r="R293" s="56"/>
      <c r="S293" s="56"/>
      <c r="T293" s="56"/>
      <c r="U293" s="56"/>
      <c r="V293" s="56"/>
      <c r="W293" s="56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</row>
    <row r="294" spans="1:36" ht="11.25" customHeight="1" x14ac:dyDescent="0.2">
      <c r="A294" s="52" t="s">
        <v>21</v>
      </c>
      <c r="B294" s="52" t="s">
        <v>22</v>
      </c>
      <c r="C294" s="52" t="s">
        <v>23</v>
      </c>
      <c r="D294" s="52" t="s">
        <v>24</v>
      </c>
      <c r="E294" s="52" t="s">
        <v>31</v>
      </c>
      <c r="F294" s="52" t="s">
        <v>25</v>
      </c>
      <c r="G294" s="52" t="s">
        <v>25</v>
      </c>
      <c r="H294" s="52" t="s">
        <v>25</v>
      </c>
      <c r="I294" s="71">
        <v>44348</v>
      </c>
      <c r="J294" s="72">
        <f>EFEITO!$J$294*EFEITO!$Y$210</f>
        <v>0</v>
      </c>
      <c r="K294" s="72">
        <f ca="1">EFEITO!$L$294*EFEITO!$Z$307</f>
        <v>17297.159257955511</v>
      </c>
      <c r="L294" s="72">
        <f>EFEITO!$N$294*EFEITO!$AA$307</f>
        <v>5384.5416692204508</v>
      </c>
      <c r="M294" s="72">
        <f>$J$294-EFEITO!$K$294*EFEITO!$Y$294</f>
        <v>0</v>
      </c>
      <c r="N294" s="72">
        <f ca="1">$K$294-EFEITO!$M$294*EFEITO!$Z$294</f>
        <v>1729.71592579555</v>
      </c>
      <c r="O294" s="72">
        <f>$L$294-EFEITO!$O$294*EFEITO!$AA$294</f>
        <v>538.45416692204526</v>
      </c>
      <c r="P294" s="56"/>
      <c r="Q294" s="56"/>
      <c r="R294" s="56"/>
      <c r="S294" s="56"/>
      <c r="T294" s="56"/>
      <c r="U294" s="56"/>
      <c r="V294" s="56"/>
      <c r="W294" s="56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</row>
    <row r="295" spans="1:36" ht="11.25" customHeight="1" x14ac:dyDescent="0.2">
      <c r="A295" s="52" t="s">
        <v>27</v>
      </c>
      <c r="B295" s="52" t="s">
        <v>22</v>
      </c>
      <c r="C295" s="52" t="s">
        <v>23</v>
      </c>
      <c r="D295" s="52" t="s">
        <v>24</v>
      </c>
      <c r="E295" s="52" t="s">
        <v>31</v>
      </c>
      <c r="F295" s="52" t="s">
        <v>25</v>
      </c>
      <c r="G295" s="52" t="s">
        <v>25</v>
      </c>
      <c r="H295" s="52" t="s">
        <v>25</v>
      </c>
      <c r="I295" s="71">
        <v>44348</v>
      </c>
      <c r="J295" s="72">
        <f>EFEITO!$J$295*EFEITO!$Y$210</f>
        <v>0</v>
      </c>
      <c r="K295" s="72">
        <f ca="1">EFEITO!$L$295*EFEITO!$Z$307</f>
        <v>498.48928404938141</v>
      </c>
      <c r="L295" s="72">
        <f>EFEITO!$N$295*EFEITO!$AA$307</f>
        <v>155.17786947525758</v>
      </c>
      <c r="M295" s="72">
        <f>$J$295-EFEITO!$K$295*EFEITO!$Y$295</f>
        <v>0</v>
      </c>
      <c r="N295" s="72">
        <f ca="1">$K$295-EFEITO!$M$295*EFEITO!$Z$295</f>
        <v>49.848928404938135</v>
      </c>
      <c r="O295" s="72">
        <f>$L$295-EFEITO!$O$295*EFEITO!$AA$295</f>
        <v>15.517786947525764</v>
      </c>
      <c r="P295" s="56"/>
      <c r="Q295" s="56"/>
      <c r="R295" s="56"/>
      <c r="S295" s="56"/>
      <c r="T295" s="56"/>
      <c r="U295" s="56"/>
      <c r="V295" s="56"/>
      <c r="W295" s="56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</row>
    <row r="296" spans="1:36" ht="11.25" customHeight="1" x14ac:dyDescent="0.2">
      <c r="A296" s="52" t="s">
        <v>21</v>
      </c>
      <c r="B296" s="52" t="s">
        <v>22</v>
      </c>
      <c r="C296" s="52" t="s">
        <v>23</v>
      </c>
      <c r="D296" s="52" t="s">
        <v>24</v>
      </c>
      <c r="E296" s="52" t="s">
        <v>31</v>
      </c>
      <c r="F296" s="52" t="s">
        <v>25</v>
      </c>
      <c r="G296" s="52" t="s">
        <v>25</v>
      </c>
      <c r="H296" s="52" t="s">
        <v>25</v>
      </c>
      <c r="I296" s="71">
        <v>44378</v>
      </c>
      <c r="J296" s="72">
        <f>EFEITO!$J$296*EFEITO!$Y$210</f>
        <v>0</v>
      </c>
      <c r="K296" s="72">
        <f ca="1">EFEITO!$L$296*EFEITO!$Z$307</f>
        <v>13806.058675377741</v>
      </c>
      <c r="L296" s="72">
        <f>EFEITO!$N$296*EFEITO!$AA$307</f>
        <v>4297.7749766096968</v>
      </c>
      <c r="M296" s="72">
        <f>$J$296-EFEITO!$K$296*EFEITO!$Y$296</f>
        <v>0</v>
      </c>
      <c r="N296" s="72">
        <f ca="1">$K$296-EFEITO!$M$296*EFEITO!$Z$296</f>
        <v>1380.6058675377735</v>
      </c>
      <c r="O296" s="72">
        <f>$L$296-EFEITO!$O$296*EFEITO!$AA$296</f>
        <v>429.7774976609694</v>
      </c>
      <c r="P296" s="56"/>
      <c r="Q296" s="56"/>
      <c r="R296" s="56"/>
      <c r="S296" s="56"/>
      <c r="T296" s="56"/>
      <c r="U296" s="56"/>
      <c r="V296" s="56"/>
      <c r="W296" s="56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</row>
    <row r="297" spans="1:36" ht="11.25" customHeight="1" x14ac:dyDescent="0.2">
      <c r="A297" s="52" t="s">
        <v>21</v>
      </c>
      <c r="B297" s="52" t="s">
        <v>22</v>
      </c>
      <c r="C297" s="52" t="s">
        <v>23</v>
      </c>
      <c r="D297" s="52" t="s">
        <v>24</v>
      </c>
      <c r="E297" s="52" t="s">
        <v>31</v>
      </c>
      <c r="F297" s="52" t="s">
        <v>25</v>
      </c>
      <c r="G297" s="52" t="s">
        <v>25</v>
      </c>
      <c r="H297" s="52" t="s">
        <v>25</v>
      </c>
      <c r="I297" s="71">
        <v>44409</v>
      </c>
      <c r="J297" s="72">
        <f>EFEITO!$J$297*EFEITO!$Y$210</f>
        <v>0</v>
      </c>
      <c r="K297" s="72">
        <f ca="1">EFEITO!$L$297*EFEITO!$Z$307</f>
        <v>14314.601524819715</v>
      </c>
      <c r="L297" s="72">
        <f>EFEITO!$N$297*EFEITO!$AA$307</f>
        <v>4456.0824837886576</v>
      </c>
      <c r="M297" s="72">
        <f>$J$297-EFEITO!$K$297*EFEITO!$Y$297</f>
        <v>0</v>
      </c>
      <c r="N297" s="72">
        <f ca="1">$K$297-EFEITO!$M$297*EFEITO!$Z$297</f>
        <v>1431.4601524819718</v>
      </c>
      <c r="O297" s="72">
        <f>$L$297-EFEITO!$O$297*EFEITO!$AA$297</f>
        <v>445.60824837886594</v>
      </c>
      <c r="P297" s="56"/>
      <c r="Q297" s="56"/>
      <c r="R297" s="56"/>
      <c r="S297" s="56"/>
      <c r="T297" s="56"/>
      <c r="U297" s="56"/>
      <c r="V297" s="56"/>
      <c r="W297" s="56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</row>
    <row r="298" spans="1:36" ht="11.25" customHeight="1" x14ac:dyDescent="0.2">
      <c r="A298" s="52" t="s">
        <v>28</v>
      </c>
      <c r="B298" s="52" t="s">
        <v>22</v>
      </c>
      <c r="C298" s="52" t="s">
        <v>23</v>
      </c>
      <c r="D298" s="52" t="s">
        <v>24</v>
      </c>
      <c r="E298" s="52" t="s">
        <v>31</v>
      </c>
      <c r="F298" s="52" t="s">
        <v>25</v>
      </c>
      <c r="G298" s="52" t="s">
        <v>25</v>
      </c>
      <c r="H298" s="52" t="s">
        <v>25</v>
      </c>
      <c r="I298" s="71">
        <v>44409</v>
      </c>
      <c r="J298" s="72">
        <f>EFEITO!$J$298*EFEITO!$Y$210</f>
        <v>0</v>
      </c>
      <c r="K298" s="72">
        <f ca="1">EFEITO!$L$298*EFEITO!$Z$307</f>
        <v>25.133913481481414</v>
      </c>
      <c r="L298" s="72">
        <f>EFEITO!$N$298*EFEITO!$AA$307</f>
        <v>7.8240942592566851</v>
      </c>
      <c r="M298" s="72">
        <f>$J$298-EFEITO!$K$298*EFEITO!$Y$298</f>
        <v>0</v>
      </c>
      <c r="N298" s="72">
        <f ca="1">$K$298-EFEITO!$M$298*EFEITO!$Z$298</f>
        <v>2.51339134814814</v>
      </c>
      <c r="O298" s="72">
        <f>$L$298-EFEITO!$O$298*EFEITO!$AA$298</f>
        <v>0.78240942592566842</v>
      </c>
      <c r="P298" s="56"/>
      <c r="Q298" s="56"/>
      <c r="R298" s="56"/>
      <c r="S298" s="56"/>
      <c r="T298" s="56"/>
      <c r="U298" s="56"/>
      <c r="V298" s="56"/>
      <c r="W298" s="56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</row>
    <row r="299" spans="1:36" ht="11.25" customHeight="1" x14ac:dyDescent="0.2">
      <c r="A299" s="52" t="s">
        <v>21</v>
      </c>
      <c r="B299" s="52" t="s">
        <v>22</v>
      </c>
      <c r="C299" s="52" t="s">
        <v>23</v>
      </c>
      <c r="D299" s="52" t="s">
        <v>24</v>
      </c>
      <c r="E299" s="52" t="s">
        <v>31</v>
      </c>
      <c r="F299" s="52" t="s">
        <v>25</v>
      </c>
      <c r="G299" s="52" t="s">
        <v>25</v>
      </c>
      <c r="H299" s="52" t="s">
        <v>25</v>
      </c>
      <c r="I299" s="71">
        <v>44440</v>
      </c>
      <c r="J299" s="72">
        <f>EFEITO!$J$299*EFEITO!$Y$210</f>
        <v>0</v>
      </c>
      <c r="K299" s="72">
        <f ca="1">EFEITO!$L$299*EFEITO!$Z$307</f>
        <v>20985.979959920933</v>
      </c>
      <c r="L299" s="72">
        <f>EFEITO!$N$299*EFEITO!$AA$307</f>
        <v>6532.8579033373571</v>
      </c>
      <c r="M299" s="72">
        <f>$J$299-EFEITO!$K$299*EFEITO!$Y$299</f>
        <v>0</v>
      </c>
      <c r="N299" s="72">
        <f ca="1">$K$299-EFEITO!$M$299*EFEITO!$Z$299</f>
        <v>2098.5979959920915</v>
      </c>
      <c r="O299" s="72">
        <f>$L$299-EFEITO!$O$299*EFEITO!$AA$299</f>
        <v>653.28579033373626</v>
      </c>
      <c r="P299" s="56"/>
      <c r="Q299" s="56"/>
      <c r="R299" s="56"/>
      <c r="S299" s="56"/>
      <c r="T299" s="56"/>
      <c r="U299" s="56"/>
      <c r="V299" s="56"/>
      <c r="W299" s="56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</row>
    <row r="300" spans="1:36" ht="11.25" customHeight="1" x14ac:dyDescent="0.2">
      <c r="A300" s="52" t="s">
        <v>21</v>
      </c>
      <c r="B300" s="52" t="s">
        <v>22</v>
      </c>
      <c r="C300" s="52" t="s">
        <v>23</v>
      </c>
      <c r="D300" s="52" t="s">
        <v>24</v>
      </c>
      <c r="E300" s="52" t="s">
        <v>31</v>
      </c>
      <c r="F300" s="52" t="s">
        <v>25</v>
      </c>
      <c r="G300" s="52" t="s">
        <v>25</v>
      </c>
      <c r="H300" s="52" t="s">
        <v>25</v>
      </c>
      <c r="I300" s="71">
        <v>44470</v>
      </c>
      <c r="J300" s="72">
        <f>EFEITO!$J$300*EFEITO!$Y$210</f>
        <v>0</v>
      </c>
      <c r="K300" s="72">
        <f ca="1">EFEITO!$L$300*EFEITO!$Z$307</f>
        <v>21391.473764088834</v>
      </c>
      <c r="L300" s="72">
        <f>EFEITO!$N$300*EFEITO!$AA$307</f>
        <v>6659.0866240533651</v>
      </c>
      <c r="M300" s="72">
        <f>$J$300-EFEITO!$K$300*EFEITO!$Y$300</f>
        <v>0</v>
      </c>
      <c r="N300" s="72">
        <f ca="1">$K$300-EFEITO!$M$300*EFEITO!$Z$300</f>
        <v>2139.1473764088842</v>
      </c>
      <c r="O300" s="72">
        <f>$L$300-EFEITO!$O$300*EFEITO!$AA$300</f>
        <v>665.90866240533614</v>
      </c>
      <c r="P300" s="56"/>
      <c r="Q300" s="56"/>
      <c r="R300" s="56"/>
      <c r="S300" s="56"/>
      <c r="T300" s="56"/>
      <c r="U300" s="56"/>
      <c r="V300" s="56"/>
      <c r="W300" s="56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</row>
    <row r="301" spans="1:36" ht="11.25" customHeight="1" x14ac:dyDescent="0.2">
      <c r="A301" s="52" t="s">
        <v>21</v>
      </c>
      <c r="B301" s="52" t="s">
        <v>22</v>
      </c>
      <c r="C301" s="52" t="s">
        <v>23</v>
      </c>
      <c r="D301" s="52" t="s">
        <v>24</v>
      </c>
      <c r="E301" s="52" t="s">
        <v>31</v>
      </c>
      <c r="F301" s="52" t="s">
        <v>25</v>
      </c>
      <c r="G301" s="52" t="s">
        <v>25</v>
      </c>
      <c r="H301" s="52" t="s">
        <v>25</v>
      </c>
      <c r="I301" s="71">
        <v>44501</v>
      </c>
      <c r="J301" s="72">
        <f>EFEITO!$J$301*EFEITO!$Y$210</f>
        <v>0</v>
      </c>
      <c r="K301" s="72">
        <f ca="1">EFEITO!$L$301*EFEITO!$Z$307</f>
        <v>22554.336161165371</v>
      </c>
      <c r="L301" s="72">
        <f>EFEITO!$N$301*EFEITO!$AA$307</f>
        <v>7021.0813851149742</v>
      </c>
      <c r="M301" s="72">
        <f>$J$301-EFEITO!$K$301*EFEITO!$Y$301</f>
        <v>0</v>
      </c>
      <c r="N301" s="72">
        <f ca="1">$K$301-EFEITO!$M$301*EFEITO!$Z$301</f>
        <v>2255.4336161165338</v>
      </c>
      <c r="O301" s="72">
        <f>$L$301-EFEITO!$O$301*EFEITO!$AA$301</f>
        <v>702.1081385114976</v>
      </c>
      <c r="P301" s="56"/>
      <c r="Q301" s="56"/>
      <c r="R301" s="56"/>
      <c r="S301" s="56"/>
      <c r="T301" s="56"/>
      <c r="U301" s="56"/>
      <c r="V301" s="56"/>
      <c r="W301" s="56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</row>
    <row r="302" spans="1:36" ht="11.25" customHeight="1" x14ac:dyDescent="0.2">
      <c r="A302" s="52" t="s">
        <v>21</v>
      </c>
      <c r="B302" s="52" t="s">
        <v>22</v>
      </c>
      <c r="C302" s="52" t="s">
        <v>23</v>
      </c>
      <c r="D302" s="52" t="s">
        <v>24</v>
      </c>
      <c r="E302" s="52" t="s">
        <v>31</v>
      </c>
      <c r="F302" s="52" t="s">
        <v>25</v>
      </c>
      <c r="G302" s="52" t="s">
        <v>25</v>
      </c>
      <c r="H302" s="52" t="s">
        <v>25</v>
      </c>
      <c r="I302" s="71">
        <v>44531</v>
      </c>
      <c r="J302" s="72">
        <f>EFEITO!$J$302*EFEITO!$Y$210</f>
        <v>0</v>
      </c>
      <c r="K302" s="72">
        <f ca="1">EFEITO!$L$302*EFEITO!$Z$307</f>
        <v>25389.441601876475</v>
      </c>
      <c r="L302" s="72">
        <f>EFEITO!$N$302*EFEITO!$AA$307</f>
        <v>7903.6392175591282</v>
      </c>
      <c r="M302" s="72">
        <f>$J$302-EFEITO!$K$302*EFEITO!$Y$302</f>
        <v>0</v>
      </c>
      <c r="N302" s="72">
        <f ca="1">$K$302-EFEITO!$M$302*EFEITO!$Z$302</f>
        <v>2538.944160187646</v>
      </c>
      <c r="O302" s="72">
        <f>$L$302-EFEITO!$O$302*EFEITO!$AA$302</f>
        <v>790.363921755913</v>
      </c>
      <c r="P302" s="56"/>
      <c r="Q302" s="56"/>
      <c r="R302" s="56"/>
      <c r="S302" s="56"/>
      <c r="T302" s="56"/>
      <c r="U302" s="56"/>
      <c r="V302" s="56"/>
      <c r="W302" s="56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</row>
    <row r="303" spans="1:36" ht="11.25" customHeight="1" x14ac:dyDescent="0.2">
      <c r="A303" s="52" t="s">
        <v>21</v>
      </c>
      <c r="B303" s="52" t="s">
        <v>22</v>
      </c>
      <c r="C303" s="52" t="s">
        <v>23</v>
      </c>
      <c r="D303" s="52" t="s">
        <v>24</v>
      </c>
      <c r="E303" s="52" t="s">
        <v>31</v>
      </c>
      <c r="F303" s="52" t="s">
        <v>25</v>
      </c>
      <c r="G303" s="52" t="s">
        <v>25</v>
      </c>
      <c r="H303" s="52" t="s">
        <v>25</v>
      </c>
      <c r="I303" s="71">
        <v>44562</v>
      </c>
      <c r="J303" s="72">
        <f>EFEITO!$J$303*EFEITO!$Y$210</f>
        <v>0</v>
      </c>
      <c r="K303" s="72">
        <f ca="1">EFEITO!$L$303*EFEITO!$Z$307</f>
        <v>31897.449599348063</v>
      </c>
      <c r="L303" s="72">
        <f>EFEITO!$N$303*EFEITO!$AA$307</f>
        <v>9929.5580244226603</v>
      </c>
      <c r="M303" s="72">
        <f>$J$303-EFEITO!$K$303*EFEITO!$Y$303</f>
        <v>0</v>
      </c>
      <c r="N303" s="72">
        <f ca="1">$K$303-EFEITO!$M$303*EFEITO!$Z$303</f>
        <v>3189.7449599348038</v>
      </c>
      <c r="O303" s="72">
        <f>$L$303-EFEITO!$O$303*EFEITO!$AA$303</f>
        <v>992.95580244226767</v>
      </c>
      <c r="P303" s="56"/>
      <c r="Q303" s="56"/>
      <c r="R303" s="56"/>
      <c r="S303" s="56"/>
      <c r="T303" s="56"/>
      <c r="U303" s="56"/>
      <c r="V303" s="56"/>
      <c r="W303" s="56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</row>
    <row r="304" spans="1:36" ht="11.25" customHeight="1" x14ac:dyDescent="0.2">
      <c r="A304" s="52" t="s">
        <v>21</v>
      </c>
      <c r="B304" s="52" t="s">
        <v>22</v>
      </c>
      <c r="C304" s="52" t="s">
        <v>23</v>
      </c>
      <c r="D304" s="52" t="s">
        <v>24</v>
      </c>
      <c r="E304" s="52" t="s">
        <v>31</v>
      </c>
      <c r="F304" s="52" t="s">
        <v>25</v>
      </c>
      <c r="G304" s="52" t="s">
        <v>25</v>
      </c>
      <c r="H304" s="52" t="s">
        <v>25</v>
      </c>
      <c r="I304" s="71">
        <v>44593</v>
      </c>
      <c r="J304" s="72">
        <f>EFEITO!$J$304*EFEITO!$Y$210</f>
        <v>0</v>
      </c>
      <c r="K304" s="72">
        <f ca="1">EFEITO!$L$304*EFEITO!$Z$307</f>
        <v>36931.772469688796</v>
      </c>
      <c r="L304" s="72">
        <f>EFEITO!$N$304*EFEITO!$AA$307</f>
        <v>11496.724104551773</v>
      </c>
      <c r="M304" s="72">
        <f>$J$304-EFEITO!$K$304*EFEITO!$Y$304</f>
        <v>0</v>
      </c>
      <c r="N304" s="72">
        <f ca="1">$K$304-EFEITO!$M$304*EFEITO!$Z$304</f>
        <v>3693.1772469688804</v>
      </c>
      <c r="O304" s="72">
        <f>$L$304-EFEITO!$O$304*EFEITO!$AA$304</f>
        <v>1149.6724104551777</v>
      </c>
      <c r="P304" s="56"/>
      <c r="Q304" s="56"/>
      <c r="R304" s="56"/>
      <c r="S304" s="56"/>
      <c r="T304" s="56"/>
      <c r="U304" s="56"/>
      <c r="V304" s="56"/>
      <c r="W304" s="56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</row>
    <row r="305" spans="1:36" ht="11.25" customHeight="1" x14ac:dyDescent="0.2">
      <c r="A305" s="52" t="s">
        <v>21</v>
      </c>
      <c r="B305" s="52" t="s">
        <v>22</v>
      </c>
      <c r="C305" s="52" t="s">
        <v>23</v>
      </c>
      <c r="D305" s="52" t="s">
        <v>24</v>
      </c>
      <c r="E305" s="52" t="s">
        <v>31</v>
      </c>
      <c r="F305" s="52" t="s">
        <v>25</v>
      </c>
      <c r="G305" s="52" t="s">
        <v>25</v>
      </c>
      <c r="H305" s="52" t="s">
        <v>25</v>
      </c>
      <c r="I305" s="71">
        <v>44621</v>
      </c>
      <c r="J305" s="72">
        <f>EFEITO!$J$305*EFEITO!$Y$210</f>
        <v>0</v>
      </c>
      <c r="K305" s="72">
        <f ca="1">EFEITO!$L$305*EFEITO!$Z$307</f>
        <v>63414.539308009706</v>
      </c>
      <c r="L305" s="72">
        <f>EFEITO!$N$305*EFEITO!$AA$307</f>
        <v>19740.711422388566</v>
      </c>
      <c r="M305" s="72">
        <f>$J$305-EFEITO!$K$305*EFEITO!$Y$305</f>
        <v>0</v>
      </c>
      <c r="N305" s="72">
        <f ca="1">$K$305-EFEITO!$M$305*EFEITO!$Z$305</f>
        <v>6341.4539308009698</v>
      </c>
      <c r="O305" s="72">
        <f>$L$305-EFEITO!$O$305*EFEITO!$AA$305</f>
        <v>1974.0711422388558</v>
      </c>
      <c r="P305" s="56"/>
      <c r="Q305" s="56"/>
      <c r="R305" s="56"/>
      <c r="S305" s="56"/>
      <c r="T305" s="56"/>
      <c r="U305" s="56"/>
      <c r="V305" s="56"/>
      <c r="W305" s="56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</row>
    <row r="306" spans="1:36" ht="11.25" customHeight="1" x14ac:dyDescent="0.2">
      <c r="A306" s="52" t="s">
        <v>27</v>
      </c>
      <c r="B306" s="52" t="s">
        <v>22</v>
      </c>
      <c r="C306" s="52" t="s">
        <v>23</v>
      </c>
      <c r="D306" s="52" t="s">
        <v>24</v>
      </c>
      <c r="E306" s="52" t="s">
        <v>31</v>
      </c>
      <c r="F306" s="52" t="s">
        <v>25</v>
      </c>
      <c r="G306" s="52" t="s">
        <v>25</v>
      </c>
      <c r="H306" s="52" t="s">
        <v>25</v>
      </c>
      <c r="I306" s="71">
        <v>44621</v>
      </c>
      <c r="J306" s="72">
        <f>EFEITO!$J$306*EFEITO!$Y$210</f>
        <v>0</v>
      </c>
      <c r="K306" s="72">
        <f ca="1">EFEITO!$L$306*EFEITO!$Z$307</f>
        <v>96.346668345678765</v>
      </c>
      <c r="L306" s="72">
        <f>EFEITO!$N$306*EFEITO!$AA$307</f>
        <v>29.992361327150629</v>
      </c>
      <c r="M306" s="72">
        <f>$J$306-EFEITO!$K$306*EFEITO!$Y$306</f>
        <v>0</v>
      </c>
      <c r="N306" s="72">
        <f ca="1">$K$306-EFEITO!$M$306*EFEITO!$Z$306</f>
        <v>9.6346668345678808</v>
      </c>
      <c r="O306" s="72">
        <f>$L$306-EFEITO!$O$306*EFEITO!$AA$306</f>
        <v>2.9992361327150654</v>
      </c>
      <c r="P306" s="56"/>
      <c r="Q306" s="56"/>
      <c r="R306" s="56"/>
      <c r="S306" s="56"/>
      <c r="T306" s="56"/>
      <c r="U306" s="56"/>
      <c r="V306" s="56"/>
      <c r="W306" s="56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</row>
    <row r="307" spans="1:36" ht="11.25" customHeight="1" x14ac:dyDescent="0.2">
      <c r="A307" s="52" t="s">
        <v>21</v>
      </c>
      <c r="B307" s="52" t="s">
        <v>22</v>
      </c>
      <c r="C307" s="52" t="s">
        <v>23</v>
      </c>
      <c r="D307" s="52" t="s">
        <v>24</v>
      </c>
      <c r="E307" s="52" t="s">
        <v>32</v>
      </c>
      <c r="F307" s="52" t="s">
        <v>25</v>
      </c>
      <c r="G307" s="52" t="s">
        <v>25</v>
      </c>
      <c r="H307" s="52" t="s">
        <v>25</v>
      </c>
      <c r="I307" s="71">
        <v>44287</v>
      </c>
      <c r="J307" s="72">
        <f>EFEITO!$J$307*EFEITO!$Y$210</f>
        <v>0</v>
      </c>
      <c r="K307" s="72">
        <f ca="1">EFEITO!$L$307*EFEITO!$Z$307</f>
        <v>6070.6779028938117</v>
      </c>
      <c r="L307" s="72">
        <f>EFEITO!$N$307*EFEITO!$AA$307</f>
        <v>1889.7795667524649</v>
      </c>
      <c r="M307" s="72">
        <f>$J$307-EFEITO!$K$307*EFEITO!$Y$307</f>
        <v>0</v>
      </c>
      <c r="N307" s="72">
        <f ca="1">$K$307-EFEITO!$M$307*EFEITO!$Z$307</f>
        <v>0</v>
      </c>
      <c r="O307" s="72">
        <f>$L$307-EFEITO!$O$307*EFEITO!$AA$307</f>
        <v>0</v>
      </c>
      <c r="P307" s="56"/>
      <c r="Q307" s="56"/>
      <c r="R307" s="56"/>
      <c r="S307" s="56"/>
      <c r="T307" s="56"/>
      <c r="U307" s="56"/>
      <c r="V307" s="56"/>
      <c r="W307" s="56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</row>
    <row r="308" spans="1:36" ht="11.25" customHeight="1" x14ac:dyDescent="0.2">
      <c r="A308" s="52" t="s">
        <v>21</v>
      </c>
      <c r="B308" s="52" t="s">
        <v>22</v>
      </c>
      <c r="C308" s="52" t="s">
        <v>23</v>
      </c>
      <c r="D308" s="52" t="s">
        <v>24</v>
      </c>
      <c r="E308" s="52" t="s">
        <v>32</v>
      </c>
      <c r="F308" s="52" t="s">
        <v>25</v>
      </c>
      <c r="G308" s="52" t="s">
        <v>25</v>
      </c>
      <c r="H308" s="52" t="s">
        <v>25</v>
      </c>
      <c r="I308" s="71">
        <v>44317</v>
      </c>
      <c r="J308" s="72">
        <f>EFEITO!$J$308*EFEITO!$Y$210</f>
        <v>0</v>
      </c>
      <c r="K308" s="72">
        <f ca="1">EFEITO!$L$308*EFEITO!$Z$307</f>
        <v>2637.3853213234502</v>
      </c>
      <c r="L308" s="72">
        <f>EFEITO!$N$308*EFEITO!$AA$307</f>
        <v>821.00829093800155</v>
      </c>
      <c r="M308" s="72">
        <f>$J$308-EFEITO!$K$308*EFEITO!$Y$308</f>
        <v>0</v>
      </c>
      <c r="N308" s="72">
        <f ca="1">$K$308-EFEITO!$M$308*EFEITO!$Z$308</f>
        <v>0</v>
      </c>
      <c r="O308" s="72">
        <f>$L$308-EFEITO!$O$308*EFEITO!$AA$308</f>
        <v>0</v>
      </c>
      <c r="P308" s="56"/>
      <c r="Q308" s="56"/>
      <c r="R308" s="56"/>
      <c r="S308" s="56"/>
      <c r="T308" s="56"/>
      <c r="U308" s="56"/>
      <c r="V308" s="56"/>
      <c r="W308" s="56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</row>
    <row r="309" spans="1:36" ht="11.25" customHeight="1" x14ac:dyDescent="0.2">
      <c r="A309" s="52" t="s">
        <v>27</v>
      </c>
      <c r="B309" s="52" t="s">
        <v>22</v>
      </c>
      <c r="C309" s="52" t="s">
        <v>23</v>
      </c>
      <c r="D309" s="52" t="s">
        <v>24</v>
      </c>
      <c r="E309" s="52" t="s">
        <v>32</v>
      </c>
      <c r="F309" s="52" t="s">
        <v>25</v>
      </c>
      <c r="G309" s="52" t="s">
        <v>25</v>
      </c>
      <c r="H309" s="52" t="s">
        <v>25</v>
      </c>
      <c r="I309" s="71">
        <v>44317</v>
      </c>
      <c r="J309" s="72">
        <f>EFEITO!$J$309*EFEITO!$Y$210</f>
        <v>0</v>
      </c>
      <c r="K309" s="72">
        <f ca="1">EFEITO!$L$309*EFEITO!$Z$307</f>
        <v>317.52510698271522</v>
      </c>
      <c r="L309" s="72">
        <f>EFEITO!$N$309*EFEITO!$AA$307</f>
        <v>98.844390808609461</v>
      </c>
      <c r="M309" s="72">
        <f>$J$309-EFEITO!$K$309*EFEITO!$Y$309</f>
        <v>0</v>
      </c>
      <c r="N309" s="72">
        <f ca="1">$K$309-EFEITO!$M$309*EFEITO!$Z$309</f>
        <v>0</v>
      </c>
      <c r="O309" s="72">
        <f>$L$309-EFEITO!$O$309*EFEITO!$AA$309</f>
        <v>0</v>
      </c>
      <c r="P309" s="56"/>
      <c r="Q309" s="56"/>
      <c r="R309" s="56"/>
      <c r="S309" s="56"/>
      <c r="T309" s="56"/>
      <c r="U309" s="56"/>
      <c r="V309" s="56"/>
      <c r="W309" s="56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</row>
    <row r="310" spans="1:36" ht="11.25" customHeight="1" x14ac:dyDescent="0.2">
      <c r="A310" s="52" t="s">
        <v>21</v>
      </c>
      <c r="B310" s="52" t="s">
        <v>22</v>
      </c>
      <c r="C310" s="52" t="s">
        <v>23</v>
      </c>
      <c r="D310" s="52" t="s">
        <v>24</v>
      </c>
      <c r="E310" s="52" t="s">
        <v>32</v>
      </c>
      <c r="F310" s="52" t="s">
        <v>25</v>
      </c>
      <c r="G310" s="52" t="s">
        <v>25</v>
      </c>
      <c r="H310" s="52" t="s">
        <v>25</v>
      </c>
      <c r="I310" s="71">
        <v>44348</v>
      </c>
      <c r="J310" s="72">
        <f>EFEITO!$J$310*EFEITO!$Y$210</f>
        <v>0</v>
      </c>
      <c r="K310" s="72">
        <f ca="1">EFEITO!$L$310*EFEITO!$Z$307</f>
        <v>2598.8466539851784</v>
      </c>
      <c r="L310" s="72">
        <f>EFEITO!$N$310*EFEITO!$AA$307</f>
        <v>809.01134640714122</v>
      </c>
      <c r="M310" s="72">
        <f>$J$310-EFEITO!$K$310*EFEITO!$Y$310</f>
        <v>0</v>
      </c>
      <c r="N310" s="72">
        <f ca="1">$K$310-EFEITO!$M$310*EFEITO!$Z$310</f>
        <v>0</v>
      </c>
      <c r="O310" s="72">
        <f>$L$310-EFEITO!$O$310*EFEITO!$AA$310</f>
        <v>0</v>
      </c>
      <c r="P310" s="56"/>
      <c r="Q310" s="56"/>
      <c r="R310" s="56"/>
      <c r="S310" s="56"/>
      <c r="T310" s="56"/>
      <c r="U310" s="56"/>
      <c r="V310" s="56"/>
      <c r="W310" s="56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</row>
    <row r="311" spans="1:36" ht="11.25" customHeight="1" x14ac:dyDescent="0.2">
      <c r="A311" s="52" t="s">
        <v>27</v>
      </c>
      <c r="B311" s="52" t="s">
        <v>22</v>
      </c>
      <c r="C311" s="52" t="s">
        <v>23</v>
      </c>
      <c r="D311" s="52" t="s">
        <v>24</v>
      </c>
      <c r="E311" s="52" t="s">
        <v>32</v>
      </c>
      <c r="F311" s="52" t="s">
        <v>25</v>
      </c>
      <c r="G311" s="52" t="s">
        <v>25</v>
      </c>
      <c r="H311" s="52" t="s">
        <v>25</v>
      </c>
      <c r="I311" s="71">
        <v>44348</v>
      </c>
      <c r="J311" s="72">
        <f>EFEITO!$J$311*EFEITO!$Y$210</f>
        <v>0</v>
      </c>
      <c r="K311" s="72">
        <f ca="1">EFEITO!$L$311*EFEITO!$Z$307</f>
        <v>222.85403286913524</v>
      </c>
      <c r="L311" s="72">
        <f>EFEITO!$N$311*EFEITO!$AA$307</f>
        <v>69.373635765409276</v>
      </c>
      <c r="M311" s="72">
        <f>$J$311-EFEITO!$K$311*EFEITO!$Y$311</f>
        <v>0</v>
      </c>
      <c r="N311" s="72">
        <f ca="1">$K$311-EFEITO!$M$311*EFEITO!$Z$311</f>
        <v>0</v>
      </c>
      <c r="O311" s="72">
        <f>$L$311-EFEITO!$O$311*EFEITO!$AA$311</f>
        <v>0</v>
      </c>
      <c r="P311" s="56"/>
      <c r="Q311" s="56"/>
      <c r="R311" s="56"/>
      <c r="S311" s="56"/>
      <c r="T311" s="56"/>
      <c r="U311" s="56"/>
      <c r="V311" s="56"/>
      <c r="W311" s="56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</row>
    <row r="312" spans="1:36" ht="11.25" customHeight="1" x14ac:dyDescent="0.2">
      <c r="A312" s="52" t="s">
        <v>21</v>
      </c>
      <c r="B312" s="52" t="s">
        <v>22</v>
      </c>
      <c r="C312" s="52" t="s">
        <v>23</v>
      </c>
      <c r="D312" s="52" t="s">
        <v>24</v>
      </c>
      <c r="E312" s="52" t="s">
        <v>32</v>
      </c>
      <c r="F312" s="52" t="s">
        <v>25</v>
      </c>
      <c r="G312" s="52" t="s">
        <v>25</v>
      </c>
      <c r="H312" s="52" t="s">
        <v>25</v>
      </c>
      <c r="I312" s="71">
        <v>44378</v>
      </c>
      <c r="J312" s="72">
        <f>EFEITO!$J$312*EFEITO!$Y$210</f>
        <v>0</v>
      </c>
      <c r="K312" s="72">
        <f ca="1">EFEITO!$L$312*EFEITO!$Z$307</f>
        <v>1681.4588119111067</v>
      </c>
      <c r="L312" s="72">
        <f>EFEITO!$N$312*EFEITO!$AA$307</f>
        <v>523.43190594427233</v>
      </c>
      <c r="M312" s="72">
        <f>$J$312-EFEITO!$K$312*EFEITO!$Y$312</f>
        <v>0</v>
      </c>
      <c r="N312" s="72">
        <f ca="1">$K$312-EFEITO!$M$312*EFEITO!$Z$312</f>
        <v>0</v>
      </c>
      <c r="O312" s="72">
        <f>$L$312-EFEITO!$O$312*EFEITO!$AA$312</f>
        <v>0</v>
      </c>
      <c r="P312" s="56"/>
      <c r="Q312" s="56"/>
      <c r="R312" s="56"/>
      <c r="S312" s="56"/>
      <c r="T312" s="56"/>
      <c r="U312" s="56"/>
      <c r="V312" s="56"/>
      <c r="W312" s="56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</row>
    <row r="313" spans="1:36" ht="11.25" customHeight="1" x14ac:dyDescent="0.2">
      <c r="A313" s="52" t="s">
        <v>21</v>
      </c>
      <c r="B313" s="52" t="s">
        <v>22</v>
      </c>
      <c r="C313" s="52" t="s">
        <v>23</v>
      </c>
      <c r="D313" s="52" t="s">
        <v>24</v>
      </c>
      <c r="E313" s="52" t="s">
        <v>32</v>
      </c>
      <c r="F313" s="52" t="s">
        <v>25</v>
      </c>
      <c r="G313" s="52" t="s">
        <v>25</v>
      </c>
      <c r="H313" s="52" t="s">
        <v>25</v>
      </c>
      <c r="I313" s="71">
        <v>44409</v>
      </c>
      <c r="J313" s="72">
        <f>EFEITO!$J$313*EFEITO!$Y$210</f>
        <v>0</v>
      </c>
      <c r="K313" s="72">
        <f ca="1">EFEITO!$L$313*EFEITO!$Z$307</f>
        <v>1672.2430436345635</v>
      </c>
      <c r="L313" s="72">
        <f>EFEITO!$N$313*EFEITO!$AA$307</f>
        <v>520.56307138254476</v>
      </c>
      <c r="M313" s="72">
        <f>$J$313-EFEITO!$K$313*EFEITO!$Y$313</f>
        <v>0</v>
      </c>
      <c r="N313" s="72">
        <f ca="1">$K$313-EFEITO!$M$313*EFEITO!$Z$313</f>
        <v>0</v>
      </c>
      <c r="O313" s="72">
        <f>$L$313-EFEITO!$O$313*EFEITO!$AA$313</f>
        <v>0</v>
      </c>
      <c r="P313" s="56"/>
      <c r="Q313" s="56"/>
      <c r="R313" s="56"/>
      <c r="S313" s="56"/>
      <c r="T313" s="56"/>
      <c r="U313" s="56"/>
      <c r="V313" s="56"/>
      <c r="W313" s="56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</row>
    <row r="314" spans="1:36" ht="11.25" customHeight="1" x14ac:dyDescent="0.2">
      <c r="A314" s="52" t="s">
        <v>21</v>
      </c>
      <c r="B314" s="52" t="s">
        <v>22</v>
      </c>
      <c r="C314" s="52" t="s">
        <v>23</v>
      </c>
      <c r="D314" s="52" t="s">
        <v>24</v>
      </c>
      <c r="E314" s="52" t="s">
        <v>32</v>
      </c>
      <c r="F314" s="52" t="s">
        <v>25</v>
      </c>
      <c r="G314" s="52" t="s">
        <v>25</v>
      </c>
      <c r="H314" s="52" t="s">
        <v>25</v>
      </c>
      <c r="I314" s="71">
        <v>44440</v>
      </c>
      <c r="J314" s="72">
        <f>EFEITO!$J$314*EFEITO!$Y$210</f>
        <v>0</v>
      </c>
      <c r="K314" s="72">
        <f ca="1">EFEITO!$L$314*EFEITO!$Z$307</f>
        <v>3916.7015175308538</v>
      </c>
      <c r="L314" s="72">
        <f>EFEITO!$N$314*EFEITO!$AA$307</f>
        <v>1219.2546887341668</v>
      </c>
      <c r="M314" s="72">
        <f>$J$314-EFEITO!$K$314*EFEITO!$Y$314</f>
        <v>0</v>
      </c>
      <c r="N314" s="72">
        <f ca="1">$K$314-EFEITO!$M$314*EFEITO!$Z$314</f>
        <v>0</v>
      </c>
      <c r="O314" s="72">
        <f>$L$314-EFEITO!$O$314*EFEITO!$AA$314</f>
        <v>0</v>
      </c>
      <c r="P314" s="56"/>
      <c r="Q314" s="56"/>
      <c r="R314" s="56"/>
      <c r="S314" s="56"/>
      <c r="T314" s="56"/>
      <c r="U314" s="56"/>
      <c r="V314" s="56"/>
      <c r="W314" s="56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</row>
    <row r="315" spans="1:36" ht="11.25" customHeight="1" x14ac:dyDescent="0.2">
      <c r="A315" s="52" t="s">
        <v>21</v>
      </c>
      <c r="B315" s="52" t="s">
        <v>22</v>
      </c>
      <c r="C315" s="52" t="s">
        <v>23</v>
      </c>
      <c r="D315" s="52" t="s">
        <v>24</v>
      </c>
      <c r="E315" s="52" t="s">
        <v>32</v>
      </c>
      <c r="F315" s="52" t="s">
        <v>25</v>
      </c>
      <c r="G315" s="52" t="s">
        <v>25</v>
      </c>
      <c r="H315" s="52" t="s">
        <v>25</v>
      </c>
      <c r="I315" s="71">
        <v>44470</v>
      </c>
      <c r="J315" s="72">
        <f>EFEITO!$J$315*EFEITO!$Y$210</f>
        <v>0</v>
      </c>
      <c r="K315" s="72">
        <f ca="1">EFEITO!$L$315*EFEITO!$Z$307</f>
        <v>3403.1318853925841</v>
      </c>
      <c r="L315" s="72">
        <f>EFEITO!$N$315*EFEITO!$AA$307</f>
        <v>1059.3823627033553</v>
      </c>
      <c r="M315" s="72">
        <f>$J$315-EFEITO!$K$315*EFEITO!$Y$315</f>
        <v>0</v>
      </c>
      <c r="N315" s="72">
        <f ca="1">$K$315-EFEITO!$M$315*EFEITO!$Z$315</f>
        <v>0</v>
      </c>
      <c r="O315" s="72">
        <f>$L$315-EFEITO!$O$315*EFEITO!$AA$315</f>
        <v>0</v>
      </c>
      <c r="P315" s="56"/>
      <c r="Q315" s="56"/>
      <c r="R315" s="56"/>
      <c r="S315" s="56"/>
      <c r="T315" s="56"/>
      <c r="U315" s="56"/>
      <c r="V315" s="56"/>
      <c r="W315" s="56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</row>
    <row r="316" spans="1:36" ht="11.25" customHeight="1" x14ac:dyDescent="0.2">
      <c r="A316" s="52" t="s">
        <v>21</v>
      </c>
      <c r="B316" s="52" t="s">
        <v>22</v>
      </c>
      <c r="C316" s="52" t="s">
        <v>23</v>
      </c>
      <c r="D316" s="52" t="s">
        <v>24</v>
      </c>
      <c r="E316" s="52" t="s">
        <v>32</v>
      </c>
      <c r="F316" s="52" t="s">
        <v>25</v>
      </c>
      <c r="G316" s="52" t="s">
        <v>25</v>
      </c>
      <c r="H316" s="52" t="s">
        <v>25</v>
      </c>
      <c r="I316" s="71">
        <v>44501</v>
      </c>
      <c r="J316" s="72">
        <f>EFEITO!$J$316*EFEITO!$Y$210</f>
        <v>0</v>
      </c>
      <c r="K316" s="72">
        <f ca="1">EFEITO!$L$316*EFEITO!$Z$307</f>
        <v>3773.4382106864095</v>
      </c>
      <c r="L316" s="72">
        <f>EFEITO!$N$316*EFEITO!$AA$307</f>
        <v>1174.6573514564036</v>
      </c>
      <c r="M316" s="72">
        <f>$J$316-EFEITO!$K$316*EFEITO!$Y$316</f>
        <v>0</v>
      </c>
      <c r="N316" s="72">
        <f ca="1">$K$316-EFEITO!$M$316*EFEITO!$Z$316</f>
        <v>0</v>
      </c>
      <c r="O316" s="72">
        <f>$L$316-EFEITO!$O$316*EFEITO!$AA$316</f>
        <v>0</v>
      </c>
      <c r="P316" s="56"/>
      <c r="Q316" s="56"/>
      <c r="R316" s="56"/>
      <c r="S316" s="56"/>
      <c r="T316" s="56"/>
      <c r="U316" s="56"/>
      <c r="V316" s="56"/>
      <c r="W316" s="56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</row>
    <row r="317" spans="1:36" ht="11.25" customHeight="1" x14ac:dyDescent="0.2">
      <c r="A317" s="52" t="s">
        <v>21</v>
      </c>
      <c r="B317" s="52" t="s">
        <v>22</v>
      </c>
      <c r="C317" s="52" t="s">
        <v>23</v>
      </c>
      <c r="D317" s="52" t="s">
        <v>24</v>
      </c>
      <c r="E317" s="52" t="s">
        <v>32</v>
      </c>
      <c r="F317" s="52" t="s">
        <v>25</v>
      </c>
      <c r="G317" s="52" t="s">
        <v>25</v>
      </c>
      <c r="H317" s="52" t="s">
        <v>25</v>
      </c>
      <c r="I317" s="71">
        <v>44531</v>
      </c>
      <c r="J317" s="72">
        <f>EFEITO!$J$317*EFEITO!$Y$210</f>
        <v>0</v>
      </c>
      <c r="K317" s="72">
        <f ca="1">EFEITO!$L$317*EFEITO!$Z$307</f>
        <v>4321.3575245827051</v>
      </c>
      <c r="L317" s="72">
        <f>EFEITO!$N$317*EFEITO!$AA$307</f>
        <v>1345.2226063081996</v>
      </c>
      <c r="M317" s="72">
        <f>$J$317-EFEITO!$K$317*EFEITO!$Y$317</f>
        <v>0</v>
      </c>
      <c r="N317" s="72">
        <f ca="1">$K$317-EFEITO!$M$317*EFEITO!$Z$317</f>
        <v>0</v>
      </c>
      <c r="O317" s="72">
        <f>$L$317-EFEITO!$O$317*EFEITO!$AA$317</f>
        <v>0</v>
      </c>
      <c r="P317" s="56"/>
      <c r="Q317" s="56"/>
      <c r="R317" s="56"/>
      <c r="S317" s="56"/>
      <c r="T317" s="56"/>
      <c r="U317" s="56"/>
      <c r="V317" s="56"/>
      <c r="W317" s="56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</row>
    <row r="318" spans="1:36" ht="11.25" customHeight="1" x14ac:dyDescent="0.2">
      <c r="A318" s="52" t="s">
        <v>21</v>
      </c>
      <c r="B318" s="52" t="s">
        <v>22</v>
      </c>
      <c r="C318" s="52" t="s">
        <v>23</v>
      </c>
      <c r="D318" s="52" t="s">
        <v>24</v>
      </c>
      <c r="E318" s="52" t="s">
        <v>32</v>
      </c>
      <c r="F318" s="52" t="s">
        <v>25</v>
      </c>
      <c r="G318" s="52" t="s">
        <v>25</v>
      </c>
      <c r="H318" s="52" t="s">
        <v>25</v>
      </c>
      <c r="I318" s="71">
        <v>44562</v>
      </c>
      <c r="J318" s="72">
        <f>EFEITO!$J$318*EFEITO!$Y$210</f>
        <v>0</v>
      </c>
      <c r="K318" s="72">
        <f ca="1">EFEITO!$L$318*EFEITO!$Z$307</f>
        <v>8241.410230577756</v>
      </c>
      <c r="L318" s="72">
        <f>EFEITO!$N$318*EFEITO!$AA$307</f>
        <v>2565.520507610267</v>
      </c>
      <c r="M318" s="72">
        <f>$J$318-EFEITO!$K$318*EFEITO!$Y$318</f>
        <v>0</v>
      </c>
      <c r="N318" s="72">
        <f ca="1">$K$318-EFEITO!$M$318*EFEITO!$Z$318</f>
        <v>0</v>
      </c>
      <c r="O318" s="72">
        <f>$L$318-EFEITO!$O$318*EFEITO!$AA$318</f>
        <v>0</v>
      </c>
      <c r="P318" s="56"/>
      <c r="Q318" s="56"/>
      <c r="R318" s="56"/>
      <c r="S318" s="56"/>
      <c r="T318" s="56"/>
      <c r="U318" s="56"/>
      <c r="V318" s="56"/>
      <c r="W318" s="56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</row>
    <row r="319" spans="1:36" ht="11.25" customHeight="1" x14ac:dyDescent="0.2">
      <c r="A319" s="52" t="s">
        <v>21</v>
      </c>
      <c r="B319" s="52" t="s">
        <v>22</v>
      </c>
      <c r="C319" s="52" t="s">
        <v>23</v>
      </c>
      <c r="D319" s="52" t="s">
        <v>24</v>
      </c>
      <c r="E319" s="52" t="s">
        <v>32</v>
      </c>
      <c r="F319" s="52" t="s">
        <v>25</v>
      </c>
      <c r="G319" s="52" t="s">
        <v>25</v>
      </c>
      <c r="H319" s="52" t="s">
        <v>25</v>
      </c>
      <c r="I319" s="71">
        <v>44593</v>
      </c>
      <c r="J319" s="72">
        <f>EFEITO!$J$319*EFEITO!$Y$210</f>
        <v>0</v>
      </c>
      <c r="K319" s="72">
        <f ca="1">EFEITO!$L$319*EFEITO!$Z$307</f>
        <v>12017.361832612314</v>
      </c>
      <c r="L319" s="72">
        <f>EFEITO!$N$319*EFEITO!$AA$307</f>
        <v>3740.9602684925962</v>
      </c>
      <c r="M319" s="72">
        <f>$J$319-EFEITO!$K$319*EFEITO!$Y$319</f>
        <v>0</v>
      </c>
      <c r="N319" s="72">
        <f ca="1">$K$319-EFEITO!$M$319*EFEITO!$Z$319</f>
        <v>0</v>
      </c>
      <c r="O319" s="72">
        <f>$L$319-EFEITO!$O$319*EFEITO!$AA$319</f>
        <v>0</v>
      </c>
      <c r="P319" s="56"/>
      <c r="Q319" s="56"/>
      <c r="R319" s="56"/>
      <c r="S319" s="56"/>
      <c r="T319" s="56"/>
      <c r="U319" s="56"/>
      <c r="V319" s="56"/>
      <c r="W319" s="56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</row>
    <row r="320" spans="1:36" ht="11.25" customHeight="1" x14ac:dyDescent="0.2">
      <c r="A320" s="52" t="s">
        <v>21</v>
      </c>
      <c r="B320" s="52" t="s">
        <v>22</v>
      </c>
      <c r="C320" s="52" t="s">
        <v>23</v>
      </c>
      <c r="D320" s="52" t="s">
        <v>24</v>
      </c>
      <c r="E320" s="52" t="s">
        <v>32</v>
      </c>
      <c r="F320" s="52" t="s">
        <v>25</v>
      </c>
      <c r="G320" s="52" t="s">
        <v>25</v>
      </c>
      <c r="H320" s="52" t="s">
        <v>25</v>
      </c>
      <c r="I320" s="71">
        <v>44621</v>
      </c>
      <c r="J320" s="72">
        <f>EFEITO!$J$320*EFEITO!$Y$210</f>
        <v>0</v>
      </c>
      <c r="K320" s="72">
        <f ca="1">EFEITO!$L$320*EFEITO!$Z$307</f>
        <v>17612.170973590077</v>
      </c>
      <c r="L320" s="72">
        <f>EFEITO!$N$320*EFEITO!$AA$307</f>
        <v>5482.6036506031342</v>
      </c>
      <c r="M320" s="72">
        <f>$J$320-EFEITO!$K$320*EFEITO!$Y$320</f>
        <v>0</v>
      </c>
      <c r="N320" s="72">
        <f ca="1">$K$320-EFEITO!$M$320*EFEITO!$Z$320</f>
        <v>0</v>
      </c>
      <c r="O320" s="72">
        <f>$L$320-EFEITO!$O$320*EFEITO!$AA$320</f>
        <v>0</v>
      </c>
      <c r="P320" s="56"/>
      <c r="Q320" s="56"/>
      <c r="R320" s="56"/>
      <c r="S320" s="56"/>
      <c r="T320" s="56"/>
      <c r="U320" s="56"/>
      <c r="V320" s="56"/>
      <c r="W320" s="56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</row>
    <row r="321" spans="1:36" ht="11.25" customHeight="1" x14ac:dyDescent="0.2">
      <c r="A321" s="52" t="s">
        <v>21</v>
      </c>
      <c r="B321" s="52" t="s">
        <v>43</v>
      </c>
      <c r="C321" s="52" t="s">
        <v>23</v>
      </c>
      <c r="D321" s="52" t="s">
        <v>44</v>
      </c>
      <c r="E321" s="52" t="s">
        <v>52</v>
      </c>
      <c r="F321" s="52" t="s">
        <v>53</v>
      </c>
      <c r="G321" s="52" t="s">
        <v>25</v>
      </c>
      <c r="H321" s="52" t="s">
        <v>25</v>
      </c>
      <c r="I321" s="71">
        <v>44287</v>
      </c>
      <c r="J321" s="72">
        <f>EFEITO!$J$321*EFEITO!$Y$210</f>
        <v>0</v>
      </c>
      <c r="K321" s="72">
        <f ca="1">EFEITO!$L$321*EFEITO!$Z$210</f>
        <v>5785.1405873384438</v>
      </c>
      <c r="L321" s="72">
        <f>EFEITO!$N$321*EFEITO!$AA$210</f>
        <v>1556.2123481661547</v>
      </c>
      <c r="M321" s="72">
        <f>$J$321-EFEITO!$K$321*EFEITO!$Y$321</f>
        <v>0</v>
      </c>
      <c r="N321" s="72">
        <f ca="1">$K$321-EFEITO!$M$321*EFEITO!$Z$321</f>
        <v>347.10843524030679</v>
      </c>
      <c r="O321" s="72">
        <f>$L$321-EFEITO!$O$321*EFEITO!$AA$321</f>
        <v>93.372740889969464</v>
      </c>
      <c r="P321" s="56"/>
      <c r="Q321" s="56"/>
      <c r="R321" s="56"/>
      <c r="S321" s="56"/>
      <c r="T321" s="56"/>
      <c r="U321" s="56"/>
      <c r="V321" s="56"/>
      <c r="W321" s="56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</row>
    <row r="322" spans="1:36" ht="11.25" customHeight="1" x14ac:dyDescent="0.2">
      <c r="A322" s="52" t="s">
        <v>28</v>
      </c>
      <c r="B322" s="52" t="s">
        <v>43</v>
      </c>
      <c r="C322" s="52" t="s">
        <v>23</v>
      </c>
      <c r="D322" s="52" t="s">
        <v>44</v>
      </c>
      <c r="E322" s="52" t="s">
        <v>52</v>
      </c>
      <c r="F322" s="52" t="s">
        <v>53</v>
      </c>
      <c r="G322" s="52" t="s">
        <v>25</v>
      </c>
      <c r="H322" s="52" t="s">
        <v>25</v>
      </c>
      <c r="I322" s="71">
        <v>44317</v>
      </c>
      <c r="J322" s="72">
        <f>EFEITO!$J$322*EFEITO!$Y$210</f>
        <v>0</v>
      </c>
      <c r="K322" s="72">
        <f ca="1">EFEITO!$L$322*EFEITO!$Z$210</f>
        <v>96.952247148289672</v>
      </c>
      <c r="L322" s="72">
        <f>EFEITO!$N$322*EFEITO!$AA$210</f>
        <v>26.080314197522284</v>
      </c>
      <c r="M322" s="72">
        <f>$J$322-EFEITO!$K$322*EFEITO!$Y$322</f>
        <v>0</v>
      </c>
      <c r="N322" s="72">
        <f ca="1">$K$322-EFEITO!$M$322*EFEITO!$Z$322</f>
        <v>5.8171348288973803</v>
      </c>
      <c r="O322" s="72">
        <f>$L$322-EFEITO!$O$322*EFEITO!$AA$322</f>
        <v>1.5648188518513386</v>
      </c>
      <c r="P322" s="56"/>
      <c r="Q322" s="56"/>
      <c r="R322" s="56"/>
      <c r="S322" s="56"/>
      <c r="T322" s="56"/>
      <c r="U322" s="56"/>
      <c r="V322" s="56"/>
      <c r="W322" s="56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</row>
    <row r="323" spans="1:36" ht="11.25" customHeight="1" x14ac:dyDescent="0.2">
      <c r="A323" s="52" t="s">
        <v>28</v>
      </c>
      <c r="B323" s="52" t="s">
        <v>43</v>
      </c>
      <c r="C323" s="52" t="s">
        <v>23</v>
      </c>
      <c r="D323" s="52" t="s">
        <v>44</v>
      </c>
      <c r="E323" s="52" t="s">
        <v>52</v>
      </c>
      <c r="F323" s="52" t="s">
        <v>53</v>
      </c>
      <c r="G323" s="52" t="s">
        <v>25</v>
      </c>
      <c r="H323" s="52" t="s">
        <v>25</v>
      </c>
      <c r="I323" s="71">
        <v>44348</v>
      </c>
      <c r="J323" s="72">
        <f>EFEITO!$J$323*EFEITO!$Y$210</f>
        <v>0</v>
      </c>
      <c r="K323" s="72">
        <f ca="1">EFEITO!$L$323*EFEITO!$Z$210</f>
        <v>1590.9863757034334</v>
      </c>
      <c r="L323" s="72">
        <f>EFEITO!$N$323*EFEITO!$AA$210</f>
        <v>427.9779559813407</v>
      </c>
      <c r="M323" s="72">
        <f>$J$323-EFEITO!$K$323*EFEITO!$Y$323</f>
        <v>0</v>
      </c>
      <c r="N323" s="72">
        <f ca="1">$K$323-EFEITO!$M$323*EFEITO!$Z$323</f>
        <v>95.459182542206008</v>
      </c>
      <c r="O323" s="72">
        <f>$L$323-EFEITO!$O$323*EFEITO!$AA$323</f>
        <v>25.678677358880464</v>
      </c>
      <c r="P323" s="56"/>
      <c r="Q323" s="56"/>
      <c r="R323" s="56"/>
      <c r="S323" s="56"/>
      <c r="T323" s="56"/>
      <c r="U323" s="56"/>
      <c r="V323" s="56"/>
      <c r="W323" s="56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</row>
    <row r="324" spans="1:36" ht="11.25" customHeight="1" x14ac:dyDescent="0.2">
      <c r="A324" s="52" t="s">
        <v>28</v>
      </c>
      <c r="B324" s="52" t="s">
        <v>43</v>
      </c>
      <c r="C324" s="52" t="s">
        <v>23</v>
      </c>
      <c r="D324" s="52" t="s">
        <v>44</v>
      </c>
      <c r="E324" s="52" t="s">
        <v>52</v>
      </c>
      <c r="F324" s="52" t="s">
        <v>53</v>
      </c>
      <c r="G324" s="52" t="s">
        <v>25</v>
      </c>
      <c r="H324" s="52" t="s">
        <v>25</v>
      </c>
      <c r="I324" s="71">
        <v>44378</v>
      </c>
      <c r="J324" s="72">
        <f>EFEITO!$J$324*EFEITO!$Y$210</f>
        <v>0</v>
      </c>
      <c r="K324" s="72">
        <f ca="1">EFEITO!$L$324*EFEITO!$Z$210</f>
        <v>2604.1373584030603</v>
      </c>
      <c r="L324" s="72">
        <f>EFEITO!$N$324*EFEITO!$AA$210</f>
        <v>700.5172393454485</v>
      </c>
      <c r="M324" s="72">
        <f>$J$324-EFEITO!$K$324*EFEITO!$Y$324</f>
        <v>0</v>
      </c>
      <c r="N324" s="72">
        <f ca="1">$K$324-EFEITO!$M$324*EFEITO!$Z$324</f>
        <v>156.24824150418362</v>
      </c>
      <c r="O324" s="72">
        <f>$L$324-EFEITO!$O$324*EFEITO!$AA$324</f>
        <v>42.031034360726949</v>
      </c>
      <c r="P324" s="56"/>
      <c r="Q324" s="56"/>
      <c r="R324" s="56"/>
      <c r="S324" s="56"/>
      <c r="T324" s="56"/>
      <c r="U324" s="56"/>
      <c r="V324" s="56"/>
      <c r="W324" s="56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</row>
    <row r="325" spans="1:36" ht="11.25" customHeight="1" x14ac:dyDescent="0.2">
      <c r="A325" s="52" t="s">
        <v>28</v>
      </c>
      <c r="B325" s="52" t="s">
        <v>43</v>
      </c>
      <c r="C325" s="52" t="s">
        <v>23</v>
      </c>
      <c r="D325" s="52" t="s">
        <v>44</v>
      </c>
      <c r="E325" s="52" t="s">
        <v>52</v>
      </c>
      <c r="F325" s="52" t="s">
        <v>53</v>
      </c>
      <c r="G325" s="52" t="s">
        <v>25</v>
      </c>
      <c r="H325" s="52" t="s">
        <v>25</v>
      </c>
      <c r="I325" s="71">
        <v>44409</v>
      </c>
      <c r="J325" s="72">
        <f>EFEITO!$J$325*EFEITO!$Y$210</f>
        <v>0</v>
      </c>
      <c r="K325" s="72">
        <f ca="1">EFEITO!$L$325*EFEITO!$Z$210</f>
        <v>2862.9998582889939</v>
      </c>
      <c r="L325" s="72">
        <f>EFEITO!$N$325*EFEITO!$AA$210</f>
        <v>770.15167825283299</v>
      </c>
      <c r="M325" s="72">
        <f>$J$325-EFEITO!$K$325*EFEITO!$Y$325</f>
        <v>0</v>
      </c>
      <c r="N325" s="72">
        <f ca="1">$K$325-EFEITO!$M$325*EFEITO!$Z$325</f>
        <v>171.77999149733978</v>
      </c>
      <c r="O325" s="72">
        <f>$L$325-EFEITO!$O$325*EFEITO!$AA$325</f>
        <v>46.209100695170036</v>
      </c>
      <c r="P325" s="56"/>
      <c r="Q325" s="56"/>
      <c r="R325" s="56"/>
      <c r="S325" s="56"/>
      <c r="T325" s="56"/>
      <c r="U325" s="56"/>
      <c r="V325" s="56"/>
      <c r="W325" s="56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</row>
    <row r="326" spans="1:36" ht="11.25" customHeight="1" x14ac:dyDescent="0.2">
      <c r="A326" s="52" t="s">
        <v>28</v>
      </c>
      <c r="B326" s="52" t="s">
        <v>43</v>
      </c>
      <c r="C326" s="52" t="s">
        <v>23</v>
      </c>
      <c r="D326" s="52" t="s">
        <v>44</v>
      </c>
      <c r="E326" s="52" t="s">
        <v>52</v>
      </c>
      <c r="F326" s="52" t="s">
        <v>53</v>
      </c>
      <c r="G326" s="52" t="s">
        <v>25</v>
      </c>
      <c r="H326" s="52" t="s">
        <v>25</v>
      </c>
      <c r="I326" s="71">
        <v>44470</v>
      </c>
      <c r="J326" s="72">
        <f>EFEITO!$J$326*EFEITO!$Y$210</f>
        <v>0</v>
      </c>
      <c r="K326" s="72">
        <f ca="1">EFEITO!$L$326*EFEITO!$Z$210</f>
        <v>336.42429760456514</v>
      </c>
      <c r="L326" s="72">
        <f>EFEITO!$N$326*EFEITO!$AA$210</f>
        <v>90.498690265402317</v>
      </c>
      <c r="M326" s="72">
        <f>$J$326-EFEITO!$K$326*EFEITO!$Y$326</f>
        <v>0</v>
      </c>
      <c r="N326" s="72">
        <f ca="1">$K$326-EFEITO!$M$326*EFEITO!$Z$326</f>
        <v>20.185457856273956</v>
      </c>
      <c r="O326" s="72">
        <f>$L$326-EFEITO!$O$326*EFEITO!$AA$326</f>
        <v>5.4299214159241416</v>
      </c>
      <c r="P326" s="56"/>
      <c r="Q326" s="56"/>
      <c r="R326" s="56"/>
      <c r="S326" s="56"/>
      <c r="T326" s="56"/>
      <c r="U326" s="56"/>
      <c r="V326" s="56"/>
      <c r="W326" s="56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</row>
    <row r="327" spans="1:36" ht="11.25" customHeight="1" x14ac:dyDescent="0.2">
      <c r="A327" s="52" t="s">
        <v>28</v>
      </c>
      <c r="B327" s="52" t="s">
        <v>43</v>
      </c>
      <c r="C327" s="52" t="s">
        <v>23</v>
      </c>
      <c r="D327" s="52" t="s">
        <v>44</v>
      </c>
      <c r="E327" s="52" t="s">
        <v>52</v>
      </c>
      <c r="F327" s="52" t="s">
        <v>53</v>
      </c>
      <c r="G327" s="52" t="s">
        <v>25</v>
      </c>
      <c r="H327" s="52" t="s">
        <v>25</v>
      </c>
      <c r="I327" s="71">
        <v>44562</v>
      </c>
      <c r="J327" s="72">
        <f>EFEITO!$J$327*EFEITO!$Y$210</f>
        <v>0</v>
      </c>
      <c r="K327" s="72">
        <f ca="1">EFEITO!$L$327*EFEITO!$Z$210</f>
        <v>764.95323000000553</v>
      </c>
      <c r="L327" s="72">
        <f>EFEITO!$N$327*EFEITO!$AA$210</f>
        <v>205.77367901845082</v>
      </c>
      <c r="M327" s="72">
        <f>$J$327-EFEITO!$K$327*EFEITO!$Y$327</f>
        <v>0</v>
      </c>
      <c r="N327" s="72">
        <f ca="1">$K$327-EFEITO!$M$327*EFEITO!$Z$327</f>
        <v>45.897193800000423</v>
      </c>
      <c r="O327" s="72">
        <f>$L$327-EFEITO!$O$327*EFEITO!$AA$327</f>
        <v>12.346420741107067</v>
      </c>
      <c r="P327" s="56"/>
      <c r="Q327" s="56"/>
      <c r="R327" s="56"/>
      <c r="S327" s="56"/>
      <c r="T327" s="56"/>
      <c r="U327" s="56"/>
      <c r="V327" s="56"/>
      <c r="W327" s="56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</row>
    <row r="328" spans="1:36" ht="11.25" customHeight="1" x14ac:dyDescent="0.2">
      <c r="A328" s="52" t="s">
        <v>28</v>
      </c>
      <c r="B328" s="52" t="s">
        <v>43</v>
      </c>
      <c r="C328" s="52" t="s">
        <v>23</v>
      </c>
      <c r="D328" s="52" t="s">
        <v>44</v>
      </c>
      <c r="E328" s="52" t="s">
        <v>52</v>
      </c>
      <c r="F328" s="52" t="s">
        <v>53</v>
      </c>
      <c r="G328" s="52" t="s">
        <v>25</v>
      </c>
      <c r="H328" s="52" t="s">
        <v>25</v>
      </c>
      <c r="I328" s="71">
        <v>44621</v>
      </c>
      <c r="J328" s="72">
        <f>EFEITO!$J$328*EFEITO!$Y$210</f>
        <v>0</v>
      </c>
      <c r="K328" s="72">
        <f ca="1">EFEITO!$L$328*EFEITO!$Z$210</f>
        <v>96.952247148289672</v>
      </c>
      <c r="L328" s="72">
        <f>EFEITO!$N$328*EFEITO!$AA$210</f>
        <v>26.080314197522284</v>
      </c>
      <c r="M328" s="72">
        <f>$J$328-EFEITO!$K$328*EFEITO!$Y$328</f>
        <v>0</v>
      </c>
      <c r="N328" s="72">
        <f ca="1">$K$328-EFEITO!$M$328*EFEITO!$Z$328</f>
        <v>5.8171348288973803</v>
      </c>
      <c r="O328" s="72">
        <f>$L$328-EFEITO!$O$328*EFEITO!$AA$328</f>
        <v>1.5648188518513386</v>
      </c>
      <c r="P328" s="56"/>
      <c r="Q328" s="56"/>
      <c r="R328" s="56"/>
      <c r="S328" s="56"/>
      <c r="T328" s="56"/>
      <c r="U328" s="56"/>
      <c r="V328" s="56"/>
      <c r="W328" s="56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</row>
    <row r="329" spans="1:36" ht="11.25" customHeight="1" x14ac:dyDescent="0.2">
      <c r="A329" s="52" t="s">
        <v>21</v>
      </c>
      <c r="B329" s="52" t="s">
        <v>43</v>
      </c>
      <c r="C329" s="52" t="s">
        <v>23</v>
      </c>
      <c r="D329" s="52" t="s">
        <v>44</v>
      </c>
      <c r="E329" s="52" t="s">
        <v>52</v>
      </c>
      <c r="F329" s="52" t="s">
        <v>54</v>
      </c>
      <c r="G329" s="52" t="s">
        <v>25</v>
      </c>
      <c r="H329" s="52" t="s">
        <v>25</v>
      </c>
      <c r="I329" s="71">
        <v>44287</v>
      </c>
      <c r="J329" s="72">
        <f>EFEITO!$J$329*EFEITO!$Y$210</f>
        <v>0</v>
      </c>
      <c r="K329" s="72">
        <f ca="1">EFEITO!$L$329*EFEITO!$Z$210</f>
        <v>9039.8275241065276</v>
      </c>
      <c r="L329" s="72">
        <f>EFEITO!$N$329*EFEITO!$AA$210</f>
        <v>2431.7284957769775</v>
      </c>
      <c r="M329" s="72">
        <f>$J$329-EFEITO!$K$329*EFEITO!$Y$329</f>
        <v>0</v>
      </c>
      <c r="N329" s="72">
        <f ca="1">$K$329-EFEITO!$M$329*EFEITO!$Z$329</f>
        <v>5640.8523750424729</v>
      </c>
      <c r="O329" s="72">
        <f>$L$329-EFEITO!$O$329*EFEITO!$AA$329</f>
        <v>1517.3985813648339</v>
      </c>
      <c r="P329" s="56"/>
      <c r="Q329" s="56"/>
      <c r="R329" s="56"/>
      <c r="S329" s="56"/>
      <c r="T329" s="56"/>
      <c r="U329" s="56"/>
      <c r="V329" s="56"/>
      <c r="W329" s="56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</row>
    <row r="330" spans="1:36" ht="11.25" customHeight="1" x14ac:dyDescent="0.2">
      <c r="A330" s="52" t="s">
        <v>28</v>
      </c>
      <c r="B330" s="52" t="s">
        <v>43</v>
      </c>
      <c r="C330" s="52" t="s">
        <v>23</v>
      </c>
      <c r="D330" s="52" t="s">
        <v>44</v>
      </c>
      <c r="E330" s="52" t="s">
        <v>52</v>
      </c>
      <c r="F330" s="52" t="s">
        <v>54</v>
      </c>
      <c r="G330" s="52" t="s">
        <v>25</v>
      </c>
      <c r="H330" s="52" t="s">
        <v>25</v>
      </c>
      <c r="I330" s="71">
        <v>44348</v>
      </c>
      <c r="J330" s="72">
        <f>EFEITO!$J$330*EFEITO!$Y$210</f>
        <v>0</v>
      </c>
      <c r="K330" s="72">
        <f ca="1">EFEITO!$L$330*EFEITO!$Z$210</f>
        <v>4169.9161498479389</v>
      </c>
      <c r="L330" s="72">
        <f>EFEITO!$N$330*EFEITO!$AA$210</f>
        <v>1121.7143136354334</v>
      </c>
      <c r="M330" s="72">
        <f>$J$330-EFEITO!$K$330*EFEITO!$Y$330</f>
        <v>0</v>
      </c>
      <c r="N330" s="72">
        <f ca="1">$K$330-EFEITO!$M$330*EFEITO!$Z$330</f>
        <v>2602.0276775051143</v>
      </c>
      <c r="O330" s="72">
        <f>$L$330-EFEITO!$O$330*EFEITO!$AA$330</f>
        <v>699.94973170851051</v>
      </c>
      <c r="P330" s="56"/>
      <c r="Q330" s="56"/>
      <c r="R330" s="56"/>
      <c r="S330" s="56"/>
      <c r="T330" s="56"/>
      <c r="U330" s="56"/>
      <c r="V330" s="56"/>
      <c r="W330" s="56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</row>
    <row r="331" spans="1:36" ht="11.25" customHeight="1" x14ac:dyDescent="0.2">
      <c r="A331" s="52" t="s">
        <v>28</v>
      </c>
      <c r="B331" s="52" t="s">
        <v>43</v>
      </c>
      <c r="C331" s="52" t="s">
        <v>23</v>
      </c>
      <c r="D331" s="52" t="s">
        <v>44</v>
      </c>
      <c r="E331" s="52" t="s">
        <v>52</v>
      </c>
      <c r="F331" s="52" t="s">
        <v>54</v>
      </c>
      <c r="G331" s="52" t="s">
        <v>25</v>
      </c>
      <c r="H331" s="52" t="s">
        <v>25</v>
      </c>
      <c r="I331" s="71">
        <v>44378</v>
      </c>
      <c r="J331" s="72">
        <f>EFEITO!$J$331*EFEITO!$Y$210</f>
        <v>0</v>
      </c>
      <c r="K331" s="72">
        <f ca="1">EFEITO!$L$331*EFEITO!$Z$210</f>
        <v>3576.5683973004056</v>
      </c>
      <c r="L331" s="72">
        <f>EFEITO!$N$331*EFEITO!$AA$210</f>
        <v>962.10279074659707</v>
      </c>
      <c r="M331" s="72">
        <f>$J$331-EFEITO!$K$331*EFEITO!$Y$331</f>
        <v>0</v>
      </c>
      <c r="N331" s="72">
        <f ca="1">$K$331-EFEITO!$M$331*EFEITO!$Z$331</f>
        <v>2231.7786799154528</v>
      </c>
      <c r="O331" s="72">
        <f>$L$331-EFEITO!$O$331*EFEITO!$AA$331</f>
        <v>600.35214142587665</v>
      </c>
      <c r="P331" s="56"/>
      <c r="Q331" s="56"/>
      <c r="R331" s="56"/>
      <c r="S331" s="56"/>
      <c r="T331" s="56"/>
      <c r="U331" s="56"/>
      <c r="V331" s="56"/>
      <c r="W331" s="56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</row>
    <row r="332" spans="1:36" ht="11.25" customHeight="1" x14ac:dyDescent="0.2">
      <c r="A332" s="52" t="s">
        <v>28</v>
      </c>
      <c r="B332" s="52" t="s">
        <v>43</v>
      </c>
      <c r="C332" s="52" t="s">
        <v>23</v>
      </c>
      <c r="D332" s="52" t="s">
        <v>44</v>
      </c>
      <c r="E332" s="52" t="s">
        <v>52</v>
      </c>
      <c r="F332" s="52" t="s">
        <v>54</v>
      </c>
      <c r="G332" s="52" t="s">
        <v>25</v>
      </c>
      <c r="H332" s="52" t="s">
        <v>25</v>
      </c>
      <c r="I332" s="71">
        <v>44409</v>
      </c>
      <c r="J332" s="72">
        <f>EFEITO!$J$332*EFEITO!$Y$210</f>
        <v>0</v>
      </c>
      <c r="K332" s="72">
        <f ca="1">EFEITO!$L$332*EFEITO!$Z$210</f>
        <v>4441.3824418631502</v>
      </c>
      <c r="L332" s="72">
        <f>EFEITO!$N$332*EFEITO!$AA$210</f>
        <v>1194.739193388496</v>
      </c>
      <c r="M332" s="72">
        <f>$J$332-EFEITO!$K$332*EFEITO!$Y$332</f>
        <v>0</v>
      </c>
      <c r="N332" s="72">
        <f ca="1">$K$332-EFEITO!$M$332*EFEITO!$Z$332</f>
        <v>2771.4226437226062</v>
      </c>
      <c r="O332" s="72">
        <f>$L$332-EFEITO!$O$332*EFEITO!$AA$332</f>
        <v>745.51725667442156</v>
      </c>
      <c r="P332" s="56"/>
      <c r="Q332" s="56"/>
      <c r="R332" s="56"/>
      <c r="S332" s="56"/>
      <c r="T332" s="56"/>
      <c r="U332" s="56"/>
      <c r="V332" s="56"/>
      <c r="W332" s="56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</row>
    <row r="333" spans="1:36" ht="11.25" customHeight="1" x14ac:dyDescent="0.2">
      <c r="A333" s="52" t="s">
        <v>28</v>
      </c>
      <c r="B333" s="52" t="s">
        <v>43</v>
      </c>
      <c r="C333" s="52" t="s">
        <v>23</v>
      </c>
      <c r="D333" s="52" t="s">
        <v>44</v>
      </c>
      <c r="E333" s="52" t="s">
        <v>52</v>
      </c>
      <c r="F333" s="52" t="s">
        <v>54</v>
      </c>
      <c r="G333" s="52" t="s">
        <v>25</v>
      </c>
      <c r="H333" s="52" t="s">
        <v>25</v>
      </c>
      <c r="I333" s="71">
        <v>44440</v>
      </c>
      <c r="J333" s="72">
        <f>EFEITO!$J$333*EFEITO!$Y$210</f>
        <v>0</v>
      </c>
      <c r="K333" s="72">
        <f ca="1">EFEITO!$L$333*EFEITO!$Z$210</f>
        <v>4201.9103914068737</v>
      </c>
      <c r="L333" s="72">
        <f>EFEITO!$N$333*EFEITO!$AA$210</f>
        <v>1130.3208173206158</v>
      </c>
      <c r="M333" s="72">
        <f>$J$333-EFEITO!$K$333*EFEITO!$Y$333</f>
        <v>0</v>
      </c>
      <c r="N333" s="72">
        <f ca="1">$K$333-EFEITO!$M$333*EFEITO!$Z$333</f>
        <v>2621.9920842378888</v>
      </c>
      <c r="O333" s="72">
        <f>$L$333-EFEITO!$O$333*EFEITO!$AA$333</f>
        <v>705.32019000806429</v>
      </c>
      <c r="P333" s="56"/>
      <c r="Q333" s="56"/>
      <c r="R333" s="56"/>
      <c r="S333" s="56"/>
      <c r="T333" s="56"/>
      <c r="U333" s="56"/>
      <c r="V333" s="56"/>
      <c r="W333" s="56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</row>
    <row r="334" spans="1:36" ht="11.25" customHeight="1" x14ac:dyDescent="0.2">
      <c r="A334" s="52" t="s">
        <v>28</v>
      </c>
      <c r="B334" s="52" t="s">
        <v>43</v>
      </c>
      <c r="C334" s="52" t="s">
        <v>23</v>
      </c>
      <c r="D334" s="52" t="s">
        <v>44</v>
      </c>
      <c r="E334" s="52" t="s">
        <v>52</v>
      </c>
      <c r="F334" s="52" t="s">
        <v>54</v>
      </c>
      <c r="G334" s="52" t="s">
        <v>25</v>
      </c>
      <c r="H334" s="52" t="s">
        <v>25</v>
      </c>
      <c r="I334" s="71">
        <v>44470</v>
      </c>
      <c r="J334" s="72">
        <f>EFEITO!$J$334*EFEITO!$Y$210</f>
        <v>0</v>
      </c>
      <c r="K334" s="72">
        <f ca="1">EFEITO!$L$334*EFEITO!$Z$210</f>
        <v>2844.5789313308192</v>
      </c>
      <c r="L334" s="72">
        <f>EFEITO!$N$334*EFEITO!$AA$210</f>
        <v>765.19641855530381</v>
      </c>
      <c r="M334" s="72">
        <f>$J$334-EFEITO!$K$334*EFEITO!$Y$334</f>
        <v>0</v>
      </c>
      <c r="N334" s="72">
        <f ca="1">$K$334-EFEITO!$M$334*EFEITO!$Z$334</f>
        <v>1775.0172531504313</v>
      </c>
      <c r="O334" s="72">
        <f>$L$334-EFEITO!$O$334*EFEITO!$AA$334</f>
        <v>477.48256517850962</v>
      </c>
      <c r="P334" s="56"/>
      <c r="Q334" s="56"/>
      <c r="R334" s="56"/>
      <c r="S334" s="56"/>
      <c r="T334" s="56"/>
      <c r="U334" s="56"/>
      <c r="V334" s="56"/>
      <c r="W334" s="56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</row>
    <row r="335" spans="1:36" ht="11.25" customHeight="1" x14ac:dyDescent="0.2">
      <c r="A335" s="52" t="s">
        <v>28</v>
      </c>
      <c r="B335" s="52" t="s">
        <v>43</v>
      </c>
      <c r="C335" s="52" t="s">
        <v>23</v>
      </c>
      <c r="D335" s="52" t="s">
        <v>44</v>
      </c>
      <c r="E335" s="52" t="s">
        <v>52</v>
      </c>
      <c r="F335" s="52" t="s">
        <v>54</v>
      </c>
      <c r="G335" s="52" t="s">
        <v>25</v>
      </c>
      <c r="H335" s="52" t="s">
        <v>25</v>
      </c>
      <c r="I335" s="71">
        <v>44501</v>
      </c>
      <c r="J335" s="72">
        <f>EFEITO!$J$335*EFEITO!$Y$210</f>
        <v>0</v>
      </c>
      <c r="K335" s="72">
        <f ca="1">EFEITO!$L$335*EFEITO!$Z$210</f>
        <v>459.55365148289297</v>
      </c>
      <c r="L335" s="72">
        <f>EFEITO!$N$335*EFEITO!$AA$210</f>
        <v>123.62068929625562</v>
      </c>
      <c r="M335" s="72">
        <f>$J$335-EFEITO!$K$335*EFEITO!$Y$335</f>
        <v>0</v>
      </c>
      <c r="N335" s="72">
        <f ca="1">$K$335-EFEITO!$M$335*EFEITO!$Z$335</f>
        <v>286.76147852532517</v>
      </c>
      <c r="O335" s="72">
        <f>$L$335-EFEITO!$O$335*EFEITO!$AA$335</f>
        <v>77.139310120863513</v>
      </c>
      <c r="P335" s="56"/>
      <c r="Q335" s="56"/>
      <c r="R335" s="56"/>
      <c r="S335" s="56"/>
      <c r="T335" s="56"/>
      <c r="U335" s="56"/>
      <c r="V335" s="56"/>
      <c r="W335" s="56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</row>
    <row r="336" spans="1:36" ht="11.25" customHeight="1" x14ac:dyDescent="0.2">
      <c r="A336" s="52" t="s">
        <v>28</v>
      </c>
      <c r="B336" s="52" t="s">
        <v>43</v>
      </c>
      <c r="C336" s="52" t="s">
        <v>23</v>
      </c>
      <c r="D336" s="52" t="s">
        <v>44</v>
      </c>
      <c r="E336" s="52" t="s">
        <v>52</v>
      </c>
      <c r="F336" s="52" t="s">
        <v>54</v>
      </c>
      <c r="G336" s="52" t="s">
        <v>25</v>
      </c>
      <c r="H336" s="52" t="s">
        <v>25</v>
      </c>
      <c r="I336" s="71">
        <v>44531</v>
      </c>
      <c r="J336" s="72">
        <f>EFEITO!$J$336*EFEITO!$Y$210</f>
        <v>0</v>
      </c>
      <c r="K336" s="72">
        <f ca="1">EFEITO!$L$336*EFEITO!$Z$210</f>
        <v>764.95323000000553</v>
      </c>
      <c r="L336" s="72">
        <f>EFEITO!$N$336*EFEITO!$AA$210</f>
        <v>205.77367901845082</v>
      </c>
      <c r="M336" s="72">
        <f>$J$336-EFEITO!$K$336*EFEITO!$Y$336</f>
        <v>0</v>
      </c>
      <c r="N336" s="72">
        <f ca="1">$K$336-EFEITO!$M$336*EFEITO!$Z$336</f>
        <v>477.33081552000351</v>
      </c>
      <c r="O336" s="72">
        <f>$L$336-EFEITO!$O$336*EFEITO!$AA$336</f>
        <v>128.40277570751331</v>
      </c>
      <c r="P336" s="56"/>
      <c r="Q336" s="56"/>
      <c r="R336" s="56"/>
      <c r="S336" s="56"/>
      <c r="T336" s="56"/>
      <c r="U336" s="56"/>
      <c r="V336" s="56"/>
      <c r="W336" s="56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</row>
    <row r="337" spans="1:36" ht="11.25" customHeight="1" x14ac:dyDescent="0.2">
      <c r="A337" s="52" t="s">
        <v>28</v>
      </c>
      <c r="B337" s="52" t="s">
        <v>43</v>
      </c>
      <c r="C337" s="52" t="s">
        <v>23</v>
      </c>
      <c r="D337" s="52" t="s">
        <v>44</v>
      </c>
      <c r="E337" s="52" t="s">
        <v>52</v>
      </c>
      <c r="F337" s="52" t="s">
        <v>54</v>
      </c>
      <c r="G337" s="52" t="s">
        <v>25</v>
      </c>
      <c r="H337" s="52" t="s">
        <v>25</v>
      </c>
      <c r="I337" s="71">
        <v>44562</v>
      </c>
      <c r="J337" s="72">
        <f>EFEITO!$J$337*EFEITO!$Y$210</f>
        <v>0</v>
      </c>
      <c r="K337" s="72">
        <f ca="1">EFEITO!$L$337*EFEITO!$Z$210</f>
        <v>3631.8311781749308</v>
      </c>
      <c r="L337" s="72">
        <f>EFEITO!$N$337*EFEITO!$AA$210</f>
        <v>976.96856983918474</v>
      </c>
      <c r="M337" s="72">
        <f>$J$337-EFEITO!$K$337*EFEITO!$Y$337</f>
        <v>0</v>
      </c>
      <c r="N337" s="72">
        <f ca="1">$K$337-EFEITO!$M$337*EFEITO!$Z$337</f>
        <v>2266.2626551811568</v>
      </c>
      <c r="O337" s="72">
        <f>$L$337-EFEITO!$O$337*EFEITO!$AA$337</f>
        <v>609.6283875796513</v>
      </c>
      <c r="P337" s="56"/>
      <c r="Q337" s="56"/>
      <c r="R337" s="56"/>
      <c r="S337" s="56"/>
      <c r="T337" s="56"/>
      <c r="U337" s="56"/>
      <c r="V337" s="56"/>
      <c r="W337" s="56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</row>
    <row r="338" spans="1:36" ht="11.25" customHeight="1" x14ac:dyDescent="0.2">
      <c r="A338" s="52" t="s">
        <v>28</v>
      </c>
      <c r="B338" s="52" t="s">
        <v>43</v>
      </c>
      <c r="C338" s="52" t="s">
        <v>23</v>
      </c>
      <c r="D338" s="52" t="s">
        <v>44</v>
      </c>
      <c r="E338" s="52" t="s">
        <v>52</v>
      </c>
      <c r="F338" s="52" t="s">
        <v>54</v>
      </c>
      <c r="G338" s="52" t="s">
        <v>25</v>
      </c>
      <c r="H338" s="52" t="s">
        <v>25</v>
      </c>
      <c r="I338" s="71">
        <v>44593</v>
      </c>
      <c r="J338" s="72">
        <f>EFEITO!$J$338*EFEITO!$Y$210</f>
        <v>0</v>
      </c>
      <c r="K338" s="72">
        <f ca="1">EFEITO!$L$338*EFEITO!$Z$210</f>
        <v>3810.2233129277843</v>
      </c>
      <c r="L338" s="72">
        <f>EFEITO!$N$338*EFEITO!$AA$210</f>
        <v>1024.9563479626258</v>
      </c>
      <c r="M338" s="72">
        <f>$J$338-EFEITO!$K$338*EFEITO!$Y$338</f>
        <v>0</v>
      </c>
      <c r="N338" s="72">
        <f ca="1">$K$338-EFEITO!$M$338*EFEITO!$Z$338</f>
        <v>2377.5793472669375</v>
      </c>
      <c r="O338" s="72">
        <f>$L$338-EFEITO!$O$338*EFEITO!$AA$338</f>
        <v>639.57276112867862</v>
      </c>
      <c r="P338" s="56"/>
      <c r="Q338" s="56"/>
      <c r="R338" s="56"/>
      <c r="S338" s="56"/>
      <c r="T338" s="56"/>
      <c r="U338" s="56"/>
      <c r="V338" s="56"/>
      <c r="W338" s="56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</row>
    <row r="339" spans="1:36" ht="11.25" customHeight="1" x14ac:dyDescent="0.2">
      <c r="A339" s="52" t="s">
        <v>21</v>
      </c>
      <c r="B339" s="52" t="s">
        <v>43</v>
      </c>
      <c r="C339" s="52" t="s">
        <v>23</v>
      </c>
      <c r="D339" s="52" t="s">
        <v>44</v>
      </c>
      <c r="E339" s="52" t="s">
        <v>25</v>
      </c>
      <c r="F339" s="52" t="s">
        <v>25</v>
      </c>
      <c r="G339" s="52" t="s">
        <v>25</v>
      </c>
      <c r="H339" s="52" t="s">
        <v>25</v>
      </c>
      <c r="I339" s="71">
        <v>44287</v>
      </c>
      <c r="J339" s="72">
        <f>EFEITO!$J$339*EFEITO!$Y$210</f>
        <v>0</v>
      </c>
      <c r="K339" s="72">
        <f ca="1">EFEITO!$L$339*EFEITO!$Z$210</f>
        <v>305486.83553954586</v>
      </c>
      <c r="L339" s="72">
        <f>EFEITO!$N$339*EFEITO!$AA$210</f>
        <v>82176.462004972956</v>
      </c>
      <c r="M339" s="72">
        <f>$J$339-EFEITO!$K$339*EFEITO!$Y$339</f>
        <v>0</v>
      </c>
      <c r="N339" s="72">
        <f ca="1">$K$339-EFEITO!$M$339*EFEITO!$Z$339</f>
        <v>18329.21013237274</v>
      </c>
      <c r="O339" s="72">
        <f>$L$339-EFEITO!$O$339*EFEITO!$AA$339</f>
        <v>4930.5877202983829</v>
      </c>
      <c r="P339" s="56"/>
      <c r="Q339" s="56"/>
      <c r="R339" s="56"/>
      <c r="S339" s="56"/>
      <c r="T339" s="56"/>
      <c r="U339" s="56"/>
      <c r="V339" s="56"/>
      <c r="W339" s="56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</row>
    <row r="340" spans="1:36" ht="11.25" customHeight="1" x14ac:dyDescent="0.2">
      <c r="A340" s="52" t="s">
        <v>27</v>
      </c>
      <c r="B340" s="52" t="s">
        <v>43</v>
      </c>
      <c r="C340" s="52" t="s">
        <v>23</v>
      </c>
      <c r="D340" s="52" t="s">
        <v>44</v>
      </c>
      <c r="E340" s="52" t="s">
        <v>25</v>
      </c>
      <c r="F340" s="52" t="s">
        <v>25</v>
      </c>
      <c r="G340" s="52" t="s">
        <v>25</v>
      </c>
      <c r="H340" s="52" t="s">
        <v>25</v>
      </c>
      <c r="I340" s="71">
        <v>44287</v>
      </c>
      <c r="J340" s="72">
        <f>EFEITO!$J$340*EFEITO!$Y$210</f>
        <v>0</v>
      </c>
      <c r="K340" s="72">
        <f ca="1">EFEITO!$L$340*EFEITO!$Z$210</f>
        <v>-1119.7984545627457</v>
      </c>
      <c r="L340" s="72">
        <f>EFEITO!$N$340*EFEITO!$AA$210</f>
        <v>-301.2276289813824</v>
      </c>
      <c r="M340" s="72">
        <f>$J$340-EFEITO!$K$340*EFEITO!$Y$340</f>
        <v>0</v>
      </c>
      <c r="N340" s="72">
        <f ca="1">$K$340-EFEITO!$M$340*EFEITO!$Z$340</f>
        <v>-67.187907273764949</v>
      </c>
      <c r="O340" s="72">
        <f>$L$340-EFEITO!$O$340*EFEITO!$AA$340</f>
        <v>-18.073657738882957</v>
      </c>
      <c r="P340" s="56"/>
      <c r="Q340" s="56"/>
      <c r="R340" s="56"/>
      <c r="S340" s="56"/>
      <c r="T340" s="56"/>
      <c r="U340" s="56"/>
      <c r="V340" s="56"/>
      <c r="W340" s="56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</row>
    <row r="341" spans="1:36" ht="11.25" customHeight="1" x14ac:dyDescent="0.2">
      <c r="A341" s="52" t="s">
        <v>28</v>
      </c>
      <c r="B341" s="52" t="s">
        <v>43</v>
      </c>
      <c r="C341" s="52" t="s">
        <v>23</v>
      </c>
      <c r="D341" s="52" t="s">
        <v>44</v>
      </c>
      <c r="E341" s="52" t="s">
        <v>25</v>
      </c>
      <c r="F341" s="52" t="s">
        <v>25</v>
      </c>
      <c r="G341" s="52" t="s">
        <v>25</v>
      </c>
      <c r="H341" s="52" t="s">
        <v>25</v>
      </c>
      <c r="I341" s="71">
        <v>44287</v>
      </c>
      <c r="J341" s="72">
        <f>EFEITO!$J$341*EFEITO!$Y$210</f>
        <v>0</v>
      </c>
      <c r="K341" s="72">
        <f ca="1">EFEITO!$L$341*EFEITO!$Z$210</f>
        <v>20203.878783232081</v>
      </c>
      <c r="L341" s="72">
        <f>EFEITO!$N$341*EFEITO!$AA$210</f>
        <v>5434.8766756216683</v>
      </c>
      <c r="M341" s="72">
        <f>$J$341-EFEITO!$K$341*EFEITO!$Y$341</f>
        <v>0</v>
      </c>
      <c r="N341" s="72">
        <f ca="1">$K$341-EFEITO!$M$341*EFEITO!$Z$341</f>
        <v>1212.2327269939233</v>
      </c>
      <c r="O341" s="72">
        <f>$L$341-EFEITO!$O$341*EFEITO!$AA$341</f>
        <v>326.09260053730031</v>
      </c>
      <c r="P341" s="56"/>
      <c r="Q341" s="56"/>
      <c r="R341" s="56"/>
      <c r="S341" s="56"/>
      <c r="T341" s="56"/>
      <c r="U341" s="56"/>
      <c r="V341" s="56"/>
      <c r="W341" s="56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</row>
    <row r="342" spans="1:36" ht="11.25" customHeight="1" x14ac:dyDescent="0.2">
      <c r="A342" s="52" t="s">
        <v>21</v>
      </c>
      <c r="B342" s="52" t="s">
        <v>43</v>
      </c>
      <c r="C342" s="52" t="s">
        <v>23</v>
      </c>
      <c r="D342" s="52" t="s">
        <v>44</v>
      </c>
      <c r="E342" s="52" t="s">
        <v>25</v>
      </c>
      <c r="F342" s="52" t="s">
        <v>25</v>
      </c>
      <c r="G342" s="52" t="s">
        <v>25</v>
      </c>
      <c r="H342" s="52" t="s">
        <v>25</v>
      </c>
      <c r="I342" s="71">
        <v>44317</v>
      </c>
      <c r="J342" s="72">
        <f>EFEITO!$J$342*EFEITO!$Y$210</f>
        <v>0</v>
      </c>
      <c r="K342" s="72">
        <f ca="1">EFEITO!$L$342*EFEITO!$Z$210</f>
        <v>250975.43458042006</v>
      </c>
      <c r="L342" s="72">
        <f>EFEITO!$N$342*EFEITO!$AA$210</f>
        <v>67512.80534741607</v>
      </c>
      <c r="M342" s="72">
        <f>$J$342-EFEITO!$K$342*EFEITO!$Y$342</f>
        <v>0</v>
      </c>
      <c r="N342" s="72">
        <f ca="1">$K$342-EFEITO!$M$342*EFEITO!$Z$342</f>
        <v>15058.526074825204</v>
      </c>
      <c r="O342" s="72">
        <f>$L$342-EFEITO!$O$342*EFEITO!$AA$342</f>
        <v>4050.7683208449744</v>
      </c>
      <c r="P342" s="56"/>
      <c r="Q342" s="56"/>
      <c r="R342" s="56"/>
      <c r="S342" s="56"/>
      <c r="T342" s="56"/>
      <c r="U342" s="56"/>
      <c r="V342" s="56"/>
      <c r="W342" s="56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</row>
    <row r="343" spans="1:36" ht="11.25" customHeight="1" x14ac:dyDescent="0.2">
      <c r="A343" s="52" t="s">
        <v>28</v>
      </c>
      <c r="B343" s="52" t="s">
        <v>43</v>
      </c>
      <c r="C343" s="52" t="s">
        <v>23</v>
      </c>
      <c r="D343" s="52" t="s">
        <v>44</v>
      </c>
      <c r="E343" s="52" t="s">
        <v>25</v>
      </c>
      <c r="F343" s="52" t="s">
        <v>25</v>
      </c>
      <c r="G343" s="52" t="s">
        <v>25</v>
      </c>
      <c r="H343" s="52" t="s">
        <v>25</v>
      </c>
      <c r="I343" s="71">
        <v>44317</v>
      </c>
      <c r="J343" s="72">
        <f>EFEITO!$J$343*EFEITO!$Y$210</f>
        <v>0</v>
      </c>
      <c r="K343" s="72">
        <f ca="1">EFEITO!$L$343*EFEITO!$Z$210</f>
        <v>23575.877939049598</v>
      </c>
      <c r="L343" s="72">
        <f>EFEITO!$N$343*EFEITO!$AA$210</f>
        <v>6341.9500034114935</v>
      </c>
      <c r="M343" s="72">
        <f>$J$343-EFEITO!$K$343*EFEITO!$Y$343</f>
        <v>0</v>
      </c>
      <c r="N343" s="72">
        <f ca="1">$K$343-EFEITO!$M$343*EFEITO!$Z$343</f>
        <v>1414.5526763429771</v>
      </c>
      <c r="O343" s="72">
        <f>$L$343-EFEITO!$O$343*EFEITO!$AA$343</f>
        <v>380.51700020468979</v>
      </c>
      <c r="P343" s="56"/>
      <c r="Q343" s="56"/>
      <c r="R343" s="56"/>
      <c r="S343" s="56"/>
      <c r="T343" s="56"/>
      <c r="U343" s="56"/>
      <c r="V343" s="56"/>
      <c r="W343" s="56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</row>
    <row r="344" spans="1:36" ht="11.25" customHeight="1" x14ac:dyDescent="0.2">
      <c r="A344" s="52" t="s">
        <v>21</v>
      </c>
      <c r="B344" s="52" t="s">
        <v>43</v>
      </c>
      <c r="C344" s="52" t="s">
        <v>23</v>
      </c>
      <c r="D344" s="52" t="s">
        <v>44</v>
      </c>
      <c r="E344" s="52" t="s">
        <v>25</v>
      </c>
      <c r="F344" s="52" t="s">
        <v>25</v>
      </c>
      <c r="G344" s="52" t="s">
        <v>25</v>
      </c>
      <c r="H344" s="52" t="s">
        <v>25</v>
      </c>
      <c r="I344" s="71">
        <v>44348</v>
      </c>
      <c r="J344" s="72">
        <f>EFEITO!$J$344*EFEITO!$Y$210</f>
        <v>0</v>
      </c>
      <c r="K344" s="72">
        <f ca="1">EFEITO!$L$344*EFEITO!$Z$210</f>
        <v>237265.41731118038</v>
      </c>
      <c r="L344" s="72">
        <f>EFEITO!$N$344*EFEITO!$AA$210</f>
        <v>63824.788116744436</v>
      </c>
      <c r="M344" s="72">
        <f>$J$344-EFEITO!$K$344*EFEITO!$Y$344</f>
        <v>0</v>
      </c>
      <c r="N344" s="72">
        <f ca="1">$K$344-EFEITO!$M$344*EFEITO!$Z$344</f>
        <v>14235.92503867083</v>
      </c>
      <c r="O344" s="72">
        <f>$L$344-EFEITO!$O$344*EFEITO!$AA$344</f>
        <v>3829.4872870046747</v>
      </c>
      <c r="P344" s="56"/>
      <c r="Q344" s="56"/>
      <c r="R344" s="56"/>
      <c r="S344" s="56"/>
      <c r="T344" s="56"/>
      <c r="U344" s="56"/>
      <c r="V344" s="56"/>
      <c r="W344" s="56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</row>
    <row r="345" spans="1:36" ht="11.25" customHeight="1" x14ac:dyDescent="0.2">
      <c r="A345" s="52" t="s">
        <v>28</v>
      </c>
      <c r="B345" s="52" t="s">
        <v>43</v>
      </c>
      <c r="C345" s="52" t="s">
        <v>23</v>
      </c>
      <c r="D345" s="52" t="s">
        <v>44</v>
      </c>
      <c r="E345" s="52" t="s">
        <v>25</v>
      </c>
      <c r="F345" s="52" t="s">
        <v>25</v>
      </c>
      <c r="G345" s="52" t="s">
        <v>25</v>
      </c>
      <c r="H345" s="52" t="s">
        <v>25</v>
      </c>
      <c r="I345" s="71">
        <v>44348</v>
      </c>
      <c r="J345" s="72">
        <f>EFEITO!$J$345*EFEITO!$Y$210</f>
        <v>0</v>
      </c>
      <c r="K345" s="72">
        <f ca="1">EFEITO!$L$345*EFEITO!$Z$210</f>
        <v>23270.478360532485</v>
      </c>
      <c r="L345" s="72">
        <f>EFEITO!$N$345*EFEITO!$AA$210</f>
        <v>6259.7970136892982</v>
      </c>
      <c r="M345" s="72">
        <f>$J$345-EFEITO!$K$345*EFEITO!$Y$345</f>
        <v>0</v>
      </c>
      <c r="N345" s="72">
        <f ca="1">$K$345-EFEITO!$M$345*EFEITO!$Z$345</f>
        <v>1396.2287016319497</v>
      </c>
      <c r="O345" s="72">
        <f>$L$345-EFEITO!$O$345*EFEITO!$AA$345</f>
        <v>375.58782082135804</v>
      </c>
      <c r="P345" s="56"/>
      <c r="Q345" s="56"/>
      <c r="R345" s="56"/>
      <c r="S345" s="56"/>
      <c r="T345" s="56"/>
      <c r="U345" s="56"/>
      <c r="V345" s="56"/>
      <c r="W345" s="56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</row>
    <row r="346" spans="1:36" ht="11.25" customHeight="1" x14ac:dyDescent="0.2">
      <c r="A346" s="52" t="s">
        <v>21</v>
      </c>
      <c r="B346" s="52" t="s">
        <v>43</v>
      </c>
      <c r="C346" s="52" t="s">
        <v>23</v>
      </c>
      <c r="D346" s="52" t="s">
        <v>44</v>
      </c>
      <c r="E346" s="52" t="s">
        <v>25</v>
      </c>
      <c r="F346" s="52" t="s">
        <v>25</v>
      </c>
      <c r="G346" s="52" t="s">
        <v>25</v>
      </c>
      <c r="H346" s="52" t="s">
        <v>25</v>
      </c>
      <c r="I346" s="71">
        <v>44378</v>
      </c>
      <c r="J346" s="72">
        <f>EFEITO!$J$346*EFEITO!$Y$210</f>
        <v>0</v>
      </c>
      <c r="K346" s="72">
        <f ca="1">EFEITO!$L$346*EFEITO!$Z$210</f>
        <v>227977.39203437426</v>
      </c>
      <c r="L346" s="72">
        <f>EFEITO!$N$346*EFEITO!$AA$210</f>
        <v>61326.294016621803</v>
      </c>
      <c r="M346" s="72">
        <f>$J$346-EFEITO!$K$346*EFEITO!$Y$346</f>
        <v>0</v>
      </c>
      <c r="N346" s="72">
        <f ca="1">$K$346-EFEITO!$M$346*EFEITO!$Z$346</f>
        <v>13678.643522062455</v>
      </c>
      <c r="O346" s="72">
        <f>$L$346-EFEITO!$O$346*EFEITO!$AA$346</f>
        <v>3679.5776409973114</v>
      </c>
      <c r="P346" s="56"/>
      <c r="Q346" s="56"/>
      <c r="R346" s="56"/>
      <c r="S346" s="56"/>
      <c r="T346" s="56"/>
      <c r="U346" s="56"/>
      <c r="V346" s="56"/>
      <c r="W346" s="56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</row>
    <row r="347" spans="1:36" ht="11.25" customHeight="1" x14ac:dyDescent="0.2">
      <c r="A347" s="52" t="s">
        <v>27</v>
      </c>
      <c r="B347" s="52" t="s">
        <v>43</v>
      </c>
      <c r="C347" s="52" t="s">
        <v>23</v>
      </c>
      <c r="D347" s="52" t="s">
        <v>44</v>
      </c>
      <c r="E347" s="52" t="s">
        <v>25</v>
      </c>
      <c r="F347" s="52" t="s">
        <v>25</v>
      </c>
      <c r="G347" s="52" t="s">
        <v>25</v>
      </c>
      <c r="H347" s="52" t="s">
        <v>25</v>
      </c>
      <c r="I347" s="71">
        <v>44378</v>
      </c>
      <c r="J347" s="72">
        <f>EFEITO!$J$347*EFEITO!$Y$210</f>
        <v>0</v>
      </c>
      <c r="K347" s="72">
        <f ca="1">EFEITO!$L$347*EFEITO!$Z$210</f>
        <v>-93.074157262358085</v>
      </c>
      <c r="L347" s="72">
        <f>EFEITO!$N$347*EFEITO!$AA$210</f>
        <v>-25.037101629621393</v>
      </c>
      <c r="M347" s="72">
        <f>$J$347-EFEITO!$K$347*EFEITO!$Y$347</f>
        <v>0</v>
      </c>
      <c r="N347" s="72">
        <f ca="1">$K$347-EFEITO!$M$347*EFEITO!$Z$347</f>
        <v>-5.5844494357414902</v>
      </c>
      <c r="O347" s="72">
        <f>$L$347-EFEITO!$O$347*EFEITO!$AA$347</f>
        <v>-1.5022260977772852</v>
      </c>
      <c r="P347" s="56"/>
      <c r="Q347" s="56"/>
      <c r="R347" s="56"/>
      <c r="S347" s="56"/>
      <c r="T347" s="56"/>
      <c r="U347" s="56"/>
      <c r="V347" s="56"/>
      <c r="W347" s="56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</row>
    <row r="348" spans="1:36" ht="11.25" customHeight="1" x14ac:dyDescent="0.2">
      <c r="A348" s="52" t="s">
        <v>28</v>
      </c>
      <c r="B348" s="52" t="s">
        <v>43</v>
      </c>
      <c r="C348" s="52" t="s">
        <v>23</v>
      </c>
      <c r="D348" s="52" t="s">
        <v>44</v>
      </c>
      <c r="E348" s="52" t="s">
        <v>25</v>
      </c>
      <c r="F348" s="52" t="s">
        <v>25</v>
      </c>
      <c r="G348" s="52" t="s">
        <v>25</v>
      </c>
      <c r="H348" s="52" t="s">
        <v>25</v>
      </c>
      <c r="I348" s="71">
        <v>44378</v>
      </c>
      <c r="J348" s="72">
        <f>EFEITO!$J$348*EFEITO!$Y$210</f>
        <v>0</v>
      </c>
      <c r="K348" s="72">
        <f ca="1">EFEITO!$L$348*EFEITO!$Z$210</f>
        <v>21470.075130988746</v>
      </c>
      <c r="L348" s="72">
        <f>EFEITO!$N$348*EFEITO!$AA$210</f>
        <v>5775.4855790413094</v>
      </c>
      <c r="M348" s="72">
        <f>$J$348-EFEITO!$K$348*EFEITO!$Y$348</f>
        <v>0</v>
      </c>
      <c r="N348" s="72">
        <f ca="1">$K$348-EFEITO!$M$348*EFEITO!$Z$348</f>
        <v>1288.2045078593255</v>
      </c>
      <c r="O348" s="72">
        <f>$L$348-EFEITO!$O$348*EFEITO!$AA$348</f>
        <v>346.52913474247907</v>
      </c>
      <c r="P348" s="56"/>
      <c r="Q348" s="56"/>
      <c r="R348" s="56"/>
      <c r="S348" s="56"/>
      <c r="T348" s="56"/>
      <c r="U348" s="56"/>
      <c r="V348" s="56"/>
      <c r="W348" s="56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</row>
    <row r="349" spans="1:36" ht="11.25" customHeight="1" x14ac:dyDescent="0.2">
      <c r="A349" s="52" t="s">
        <v>21</v>
      </c>
      <c r="B349" s="52" t="s">
        <v>43</v>
      </c>
      <c r="C349" s="52" t="s">
        <v>23</v>
      </c>
      <c r="D349" s="52" t="s">
        <v>44</v>
      </c>
      <c r="E349" s="52" t="s">
        <v>25</v>
      </c>
      <c r="F349" s="52" t="s">
        <v>25</v>
      </c>
      <c r="G349" s="52" t="s">
        <v>25</v>
      </c>
      <c r="H349" s="52" t="s">
        <v>25</v>
      </c>
      <c r="I349" s="71">
        <v>44409</v>
      </c>
      <c r="J349" s="72">
        <f>EFEITO!$J$349*EFEITO!$Y$210</f>
        <v>0</v>
      </c>
      <c r="K349" s="72">
        <f ca="1">EFEITO!$L$349*EFEITO!$Z$210</f>
        <v>214847.14920308138</v>
      </c>
      <c r="L349" s="72">
        <f>EFEITO!$N$349*EFEITO!$AA$210</f>
        <v>57794.237064851361</v>
      </c>
      <c r="M349" s="72">
        <f>$J$349-EFEITO!$K$349*EFEITO!$Y$349</f>
        <v>0</v>
      </c>
      <c r="N349" s="72">
        <f ca="1">$K$349-EFEITO!$M$349*EFEITO!$Z$349</f>
        <v>12890.828952184878</v>
      </c>
      <c r="O349" s="72">
        <f>$L$349-EFEITO!$O$349*EFEITO!$AA$349</f>
        <v>3467.6542238910915</v>
      </c>
      <c r="P349" s="56"/>
      <c r="Q349" s="56"/>
      <c r="R349" s="56"/>
      <c r="S349" s="56"/>
      <c r="T349" s="56"/>
      <c r="U349" s="56"/>
      <c r="V349" s="56"/>
      <c r="W349" s="56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</row>
    <row r="350" spans="1:36" ht="11.25" customHeight="1" x14ac:dyDescent="0.2">
      <c r="A350" s="52" t="s">
        <v>28</v>
      </c>
      <c r="B350" s="52" t="s">
        <v>43</v>
      </c>
      <c r="C350" s="52" t="s">
        <v>23</v>
      </c>
      <c r="D350" s="52" t="s">
        <v>44</v>
      </c>
      <c r="E350" s="52" t="s">
        <v>25</v>
      </c>
      <c r="F350" s="52" t="s">
        <v>25</v>
      </c>
      <c r="G350" s="52" t="s">
        <v>25</v>
      </c>
      <c r="H350" s="52" t="s">
        <v>25</v>
      </c>
      <c r="I350" s="71">
        <v>44409</v>
      </c>
      <c r="J350" s="72">
        <f>EFEITO!$J$350*EFEITO!$Y$210</f>
        <v>0</v>
      </c>
      <c r="K350" s="72">
        <f ca="1">EFEITO!$L$350*EFEITO!$Z$210</f>
        <v>22246.662630646548</v>
      </c>
      <c r="L350" s="72">
        <f>EFEITO!$N$350*EFEITO!$AA$210</f>
        <v>5984.3888957634636</v>
      </c>
      <c r="M350" s="72">
        <f>$J$350-EFEITO!$K$350*EFEITO!$Y$350</f>
        <v>0</v>
      </c>
      <c r="N350" s="72">
        <f ca="1">$K$350-EFEITO!$M$350*EFEITO!$Z$350</f>
        <v>1334.7997578387949</v>
      </c>
      <c r="O350" s="72">
        <f>$L$350-EFEITO!$O$350*EFEITO!$AA$350</f>
        <v>359.06333374580845</v>
      </c>
      <c r="P350" s="56"/>
      <c r="Q350" s="56"/>
      <c r="R350" s="56"/>
      <c r="S350" s="56"/>
      <c r="T350" s="56"/>
      <c r="U350" s="56"/>
      <c r="V350" s="56"/>
      <c r="W350" s="56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</row>
    <row r="351" spans="1:36" ht="11.25" customHeight="1" x14ac:dyDescent="0.2">
      <c r="A351" s="52" t="s">
        <v>21</v>
      </c>
      <c r="B351" s="52" t="s">
        <v>43</v>
      </c>
      <c r="C351" s="52" t="s">
        <v>23</v>
      </c>
      <c r="D351" s="52" t="s">
        <v>44</v>
      </c>
      <c r="E351" s="52" t="s">
        <v>25</v>
      </c>
      <c r="F351" s="52" t="s">
        <v>25</v>
      </c>
      <c r="G351" s="52" t="s">
        <v>25</v>
      </c>
      <c r="H351" s="52" t="s">
        <v>25</v>
      </c>
      <c r="I351" s="71">
        <v>44440</v>
      </c>
      <c r="J351" s="72">
        <f>EFEITO!$J$351*EFEITO!$Y$210</f>
        <v>0</v>
      </c>
      <c r="K351" s="72">
        <f ca="1">EFEITO!$L$351*EFEITO!$Z$210</f>
        <v>242383.52643813859</v>
      </c>
      <c r="L351" s="72">
        <f>EFEITO!$N$351*EFEITO!$AA$210</f>
        <v>65201.567903231633</v>
      </c>
      <c r="M351" s="72">
        <f>$J$351-EFEITO!$K$351*EFEITO!$Y$351</f>
        <v>0</v>
      </c>
      <c r="N351" s="72">
        <f ca="1">$K$351-EFEITO!$M$351*EFEITO!$Z$351</f>
        <v>14543.01158628831</v>
      </c>
      <c r="O351" s="72">
        <f>$L$351-EFEITO!$O$351*EFEITO!$AA$351</f>
        <v>3912.0940741939048</v>
      </c>
      <c r="P351" s="56"/>
      <c r="Q351" s="56"/>
      <c r="R351" s="56"/>
      <c r="S351" s="56"/>
      <c r="T351" s="56"/>
      <c r="U351" s="56"/>
      <c r="V351" s="56"/>
      <c r="W351" s="56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</row>
    <row r="352" spans="1:36" ht="11.25" customHeight="1" x14ac:dyDescent="0.2">
      <c r="A352" s="52" t="s">
        <v>27</v>
      </c>
      <c r="B352" s="52" t="s">
        <v>43</v>
      </c>
      <c r="C352" s="52" t="s">
        <v>23</v>
      </c>
      <c r="D352" s="52" t="s">
        <v>44</v>
      </c>
      <c r="E352" s="52" t="s">
        <v>25</v>
      </c>
      <c r="F352" s="52" t="s">
        <v>25</v>
      </c>
      <c r="G352" s="52" t="s">
        <v>25</v>
      </c>
      <c r="H352" s="52" t="s">
        <v>25</v>
      </c>
      <c r="I352" s="71">
        <v>44440</v>
      </c>
      <c r="J352" s="72">
        <f>EFEITO!$J$352*EFEITO!$Y$210</f>
        <v>0</v>
      </c>
      <c r="K352" s="72">
        <f ca="1">EFEITO!$L$352*EFEITO!$Z$210</f>
        <v>-96.952247148289672</v>
      </c>
      <c r="L352" s="72">
        <f>EFEITO!$N$352*EFEITO!$AA$210</f>
        <v>-26.080314197522284</v>
      </c>
      <c r="M352" s="72">
        <f>$J$352-EFEITO!$K$352*EFEITO!$Y$352</f>
        <v>0</v>
      </c>
      <c r="N352" s="72">
        <f ca="1">$K$352-EFEITO!$M$352*EFEITO!$Z$352</f>
        <v>-5.8171348288973803</v>
      </c>
      <c r="O352" s="72">
        <f>$L$352-EFEITO!$O$352*EFEITO!$AA$352</f>
        <v>-1.5648188518513386</v>
      </c>
      <c r="P352" s="56"/>
      <c r="Q352" s="56"/>
      <c r="R352" s="56"/>
      <c r="S352" s="56"/>
      <c r="T352" s="56"/>
      <c r="U352" s="56"/>
      <c r="V352" s="56"/>
      <c r="W352" s="56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</row>
    <row r="353" spans="1:36" ht="11.25" customHeight="1" x14ac:dyDescent="0.2">
      <c r="A353" s="52" t="s">
        <v>28</v>
      </c>
      <c r="B353" s="52" t="s">
        <v>43</v>
      </c>
      <c r="C353" s="52" t="s">
        <v>23</v>
      </c>
      <c r="D353" s="52" t="s">
        <v>44</v>
      </c>
      <c r="E353" s="52" t="s">
        <v>25</v>
      </c>
      <c r="F353" s="52" t="s">
        <v>25</v>
      </c>
      <c r="G353" s="52" t="s">
        <v>25</v>
      </c>
      <c r="H353" s="52" t="s">
        <v>25</v>
      </c>
      <c r="I353" s="71">
        <v>44440</v>
      </c>
      <c r="J353" s="72">
        <f>EFEITO!$J$353*EFEITO!$Y$210</f>
        <v>0</v>
      </c>
      <c r="K353" s="72">
        <f ca="1">EFEITO!$L$353*EFEITO!$Z$210</f>
        <v>24629.748865551508</v>
      </c>
      <c r="L353" s="72">
        <f>EFEITO!$N$353*EFEITO!$AA$210</f>
        <v>6625.4430187385615</v>
      </c>
      <c r="M353" s="72">
        <f>$J$353-EFEITO!$K$353*EFEITO!$Y$353</f>
        <v>0</v>
      </c>
      <c r="N353" s="72">
        <f ca="1">$K$353-EFEITO!$M$353*EFEITO!$Z$353</f>
        <v>1477.7849319330926</v>
      </c>
      <c r="O353" s="72">
        <f>$L$353-EFEITO!$O$353*EFEITO!$AA$353</f>
        <v>397.52658112431436</v>
      </c>
      <c r="P353" s="56"/>
      <c r="Q353" s="56"/>
      <c r="R353" s="56"/>
      <c r="S353" s="56"/>
      <c r="T353" s="56"/>
      <c r="U353" s="56"/>
      <c r="V353" s="56"/>
      <c r="W353" s="56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</row>
    <row r="354" spans="1:36" ht="11.25" customHeight="1" x14ac:dyDescent="0.2">
      <c r="A354" s="52" t="s">
        <v>21</v>
      </c>
      <c r="B354" s="52" t="s">
        <v>43</v>
      </c>
      <c r="C354" s="52" t="s">
        <v>23</v>
      </c>
      <c r="D354" s="52" t="s">
        <v>44</v>
      </c>
      <c r="E354" s="52" t="s">
        <v>25</v>
      </c>
      <c r="F354" s="52" t="s">
        <v>25</v>
      </c>
      <c r="G354" s="52" t="s">
        <v>25</v>
      </c>
      <c r="H354" s="52" t="s">
        <v>25</v>
      </c>
      <c r="I354" s="71">
        <v>44470</v>
      </c>
      <c r="J354" s="72">
        <f>EFEITO!$J$354*EFEITO!$Y$210</f>
        <v>0</v>
      </c>
      <c r="K354" s="72">
        <f ca="1">EFEITO!$L$354*EFEITO!$Z$210</f>
        <v>233820.70397000166</v>
      </c>
      <c r="L354" s="72">
        <f>EFEITO!$N$354*EFEITO!$AA$210</f>
        <v>62898.154553306464</v>
      </c>
      <c r="M354" s="72">
        <f>$J$354-EFEITO!$K$354*EFEITO!$Y$354</f>
        <v>0</v>
      </c>
      <c r="N354" s="72">
        <f ca="1">$K$354-EFEITO!$M$354*EFEITO!$Z$354</f>
        <v>14029.242238200095</v>
      </c>
      <c r="O354" s="72">
        <f>$L$354-EFEITO!$O$354*EFEITO!$AA$354</f>
        <v>3773.8892731983942</v>
      </c>
      <c r="P354" s="56"/>
      <c r="Q354" s="56"/>
      <c r="R354" s="56"/>
      <c r="S354" s="56"/>
      <c r="T354" s="56"/>
      <c r="U354" s="56"/>
      <c r="V354" s="56"/>
      <c r="W354" s="56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</row>
    <row r="355" spans="1:36" ht="11.25" customHeight="1" x14ac:dyDescent="0.2">
      <c r="A355" s="52" t="s">
        <v>28</v>
      </c>
      <c r="B355" s="52" t="s">
        <v>43</v>
      </c>
      <c r="C355" s="52" t="s">
        <v>23</v>
      </c>
      <c r="D355" s="52" t="s">
        <v>44</v>
      </c>
      <c r="E355" s="52" t="s">
        <v>25</v>
      </c>
      <c r="F355" s="52" t="s">
        <v>25</v>
      </c>
      <c r="G355" s="52" t="s">
        <v>25</v>
      </c>
      <c r="H355" s="52" t="s">
        <v>25</v>
      </c>
      <c r="I355" s="71">
        <v>44470</v>
      </c>
      <c r="J355" s="72">
        <f>EFEITO!$J$355*EFEITO!$Y$210</f>
        <v>0</v>
      </c>
      <c r="K355" s="72">
        <f ca="1">EFEITO!$L$355*EFEITO!$Z$210</f>
        <v>23707.732995171271</v>
      </c>
      <c r="L355" s="72">
        <f>EFEITO!$N$355*EFEITO!$AA$210</f>
        <v>6377.4192307201238</v>
      </c>
      <c r="M355" s="72">
        <f>$J$355-EFEITO!$K$355*EFEITO!$Y$355</f>
        <v>0</v>
      </c>
      <c r="N355" s="72">
        <f ca="1">$K$355-EFEITO!$M$355*EFEITO!$Z$355</f>
        <v>1422.4639797102755</v>
      </c>
      <c r="O355" s="72">
        <f>$L$355-EFEITO!$O$355*EFEITO!$AA$355</f>
        <v>382.64515384320748</v>
      </c>
      <c r="P355" s="56"/>
      <c r="Q355" s="56"/>
      <c r="R355" s="56"/>
      <c r="S355" s="56"/>
      <c r="T355" s="56"/>
      <c r="U355" s="56"/>
      <c r="V355" s="56"/>
      <c r="W355" s="56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</row>
    <row r="356" spans="1:36" ht="11.25" customHeight="1" x14ac:dyDescent="0.2">
      <c r="A356" s="52" t="s">
        <v>21</v>
      </c>
      <c r="B356" s="52" t="s">
        <v>43</v>
      </c>
      <c r="C356" s="52" t="s">
        <v>23</v>
      </c>
      <c r="D356" s="52" t="s">
        <v>44</v>
      </c>
      <c r="E356" s="52" t="s">
        <v>25</v>
      </c>
      <c r="F356" s="52" t="s">
        <v>25</v>
      </c>
      <c r="G356" s="52" t="s">
        <v>25</v>
      </c>
      <c r="H356" s="52" t="s">
        <v>25</v>
      </c>
      <c r="I356" s="71">
        <v>44501</v>
      </c>
      <c r="J356" s="72">
        <f>EFEITO!$J$356*EFEITO!$Y$210</f>
        <v>0</v>
      </c>
      <c r="K356" s="72">
        <f ca="1">EFEITO!$L$356*EFEITO!$Z$210</f>
        <v>222068.15257068601</v>
      </c>
      <c r="L356" s="72">
        <f>EFEITO!$N$356*EFEITO!$AA$210</f>
        <v>59736.698866282815</v>
      </c>
      <c r="M356" s="72">
        <f>$J$356-EFEITO!$K$356*EFEITO!$Y$356</f>
        <v>0</v>
      </c>
      <c r="N356" s="72">
        <f ca="1">$K$356-EFEITO!$M$356*EFEITO!$Z$356</f>
        <v>13324.08915424117</v>
      </c>
      <c r="O356" s="72">
        <f>$L$356-EFEITO!$O$356*EFEITO!$AA$356</f>
        <v>3584.2019319769679</v>
      </c>
      <c r="P356" s="56"/>
      <c r="Q356" s="56"/>
      <c r="R356" s="56"/>
      <c r="S356" s="56"/>
      <c r="T356" s="56"/>
      <c r="U356" s="56"/>
      <c r="V356" s="56"/>
      <c r="W356" s="56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</row>
    <row r="357" spans="1:36" ht="11.25" customHeight="1" x14ac:dyDescent="0.2">
      <c r="A357" s="52" t="s">
        <v>28</v>
      </c>
      <c r="B357" s="52" t="s">
        <v>43</v>
      </c>
      <c r="C357" s="52" t="s">
        <v>23</v>
      </c>
      <c r="D357" s="52" t="s">
        <v>44</v>
      </c>
      <c r="E357" s="52" t="s">
        <v>25</v>
      </c>
      <c r="F357" s="52" t="s">
        <v>25</v>
      </c>
      <c r="G357" s="52" t="s">
        <v>25</v>
      </c>
      <c r="H357" s="52" t="s">
        <v>25</v>
      </c>
      <c r="I357" s="71">
        <v>44501</v>
      </c>
      <c r="J357" s="72">
        <f>EFEITO!$J$357*EFEITO!$Y$210</f>
        <v>0</v>
      </c>
      <c r="K357" s="72">
        <f ca="1">EFEITO!$L$357*EFEITO!$Z$210</f>
        <v>27641.085661977384</v>
      </c>
      <c r="L357" s="72">
        <f>EFEITO!$N$357*EFEITO!$AA$210</f>
        <v>7435.4975777136033</v>
      </c>
      <c r="M357" s="72">
        <f>$J$357-EFEITO!$K$357*EFEITO!$Y$357</f>
        <v>0</v>
      </c>
      <c r="N357" s="72">
        <f ca="1">$K$357-EFEITO!$M$357*EFEITO!$Z$357</f>
        <v>1658.4651397186426</v>
      </c>
      <c r="O357" s="72">
        <f>$L$357-EFEITO!$O$357*EFEITO!$AA$357</f>
        <v>446.1298546628168</v>
      </c>
      <c r="P357" s="56"/>
      <c r="Q357" s="56"/>
      <c r="R357" s="56"/>
      <c r="S357" s="56"/>
      <c r="T357" s="56"/>
      <c r="U357" s="56"/>
      <c r="V357" s="56"/>
      <c r="W357" s="56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</row>
    <row r="358" spans="1:36" ht="11.25" customHeight="1" x14ac:dyDescent="0.2">
      <c r="A358" s="52" t="s">
        <v>21</v>
      </c>
      <c r="B358" s="52" t="s">
        <v>43</v>
      </c>
      <c r="C358" s="52" t="s">
        <v>23</v>
      </c>
      <c r="D358" s="52" t="s">
        <v>44</v>
      </c>
      <c r="E358" s="52" t="s">
        <v>25</v>
      </c>
      <c r="F358" s="52" t="s">
        <v>25</v>
      </c>
      <c r="G358" s="52" t="s">
        <v>25</v>
      </c>
      <c r="H358" s="52" t="s">
        <v>25</v>
      </c>
      <c r="I358" s="71">
        <v>44531</v>
      </c>
      <c r="J358" s="72">
        <f>EFEITO!$J$358*EFEITO!$Y$210</f>
        <v>0</v>
      </c>
      <c r="K358" s="72">
        <f ca="1">EFEITO!$L$358*EFEITO!$Z$210</f>
        <v>226273.94105197879</v>
      </c>
      <c r="L358" s="72">
        <f>EFEITO!$N$358*EFEITO!$AA$210</f>
        <v>60868.062896171337</v>
      </c>
      <c r="M358" s="72">
        <f>$J$358-EFEITO!$K$358*EFEITO!$Y$358</f>
        <v>0</v>
      </c>
      <c r="N358" s="72">
        <f ca="1">$K$358-EFEITO!$M$358*EFEITO!$Z$358</f>
        <v>13576.436463118735</v>
      </c>
      <c r="O358" s="72">
        <f>$L$358-EFEITO!$O$358*EFEITO!$AA$358</f>
        <v>3652.0837737702896</v>
      </c>
      <c r="P358" s="56"/>
      <c r="Q358" s="56"/>
      <c r="R358" s="56"/>
      <c r="S358" s="56"/>
      <c r="T358" s="56"/>
      <c r="U358" s="56"/>
      <c r="V358" s="56"/>
      <c r="W358" s="56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</row>
    <row r="359" spans="1:36" ht="11.25" customHeight="1" x14ac:dyDescent="0.2">
      <c r="A359" s="52" t="s">
        <v>27</v>
      </c>
      <c r="B359" s="52" t="s">
        <v>43</v>
      </c>
      <c r="C359" s="52" t="s">
        <v>23</v>
      </c>
      <c r="D359" s="52" t="s">
        <v>44</v>
      </c>
      <c r="E359" s="52" t="s">
        <v>25</v>
      </c>
      <c r="F359" s="52" t="s">
        <v>25</v>
      </c>
      <c r="G359" s="52" t="s">
        <v>25</v>
      </c>
      <c r="H359" s="52" t="s">
        <v>25</v>
      </c>
      <c r="I359" s="71">
        <v>44531</v>
      </c>
      <c r="J359" s="72">
        <f>EFEITO!$J$359*EFEITO!$Y$210</f>
        <v>0</v>
      </c>
      <c r="K359" s="72">
        <f ca="1">EFEITO!$L$359*EFEITO!$Z$210</f>
        <v>-1041.2671343726311</v>
      </c>
      <c r="L359" s="72">
        <f>EFEITO!$N$359*EFEITO!$AA$210</f>
        <v>-280.10257448138935</v>
      </c>
      <c r="M359" s="72">
        <f>$J$359-EFEITO!$K$359*EFEITO!$Y$359</f>
        <v>0</v>
      </c>
      <c r="N359" s="72">
        <f ca="1">$K$359-EFEITO!$M$359*EFEITO!$Z$359</f>
        <v>-62.476028062357841</v>
      </c>
      <c r="O359" s="72">
        <f>$L$359-EFEITO!$O$359*EFEITO!$AA$359</f>
        <v>-16.806154468883392</v>
      </c>
      <c r="P359" s="56"/>
      <c r="Q359" s="56"/>
      <c r="R359" s="56"/>
      <c r="S359" s="56"/>
      <c r="T359" s="56"/>
      <c r="U359" s="56"/>
      <c r="V359" s="56"/>
      <c r="W359" s="56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</row>
    <row r="360" spans="1:36" ht="11.25" customHeight="1" x14ac:dyDescent="0.2">
      <c r="A360" s="52" t="s">
        <v>28</v>
      </c>
      <c r="B360" s="52" t="s">
        <v>43</v>
      </c>
      <c r="C360" s="52" t="s">
        <v>23</v>
      </c>
      <c r="D360" s="52" t="s">
        <v>44</v>
      </c>
      <c r="E360" s="52" t="s">
        <v>25</v>
      </c>
      <c r="F360" s="52" t="s">
        <v>25</v>
      </c>
      <c r="G360" s="52" t="s">
        <v>25</v>
      </c>
      <c r="H360" s="52" t="s">
        <v>25</v>
      </c>
      <c r="I360" s="71">
        <v>44531</v>
      </c>
      <c r="J360" s="72">
        <f>EFEITO!$J$360*EFEITO!$Y$210</f>
        <v>0</v>
      </c>
      <c r="K360" s="72">
        <f ca="1">EFEITO!$L$360*EFEITO!$Z$210</f>
        <v>21456.501816387987</v>
      </c>
      <c r="L360" s="72">
        <f>EFEITO!$N$360*EFEITO!$AA$210</f>
        <v>5771.834335053657</v>
      </c>
      <c r="M360" s="72">
        <f>$J$360-EFEITO!$K$360*EFEITO!$Y$360</f>
        <v>0</v>
      </c>
      <c r="N360" s="72">
        <f ca="1">$K$360-EFEITO!$M$360*EFEITO!$Z$360</f>
        <v>1287.3901089832798</v>
      </c>
      <c r="O360" s="72">
        <f>$L$360-EFEITO!$O$360*EFEITO!$AA$360</f>
        <v>346.31006010322017</v>
      </c>
      <c r="P360" s="56"/>
      <c r="Q360" s="56"/>
      <c r="R360" s="56"/>
      <c r="S360" s="56"/>
      <c r="T360" s="56"/>
      <c r="U360" s="56"/>
      <c r="V360" s="56"/>
      <c r="W360" s="56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</row>
    <row r="361" spans="1:36" ht="11.25" customHeight="1" x14ac:dyDescent="0.2">
      <c r="A361" s="52" t="s">
        <v>21</v>
      </c>
      <c r="B361" s="52" t="s">
        <v>43</v>
      </c>
      <c r="C361" s="52" t="s">
        <v>23</v>
      </c>
      <c r="D361" s="52" t="s">
        <v>44</v>
      </c>
      <c r="E361" s="52" t="s">
        <v>25</v>
      </c>
      <c r="F361" s="52" t="s">
        <v>25</v>
      </c>
      <c r="G361" s="52" t="s">
        <v>25</v>
      </c>
      <c r="H361" s="52" t="s">
        <v>25</v>
      </c>
      <c r="I361" s="71">
        <v>44562</v>
      </c>
      <c r="J361" s="72">
        <f>EFEITO!$J$361*EFEITO!$Y$210</f>
        <v>0</v>
      </c>
      <c r="K361" s="72">
        <f ca="1">EFEITO!$L$361*EFEITO!$Z$210</f>
        <v>244463.15213946943</v>
      </c>
      <c r="L361" s="72">
        <f>EFEITO!$N$361*EFEITO!$AA$210</f>
        <v>65760.990642768491</v>
      </c>
      <c r="M361" s="72">
        <f>$J$361-EFEITO!$K$361*EFEITO!$Y$361</f>
        <v>0</v>
      </c>
      <c r="N361" s="72">
        <f ca="1">$K$361-EFEITO!$M$361*EFEITO!$Z$361</f>
        <v>14667.789128368167</v>
      </c>
      <c r="O361" s="72">
        <f>$L$361-EFEITO!$O$361*EFEITO!$AA$361</f>
        <v>3945.6594385661156</v>
      </c>
      <c r="P361" s="56"/>
      <c r="Q361" s="56"/>
      <c r="R361" s="56"/>
      <c r="S361" s="56"/>
      <c r="T361" s="56"/>
      <c r="U361" s="56"/>
      <c r="V361" s="56"/>
      <c r="W361" s="56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</row>
    <row r="362" spans="1:36" ht="11.25" customHeight="1" x14ac:dyDescent="0.2">
      <c r="A362" s="52" t="s">
        <v>28</v>
      </c>
      <c r="B362" s="52" t="s">
        <v>43</v>
      </c>
      <c r="C362" s="52" t="s">
        <v>23</v>
      </c>
      <c r="D362" s="52" t="s">
        <v>44</v>
      </c>
      <c r="E362" s="52" t="s">
        <v>25</v>
      </c>
      <c r="F362" s="52" t="s">
        <v>25</v>
      </c>
      <c r="G362" s="52" t="s">
        <v>25</v>
      </c>
      <c r="H362" s="52" t="s">
        <v>25</v>
      </c>
      <c r="I362" s="71">
        <v>44562</v>
      </c>
      <c r="J362" s="72">
        <f>EFEITO!$J$362*EFEITO!$Y$210</f>
        <v>0</v>
      </c>
      <c r="K362" s="72">
        <f ca="1">EFEITO!$L$362*EFEITO!$Z$210</f>
        <v>24742.213472243522</v>
      </c>
      <c r="L362" s="72">
        <f>EFEITO!$N$362*EFEITO!$AA$210</f>
        <v>6655.6961832076868</v>
      </c>
      <c r="M362" s="72">
        <f>$J$362-EFEITO!$K$362*EFEITO!$Y$362</f>
        <v>0</v>
      </c>
      <c r="N362" s="72">
        <f ca="1">$K$362-EFEITO!$M$362*EFEITO!$Z$362</f>
        <v>1484.5328083346103</v>
      </c>
      <c r="O362" s="72">
        <f>$L$362-EFEITO!$O$362*EFEITO!$AA$362</f>
        <v>399.34177099246153</v>
      </c>
      <c r="P362" s="56"/>
      <c r="Q362" s="56"/>
      <c r="R362" s="56"/>
      <c r="S362" s="56"/>
      <c r="T362" s="56"/>
      <c r="U362" s="56"/>
      <c r="V362" s="56"/>
      <c r="W362" s="56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</row>
    <row r="363" spans="1:36" ht="11.25" customHeight="1" x14ac:dyDescent="0.2">
      <c r="A363" s="52" t="s">
        <v>28</v>
      </c>
      <c r="B363" s="52" t="s">
        <v>43</v>
      </c>
      <c r="C363" s="52" t="s">
        <v>23</v>
      </c>
      <c r="D363" s="52" t="s">
        <v>44</v>
      </c>
      <c r="E363" s="52" t="s">
        <v>25</v>
      </c>
      <c r="F363" s="52" t="s">
        <v>25</v>
      </c>
      <c r="G363" s="52" t="s">
        <v>25</v>
      </c>
      <c r="H363" s="52" t="s">
        <v>25</v>
      </c>
      <c r="I363" s="71">
        <v>44562</v>
      </c>
      <c r="J363" s="72">
        <f>EFEITO!$J$363*EFEITO!$Y$210</f>
        <v>0</v>
      </c>
      <c r="K363" s="72">
        <f ca="1">EFEITO!$L$363*EFEITO!$Z$210</f>
        <v>397.50421330798758</v>
      </c>
      <c r="L363" s="72">
        <f>EFEITO!$N$363*EFEITO!$AA$210</f>
        <v>106.92928820984136</v>
      </c>
      <c r="M363" s="72">
        <f>$J$363-EFEITO!$K$363*EFEITO!$Y$363</f>
        <v>0</v>
      </c>
      <c r="N363" s="72">
        <f ca="1">$K$363-EFEITO!$M$363*EFEITO!$Z$363</f>
        <v>23.850252798479232</v>
      </c>
      <c r="O363" s="72">
        <f>$L$363-EFEITO!$O$363*EFEITO!$AA$363</f>
        <v>6.4157572925904987</v>
      </c>
      <c r="P363" s="56"/>
      <c r="Q363" s="56"/>
      <c r="R363" s="56"/>
      <c r="S363" s="56"/>
      <c r="T363" s="56"/>
      <c r="U363" s="56"/>
      <c r="V363" s="56"/>
      <c r="W363" s="56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</row>
    <row r="364" spans="1:36" ht="11.25" customHeight="1" x14ac:dyDescent="0.2">
      <c r="A364" s="52" t="s">
        <v>21</v>
      </c>
      <c r="B364" s="52" t="s">
        <v>43</v>
      </c>
      <c r="C364" s="52" t="s">
        <v>23</v>
      </c>
      <c r="D364" s="52" t="s">
        <v>44</v>
      </c>
      <c r="E364" s="52" t="s">
        <v>25</v>
      </c>
      <c r="F364" s="52" t="s">
        <v>25</v>
      </c>
      <c r="G364" s="52" t="s">
        <v>25</v>
      </c>
      <c r="H364" s="52" t="s">
        <v>25</v>
      </c>
      <c r="I364" s="71">
        <v>44593</v>
      </c>
      <c r="J364" s="72">
        <f>EFEITO!$J$364*EFEITO!$Y$210</f>
        <v>0</v>
      </c>
      <c r="K364" s="72">
        <f ca="1">EFEITO!$L$364*EFEITO!$Z$210</f>
        <v>236839.79694619941</v>
      </c>
      <c r="L364" s="72">
        <f>EFEITO!$N$364*EFEITO!$AA$210</f>
        <v>63710.295537417311</v>
      </c>
      <c r="M364" s="72">
        <f>$J$364-EFEITO!$K$364*EFEITO!$Y$364</f>
        <v>0</v>
      </c>
      <c r="N364" s="72">
        <f ca="1">$K$364-EFEITO!$M$364*EFEITO!$Z$364</f>
        <v>14210.387816771981</v>
      </c>
      <c r="O364" s="72">
        <f>$L$364-EFEITO!$O$364*EFEITO!$AA$364</f>
        <v>3822.6177322450458</v>
      </c>
      <c r="P364" s="56"/>
      <c r="Q364" s="56"/>
      <c r="R364" s="56"/>
      <c r="S364" s="56"/>
      <c r="T364" s="56"/>
      <c r="U364" s="56"/>
      <c r="V364" s="56"/>
      <c r="W364" s="56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</row>
    <row r="365" spans="1:36" ht="11.25" customHeight="1" x14ac:dyDescent="0.2">
      <c r="A365" s="52" t="s">
        <v>27</v>
      </c>
      <c r="B365" s="52" t="s">
        <v>43</v>
      </c>
      <c r="C365" s="52" t="s">
        <v>23</v>
      </c>
      <c r="D365" s="52" t="s">
        <v>44</v>
      </c>
      <c r="E365" s="52" t="s">
        <v>25</v>
      </c>
      <c r="F365" s="52" t="s">
        <v>25</v>
      </c>
      <c r="G365" s="52" t="s">
        <v>25</v>
      </c>
      <c r="H365" s="52" t="s">
        <v>25</v>
      </c>
      <c r="I365" s="71">
        <v>44593</v>
      </c>
      <c r="J365" s="72">
        <f>EFEITO!$J$365*EFEITO!$Y$210</f>
        <v>0</v>
      </c>
      <c r="K365" s="72">
        <f ca="1">EFEITO!$L$365*EFEITO!$Z$210</f>
        <v>-271.46629201521108</v>
      </c>
      <c r="L365" s="72">
        <f>EFEITO!$N$365*EFEITO!$AA$210</f>
        <v>-73.024879753062407</v>
      </c>
      <c r="M365" s="72">
        <f>$J$365-EFEITO!$K$365*EFEITO!$Y$365</f>
        <v>0</v>
      </c>
      <c r="N365" s="72">
        <f ca="1">$K$365-EFEITO!$M$365*EFEITO!$Z$365</f>
        <v>-16.287977520912676</v>
      </c>
      <c r="O365" s="72">
        <f>$L$365-EFEITO!$O$365*EFEITO!$AA$365</f>
        <v>-4.3814927851837524</v>
      </c>
      <c r="P365" s="56"/>
      <c r="Q365" s="56"/>
      <c r="R365" s="56"/>
      <c r="S365" s="56"/>
      <c r="T365" s="56"/>
      <c r="U365" s="56"/>
      <c r="V365" s="56"/>
      <c r="W365" s="56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</row>
    <row r="366" spans="1:36" ht="11.25" customHeight="1" x14ac:dyDescent="0.2">
      <c r="A366" s="52" t="s">
        <v>28</v>
      </c>
      <c r="B366" s="52" t="s">
        <v>43</v>
      </c>
      <c r="C366" s="52" t="s">
        <v>23</v>
      </c>
      <c r="D366" s="52" t="s">
        <v>44</v>
      </c>
      <c r="E366" s="52" t="s">
        <v>25</v>
      </c>
      <c r="F366" s="52" t="s">
        <v>25</v>
      </c>
      <c r="G366" s="52" t="s">
        <v>25</v>
      </c>
      <c r="H366" s="52" t="s">
        <v>25</v>
      </c>
      <c r="I366" s="71">
        <v>44593</v>
      </c>
      <c r="J366" s="72">
        <f>EFEITO!$J$366*EFEITO!$Y$210</f>
        <v>0</v>
      </c>
      <c r="K366" s="72">
        <f ca="1">EFEITO!$L$366*EFEITO!$Z$210</f>
        <v>26366.163611977376</v>
      </c>
      <c r="L366" s="72">
        <f>EFEITO!$N$366*EFEITO!$AA$210</f>
        <v>7092.5414460161855</v>
      </c>
      <c r="M366" s="72">
        <f>$J$366-EFEITO!$K$366*EFEITO!$Y$366</f>
        <v>0</v>
      </c>
      <c r="N366" s="72">
        <f ca="1">$K$366-EFEITO!$M$366*EFEITO!$Z$366</f>
        <v>1581.9698167186434</v>
      </c>
      <c r="O366" s="72">
        <f>$L$366-EFEITO!$O$366*EFEITO!$AA$366</f>
        <v>425.55248676097199</v>
      </c>
      <c r="P366" s="56"/>
      <c r="Q366" s="56"/>
      <c r="R366" s="56"/>
      <c r="S366" s="56"/>
      <c r="T366" s="56"/>
      <c r="U366" s="56"/>
      <c r="V366" s="56"/>
      <c r="W366" s="56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</row>
    <row r="367" spans="1:36" ht="11.25" customHeight="1" x14ac:dyDescent="0.2">
      <c r="A367" s="52" t="s">
        <v>21</v>
      </c>
      <c r="B367" s="52" t="s">
        <v>43</v>
      </c>
      <c r="C367" s="52" t="s">
        <v>23</v>
      </c>
      <c r="D367" s="52" t="s">
        <v>44</v>
      </c>
      <c r="E367" s="52" t="s">
        <v>25</v>
      </c>
      <c r="F367" s="52" t="s">
        <v>25</v>
      </c>
      <c r="G367" s="52" t="s">
        <v>25</v>
      </c>
      <c r="H367" s="52" t="s">
        <v>25</v>
      </c>
      <c r="I367" s="71">
        <v>44621</v>
      </c>
      <c r="J367" s="72">
        <f>EFEITO!$J$367*EFEITO!$Y$210</f>
        <v>0</v>
      </c>
      <c r="K367" s="72">
        <f ca="1">EFEITO!$L$367*EFEITO!$Z$210</f>
        <v>228740.40621943132</v>
      </c>
      <c r="L367" s="72">
        <f>EFEITO!$N$367*EFEITO!$AA$210</f>
        <v>61531.546089356307</v>
      </c>
      <c r="M367" s="72">
        <f>$J$367-EFEITO!$K$367*EFEITO!$Y$367</f>
        <v>0</v>
      </c>
      <c r="N367" s="72">
        <f ca="1">$K$367-EFEITO!$M$367*EFEITO!$Z$367</f>
        <v>13724.424373165908</v>
      </c>
      <c r="O367" s="72">
        <f>$L$367-EFEITO!$O$367*EFEITO!$AA$367</f>
        <v>3691.8927653613864</v>
      </c>
      <c r="P367" s="56"/>
      <c r="Q367" s="56"/>
      <c r="R367" s="56"/>
      <c r="S367" s="56"/>
      <c r="T367" s="56"/>
      <c r="U367" s="56"/>
      <c r="V367" s="56"/>
      <c r="W367" s="56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</row>
    <row r="368" spans="1:36" ht="11.25" customHeight="1" x14ac:dyDescent="0.2">
      <c r="A368" s="52" t="s">
        <v>27</v>
      </c>
      <c r="B368" s="52" t="s">
        <v>43</v>
      </c>
      <c r="C368" s="52" t="s">
        <v>23</v>
      </c>
      <c r="D368" s="52" t="s">
        <v>44</v>
      </c>
      <c r="E368" s="52" t="s">
        <v>25</v>
      </c>
      <c r="F368" s="52" t="s">
        <v>25</v>
      </c>
      <c r="G368" s="52" t="s">
        <v>25</v>
      </c>
      <c r="H368" s="52" t="s">
        <v>25</v>
      </c>
      <c r="I368" s="71">
        <v>44621</v>
      </c>
      <c r="J368" s="72">
        <f>EFEITO!$J$368*EFEITO!$Y$210</f>
        <v>0</v>
      </c>
      <c r="K368" s="72">
        <f ca="1">EFEITO!$L$368*EFEITO!$Z$210</f>
        <v>-290.85674144486899</v>
      </c>
      <c r="L368" s="72">
        <f>EFEITO!$N$368*EFEITO!$AA$210</f>
        <v>-78.240942592566853</v>
      </c>
      <c r="M368" s="72">
        <f>$J$368-EFEITO!$K$368*EFEITO!$Y$368</f>
        <v>0</v>
      </c>
      <c r="N368" s="72">
        <f ca="1">$K$368-EFEITO!$M$368*EFEITO!$Z$368</f>
        <v>-17.451404486692127</v>
      </c>
      <c r="O368" s="72">
        <f>$L$368-EFEITO!$O$368*EFEITO!$AA$368</f>
        <v>-4.6944565555540265</v>
      </c>
      <c r="P368" s="56"/>
      <c r="Q368" s="56"/>
      <c r="R368" s="56"/>
      <c r="S368" s="56"/>
      <c r="T368" s="56"/>
      <c r="U368" s="56"/>
      <c r="V368" s="56"/>
      <c r="W368" s="56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</row>
    <row r="369" spans="1:36" ht="11.25" customHeight="1" x14ac:dyDescent="0.2">
      <c r="A369" s="52" t="s">
        <v>28</v>
      </c>
      <c r="B369" s="52" t="s">
        <v>43</v>
      </c>
      <c r="C369" s="52" t="s">
        <v>23</v>
      </c>
      <c r="D369" s="52" t="s">
        <v>44</v>
      </c>
      <c r="E369" s="52" t="s">
        <v>25</v>
      </c>
      <c r="F369" s="52" t="s">
        <v>25</v>
      </c>
      <c r="G369" s="52" t="s">
        <v>25</v>
      </c>
      <c r="H369" s="52" t="s">
        <v>25</v>
      </c>
      <c r="I369" s="71">
        <v>44621</v>
      </c>
      <c r="J369" s="72">
        <f>EFEITO!$J$369*EFEITO!$Y$210</f>
        <v>0</v>
      </c>
      <c r="K369" s="72">
        <f ca="1">EFEITO!$L$369*EFEITO!$Z$210</f>
        <v>33404.896754943205</v>
      </c>
      <c r="L369" s="72">
        <f>EFEITO!$N$369*EFEITO!$AA$210</f>
        <v>8985.9722567563022</v>
      </c>
      <c r="M369" s="72">
        <f>$J$369-EFEITO!$K$369*EFEITO!$Y$369</f>
        <v>0</v>
      </c>
      <c r="N369" s="72">
        <f ca="1">$K$369-EFEITO!$M$369*EFEITO!$Z$369</f>
        <v>2004.2938052965947</v>
      </c>
      <c r="O369" s="72">
        <f>$L$369-EFEITO!$O$369*EFEITO!$AA$369</f>
        <v>539.15833540537824</v>
      </c>
      <c r="P369" s="56"/>
      <c r="Q369" s="56"/>
      <c r="R369" s="56"/>
      <c r="S369" s="56"/>
      <c r="T369" s="56"/>
      <c r="U369" s="56"/>
      <c r="V369" s="56"/>
      <c r="W369" s="56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</row>
    <row r="370" spans="1:36" ht="11.25" customHeight="1" x14ac:dyDescent="0.2">
      <c r="A370" s="52" t="s">
        <v>21</v>
      </c>
      <c r="B370" s="52" t="s">
        <v>39</v>
      </c>
      <c r="C370" s="52" t="s">
        <v>23</v>
      </c>
      <c r="D370" s="52" t="s">
        <v>42</v>
      </c>
      <c r="E370" s="52" t="s">
        <v>25</v>
      </c>
      <c r="F370" s="52" t="s">
        <v>25</v>
      </c>
      <c r="G370" s="52" t="s">
        <v>25</v>
      </c>
      <c r="H370" s="52" t="s">
        <v>25</v>
      </c>
      <c r="I370" s="71">
        <v>44287</v>
      </c>
      <c r="J370" s="72">
        <f>EFEITO!$J$370*EFEITO!$Y$370</f>
        <v>0</v>
      </c>
      <c r="K370" s="72">
        <f ca="1">EFEITO!$L$370*EFEITO!$Z$370</f>
        <v>279301.00310726435</v>
      </c>
      <c r="L370" s="72">
        <f>EFEITO!$N$370*EFEITO!$AA$370</f>
        <v>75132.429943364172</v>
      </c>
      <c r="M370" s="72">
        <f>$J$370-EFEITO!$K$370*EFEITO!$Y$370</f>
        <v>0</v>
      </c>
      <c r="N370" s="72">
        <f ca="1">$K$370-EFEITO!$M$370*EFEITO!$Z$370</f>
        <v>0</v>
      </c>
      <c r="O370" s="72">
        <f>$L$370-EFEITO!$O$370*EFEITO!$AA$370</f>
        <v>0</v>
      </c>
      <c r="P370" s="56"/>
      <c r="Q370" s="56"/>
      <c r="R370" s="56"/>
      <c r="S370" s="56"/>
      <c r="T370" s="56"/>
      <c r="U370" s="56"/>
      <c r="V370" s="56"/>
      <c r="W370" s="56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</row>
    <row r="371" spans="1:36" ht="11.25" customHeight="1" x14ac:dyDescent="0.2">
      <c r="A371" s="52" t="s">
        <v>27</v>
      </c>
      <c r="B371" s="52" t="s">
        <v>39</v>
      </c>
      <c r="C371" s="52" t="s">
        <v>23</v>
      </c>
      <c r="D371" s="52" t="s">
        <v>42</v>
      </c>
      <c r="E371" s="52" t="s">
        <v>25</v>
      </c>
      <c r="F371" s="52" t="s">
        <v>25</v>
      </c>
      <c r="G371" s="52" t="s">
        <v>25</v>
      </c>
      <c r="H371" s="52" t="s">
        <v>25</v>
      </c>
      <c r="I371" s="71">
        <v>44287</v>
      </c>
      <c r="J371" s="72">
        <f>EFEITO!$J$371*EFEITO!$Y$371</f>
        <v>0</v>
      </c>
      <c r="K371" s="72">
        <f ca="1">EFEITO!$L$371*EFEITO!$Z$371</f>
        <v>-464.40126384030748</v>
      </c>
      <c r="L371" s="72">
        <f>EFEITO!$N$371*EFEITO!$AA$371</f>
        <v>-124.92470500613173</v>
      </c>
      <c r="M371" s="72">
        <f>$J$371-EFEITO!$K$371*EFEITO!$Y$371</f>
        <v>0</v>
      </c>
      <c r="N371" s="72">
        <f ca="1">$K$371-EFEITO!$M$371*EFEITO!$Z$371</f>
        <v>0</v>
      </c>
      <c r="O371" s="72">
        <f>$L$371-EFEITO!$O$371*EFEITO!$AA$371</f>
        <v>0</v>
      </c>
      <c r="P371" s="56"/>
      <c r="Q371" s="56"/>
      <c r="R371" s="56"/>
      <c r="S371" s="56"/>
      <c r="T371" s="56"/>
      <c r="U371" s="56"/>
      <c r="V371" s="56"/>
      <c r="W371" s="56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</row>
    <row r="372" spans="1:36" ht="11.25" customHeight="1" x14ac:dyDescent="0.2">
      <c r="A372" s="52" t="s">
        <v>28</v>
      </c>
      <c r="B372" s="52" t="s">
        <v>39</v>
      </c>
      <c r="C372" s="52" t="s">
        <v>23</v>
      </c>
      <c r="D372" s="52" t="s">
        <v>42</v>
      </c>
      <c r="E372" s="52" t="s">
        <v>25</v>
      </c>
      <c r="F372" s="52" t="s">
        <v>25</v>
      </c>
      <c r="G372" s="52" t="s">
        <v>25</v>
      </c>
      <c r="H372" s="52" t="s">
        <v>25</v>
      </c>
      <c r="I372" s="71">
        <v>44287</v>
      </c>
      <c r="J372" s="72">
        <f>EFEITO!$J$372*EFEITO!$Y$372</f>
        <v>0</v>
      </c>
      <c r="K372" s="72">
        <f ca="1">EFEITO!$L$372*EFEITO!$Z$372</f>
        <v>2005.9419934981131</v>
      </c>
      <c r="L372" s="72">
        <f>EFEITO!$N$372*EFEITO!$AA$372</f>
        <v>539.60170074673601</v>
      </c>
      <c r="M372" s="72">
        <f>$J$372-EFEITO!$K$372*EFEITO!$Y$372</f>
        <v>0</v>
      </c>
      <c r="N372" s="72">
        <f ca="1">$K$372-EFEITO!$M$372*EFEITO!$Z$372</f>
        <v>0</v>
      </c>
      <c r="O372" s="72">
        <f>$L$372-EFEITO!$O$372*EFEITO!$AA$372</f>
        <v>0</v>
      </c>
      <c r="P372" s="56"/>
      <c r="Q372" s="56"/>
      <c r="R372" s="56"/>
      <c r="S372" s="56"/>
      <c r="T372" s="56"/>
      <c r="U372" s="56"/>
      <c r="V372" s="56"/>
      <c r="W372" s="56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</row>
    <row r="373" spans="1:36" ht="11.25" customHeight="1" x14ac:dyDescent="0.2">
      <c r="A373" s="52" t="s">
        <v>21</v>
      </c>
      <c r="B373" s="52" t="s">
        <v>39</v>
      </c>
      <c r="C373" s="52" t="s">
        <v>23</v>
      </c>
      <c r="D373" s="52" t="s">
        <v>42</v>
      </c>
      <c r="E373" s="52" t="s">
        <v>25</v>
      </c>
      <c r="F373" s="52" t="s">
        <v>25</v>
      </c>
      <c r="G373" s="52" t="s">
        <v>25</v>
      </c>
      <c r="H373" s="52" t="s">
        <v>25</v>
      </c>
      <c r="I373" s="71">
        <v>44317</v>
      </c>
      <c r="J373" s="72">
        <f>EFEITO!$J$373*EFEITO!$Y$373</f>
        <v>0</v>
      </c>
      <c r="K373" s="72">
        <f ca="1">EFEITO!$L$373*EFEITO!$Z$373</f>
        <v>249127.52474977364</v>
      </c>
      <c r="L373" s="72">
        <f>EFEITO!$N$373*EFEITO!$AA$373</f>
        <v>67015.714558811291</v>
      </c>
      <c r="M373" s="72">
        <f>$J$373-EFEITO!$K$373*EFEITO!$Y$373</f>
        <v>0</v>
      </c>
      <c r="N373" s="72">
        <f ca="1">$K$373-EFEITO!$M$373*EFEITO!$Z$373</f>
        <v>0</v>
      </c>
      <c r="O373" s="72">
        <f>$L$373-EFEITO!$O$373*EFEITO!$AA$373</f>
        <v>0</v>
      </c>
      <c r="P373" s="56"/>
      <c r="Q373" s="56"/>
      <c r="R373" s="56"/>
      <c r="S373" s="56"/>
      <c r="T373" s="56"/>
      <c r="U373" s="56"/>
      <c r="V373" s="56"/>
      <c r="W373" s="56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</row>
    <row r="374" spans="1:36" ht="11.25" customHeight="1" x14ac:dyDescent="0.2">
      <c r="A374" s="52" t="s">
        <v>28</v>
      </c>
      <c r="B374" s="52" t="s">
        <v>39</v>
      </c>
      <c r="C374" s="52" t="s">
        <v>23</v>
      </c>
      <c r="D374" s="52" t="s">
        <v>42</v>
      </c>
      <c r="E374" s="52" t="s">
        <v>25</v>
      </c>
      <c r="F374" s="52" t="s">
        <v>25</v>
      </c>
      <c r="G374" s="52" t="s">
        <v>25</v>
      </c>
      <c r="H374" s="52" t="s">
        <v>25</v>
      </c>
      <c r="I374" s="71">
        <v>44317</v>
      </c>
      <c r="J374" s="72">
        <f>EFEITO!$J$374*EFEITO!$Y$374</f>
        <v>0</v>
      </c>
      <c r="K374" s="72">
        <f ca="1">EFEITO!$L$374*EFEITO!$Z$374</f>
        <v>2851.365588631199</v>
      </c>
      <c r="L374" s="72">
        <f>EFEITO!$N$374*EFEITO!$AA$374</f>
        <v>767.02204054913034</v>
      </c>
      <c r="M374" s="72">
        <f>$J$374-EFEITO!$K$374*EFEITO!$Y$374</f>
        <v>0</v>
      </c>
      <c r="N374" s="72">
        <f ca="1">$K$374-EFEITO!$M$374*EFEITO!$Z$374</f>
        <v>0</v>
      </c>
      <c r="O374" s="72">
        <f>$L$374-EFEITO!$O$374*EFEITO!$AA$374</f>
        <v>0</v>
      </c>
      <c r="P374" s="56"/>
      <c r="Q374" s="56"/>
      <c r="R374" s="56"/>
      <c r="S374" s="56"/>
      <c r="T374" s="56"/>
      <c r="U374" s="56"/>
      <c r="V374" s="56"/>
      <c r="W374" s="56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</row>
    <row r="375" spans="1:36" ht="11.25" customHeight="1" x14ac:dyDescent="0.2">
      <c r="A375" s="52" t="s">
        <v>21</v>
      </c>
      <c r="B375" s="52" t="s">
        <v>39</v>
      </c>
      <c r="C375" s="52" t="s">
        <v>23</v>
      </c>
      <c r="D375" s="52" t="s">
        <v>42</v>
      </c>
      <c r="E375" s="52" t="s">
        <v>25</v>
      </c>
      <c r="F375" s="52" t="s">
        <v>25</v>
      </c>
      <c r="G375" s="52" t="s">
        <v>25</v>
      </c>
      <c r="H375" s="52" t="s">
        <v>25</v>
      </c>
      <c r="I375" s="71">
        <v>44348</v>
      </c>
      <c r="J375" s="72">
        <f>EFEITO!$J$375*EFEITO!$Y$375</f>
        <v>0</v>
      </c>
      <c r="K375" s="72">
        <f ca="1">EFEITO!$L$375*EFEITO!$Z$375</f>
        <v>254528.73443840485</v>
      </c>
      <c r="L375" s="72">
        <f>EFEITO!$N$375*EFEITO!$AA$375</f>
        <v>68468.648862755246</v>
      </c>
      <c r="M375" s="72">
        <f>$J$375-EFEITO!$K$375*EFEITO!$Y$375</f>
        <v>0</v>
      </c>
      <c r="N375" s="72">
        <f ca="1">$K$375-EFEITO!$M$375*EFEITO!$Z$375</f>
        <v>0</v>
      </c>
      <c r="O375" s="72">
        <f>$L$375-EFEITO!$O$375*EFEITO!$AA$375</f>
        <v>0</v>
      </c>
      <c r="P375" s="56"/>
      <c r="Q375" s="56"/>
      <c r="R375" s="56"/>
      <c r="S375" s="56"/>
      <c r="T375" s="56"/>
      <c r="U375" s="56"/>
      <c r="V375" s="56"/>
      <c r="W375" s="56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</row>
    <row r="376" spans="1:36" ht="11.25" customHeight="1" x14ac:dyDescent="0.2">
      <c r="A376" s="52" t="s">
        <v>28</v>
      </c>
      <c r="B376" s="52" t="s">
        <v>39</v>
      </c>
      <c r="C376" s="52" t="s">
        <v>23</v>
      </c>
      <c r="D376" s="52" t="s">
        <v>42</v>
      </c>
      <c r="E376" s="52" t="s">
        <v>25</v>
      </c>
      <c r="F376" s="52" t="s">
        <v>25</v>
      </c>
      <c r="G376" s="52" t="s">
        <v>25</v>
      </c>
      <c r="H376" s="52" t="s">
        <v>25</v>
      </c>
      <c r="I376" s="71">
        <v>44348</v>
      </c>
      <c r="J376" s="72">
        <f>EFEITO!$J$376*EFEITO!$Y$376</f>
        <v>0</v>
      </c>
      <c r="K376" s="72">
        <f ca="1">EFEITO!$L$376*EFEITO!$Z$376</f>
        <v>3167.4299143346234</v>
      </c>
      <c r="L376" s="72">
        <f>EFEITO!$N$376*EFEITO!$AA$376</f>
        <v>852.04386483305302</v>
      </c>
      <c r="M376" s="72">
        <f>$J$376-EFEITO!$K$376*EFEITO!$Y$376</f>
        <v>0</v>
      </c>
      <c r="N376" s="72">
        <f ca="1">$K$376-EFEITO!$M$376*EFEITO!$Z$376</f>
        <v>0</v>
      </c>
      <c r="O376" s="72">
        <f>$L$376-EFEITO!$O$376*EFEITO!$AA$376</f>
        <v>0</v>
      </c>
      <c r="P376" s="56"/>
      <c r="Q376" s="56"/>
      <c r="R376" s="56"/>
      <c r="S376" s="56"/>
      <c r="T376" s="56"/>
      <c r="U376" s="56"/>
      <c r="V376" s="56"/>
      <c r="W376" s="56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</row>
    <row r="377" spans="1:36" ht="11.25" customHeight="1" x14ac:dyDescent="0.2">
      <c r="A377" s="52" t="s">
        <v>21</v>
      </c>
      <c r="B377" s="52" t="s">
        <v>39</v>
      </c>
      <c r="C377" s="52" t="s">
        <v>23</v>
      </c>
      <c r="D377" s="52" t="s">
        <v>42</v>
      </c>
      <c r="E377" s="52" t="s">
        <v>25</v>
      </c>
      <c r="F377" s="52" t="s">
        <v>25</v>
      </c>
      <c r="G377" s="52" t="s">
        <v>25</v>
      </c>
      <c r="H377" s="52" t="s">
        <v>25</v>
      </c>
      <c r="I377" s="71">
        <v>44378</v>
      </c>
      <c r="J377" s="72">
        <f>EFEITO!$J$377*EFEITO!$Y$377</f>
        <v>0</v>
      </c>
      <c r="K377" s="72">
        <f ca="1">EFEITO!$L$377*EFEITO!$Z$377</f>
        <v>230574.74273547693</v>
      </c>
      <c r="L377" s="72">
        <f>EFEITO!$N$377*EFEITO!$AA$377</f>
        <v>62024.985633973425</v>
      </c>
      <c r="M377" s="72">
        <f>$J$377-EFEITO!$K$377*EFEITO!$Y$377</f>
        <v>0</v>
      </c>
      <c r="N377" s="72">
        <f ca="1">$K$377-EFEITO!$M$377*EFEITO!$Z$377</f>
        <v>0</v>
      </c>
      <c r="O377" s="72">
        <f>$L$377-EFEITO!$O$377*EFEITO!$AA$377</f>
        <v>0</v>
      </c>
      <c r="P377" s="56"/>
      <c r="Q377" s="56"/>
      <c r="R377" s="56"/>
      <c r="S377" s="56"/>
      <c r="T377" s="56"/>
      <c r="U377" s="56"/>
      <c r="V377" s="56"/>
      <c r="W377" s="56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</row>
    <row r="378" spans="1:36" ht="11.25" customHeight="1" x14ac:dyDescent="0.2">
      <c r="A378" s="52" t="s">
        <v>27</v>
      </c>
      <c r="B378" s="52" t="s">
        <v>39</v>
      </c>
      <c r="C378" s="52" t="s">
        <v>23</v>
      </c>
      <c r="D378" s="52" t="s">
        <v>42</v>
      </c>
      <c r="E378" s="52" t="s">
        <v>25</v>
      </c>
      <c r="F378" s="52" t="s">
        <v>25</v>
      </c>
      <c r="G378" s="52" t="s">
        <v>25</v>
      </c>
      <c r="H378" s="52" t="s">
        <v>25</v>
      </c>
      <c r="I378" s="71">
        <v>44378</v>
      </c>
      <c r="J378" s="72">
        <f>EFEITO!$J$378*EFEITO!$Y$378</f>
        <v>0</v>
      </c>
      <c r="K378" s="72">
        <f ca="1">EFEITO!$L$378*EFEITO!$Z$378</f>
        <v>349.02808973384276</v>
      </c>
      <c r="L378" s="72">
        <f>EFEITO!$N$378*EFEITO!$AA$378</f>
        <v>93.889131111080218</v>
      </c>
      <c r="M378" s="72">
        <f>$J$378-EFEITO!$K$378*EFEITO!$Y$378</f>
        <v>0</v>
      </c>
      <c r="N378" s="72">
        <f ca="1">$K$378-EFEITO!$M$378*EFEITO!$Z$378</f>
        <v>0</v>
      </c>
      <c r="O378" s="72">
        <f>$L$378-EFEITO!$O$378*EFEITO!$AA$378</f>
        <v>0</v>
      </c>
      <c r="P378" s="56"/>
      <c r="Q378" s="56"/>
      <c r="R378" s="56"/>
      <c r="S378" s="56"/>
      <c r="T378" s="56"/>
      <c r="U378" s="56"/>
      <c r="V378" s="56"/>
      <c r="W378" s="56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</row>
    <row r="379" spans="1:36" ht="11.25" customHeight="1" x14ac:dyDescent="0.2">
      <c r="A379" s="52" t="s">
        <v>28</v>
      </c>
      <c r="B379" s="52" t="s">
        <v>39</v>
      </c>
      <c r="C379" s="52" t="s">
        <v>23</v>
      </c>
      <c r="D379" s="52" t="s">
        <v>42</v>
      </c>
      <c r="E379" s="52" t="s">
        <v>25</v>
      </c>
      <c r="F379" s="52" t="s">
        <v>25</v>
      </c>
      <c r="G379" s="52" t="s">
        <v>25</v>
      </c>
      <c r="H379" s="52" t="s">
        <v>25</v>
      </c>
      <c r="I379" s="71">
        <v>44378</v>
      </c>
      <c r="J379" s="72">
        <f>EFEITO!$J$379*EFEITO!$Y$379</f>
        <v>0</v>
      </c>
      <c r="K379" s="72">
        <f ca="1">EFEITO!$L$379*EFEITO!$Z$379</f>
        <v>2956.0740155513517</v>
      </c>
      <c r="L379" s="72">
        <f>EFEITO!$N$379*EFEITO!$AA$379</f>
        <v>795.18877988245447</v>
      </c>
      <c r="M379" s="72">
        <f>$J$379-EFEITO!$K$379*EFEITO!$Y$379</f>
        <v>0</v>
      </c>
      <c r="N379" s="72">
        <f ca="1">$K$379-EFEITO!$M$379*EFEITO!$Z$379</f>
        <v>0</v>
      </c>
      <c r="O379" s="72">
        <f>$L$379-EFEITO!$O$379*EFEITO!$AA$379</f>
        <v>0</v>
      </c>
      <c r="P379" s="56"/>
      <c r="Q379" s="56"/>
      <c r="R379" s="56"/>
      <c r="S379" s="56"/>
      <c r="T379" s="56"/>
      <c r="U379" s="56"/>
      <c r="V379" s="56"/>
      <c r="W379" s="56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</row>
    <row r="380" spans="1:36" ht="11.25" customHeight="1" x14ac:dyDescent="0.2">
      <c r="A380" s="52" t="s">
        <v>21</v>
      </c>
      <c r="B380" s="52" t="s">
        <v>39</v>
      </c>
      <c r="C380" s="52" t="s">
        <v>23</v>
      </c>
      <c r="D380" s="52" t="s">
        <v>42</v>
      </c>
      <c r="E380" s="52" t="s">
        <v>25</v>
      </c>
      <c r="F380" s="52" t="s">
        <v>25</v>
      </c>
      <c r="G380" s="52" t="s">
        <v>25</v>
      </c>
      <c r="H380" s="52" t="s">
        <v>25</v>
      </c>
      <c r="I380" s="71">
        <v>44409</v>
      </c>
      <c r="J380" s="72">
        <f>EFEITO!$J$380*EFEITO!$Y$380</f>
        <v>0</v>
      </c>
      <c r="K380" s="72">
        <f ca="1">EFEITO!$L$380*EFEITO!$Z$380</f>
        <v>247069.22854281546</v>
      </c>
      <c r="L380" s="72">
        <f>EFEITO!$N$380*EFEITO!$AA$380</f>
        <v>66462.029488397893</v>
      </c>
      <c r="M380" s="72">
        <f>$J$380-EFEITO!$K$380*EFEITO!$Y$380</f>
        <v>0</v>
      </c>
      <c r="N380" s="72">
        <f ca="1">$K$380-EFEITO!$M$380*EFEITO!$Z$380</f>
        <v>0</v>
      </c>
      <c r="O380" s="72">
        <f>$L$380-EFEITO!$O$380*EFEITO!$AA$380</f>
        <v>0</v>
      </c>
      <c r="P380" s="56"/>
      <c r="Q380" s="56"/>
      <c r="R380" s="56"/>
      <c r="S380" s="56"/>
      <c r="T380" s="56"/>
      <c r="U380" s="56"/>
      <c r="V380" s="56"/>
      <c r="W380" s="56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</row>
    <row r="381" spans="1:36" ht="11.25" customHeight="1" x14ac:dyDescent="0.2">
      <c r="A381" s="52" t="s">
        <v>28</v>
      </c>
      <c r="B381" s="52" t="s">
        <v>39</v>
      </c>
      <c r="C381" s="52" t="s">
        <v>23</v>
      </c>
      <c r="D381" s="52" t="s">
        <v>42</v>
      </c>
      <c r="E381" s="52" t="s">
        <v>25</v>
      </c>
      <c r="F381" s="52" t="s">
        <v>25</v>
      </c>
      <c r="G381" s="52" t="s">
        <v>25</v>
      </c>
      <c r="H381" s="52" t="s">
        <v>25</v>
      </c>
      <c r="I381" s="71">
        <v>44409</v>
      </c>
      <c r="J381" s="72">
        <f>EFEITO!$J$381*EFEITO!$Y$381</f>
        <v>0</v>
      </c>
      <c r="K381" s="72">
        <f ca="1">EFEITO!$L$381*EFEITO!$Z$381</f>
        <v>2687.5162909505893</v>
      </c>
      <c r="L381" s="72">
        <f>EFEITO!$N$381*EFEITO!$AA$381</f>
        <v>722.94630955531761</v>
      </c>
      <c r="M381" s="72">
        <f>$J$381-EFEITO!$K$381*EFEITO!$Y$381</f>
        <v>0</v>
      </c>
      <c r="N381" s="72">
        <f ca="1">$K$381-EFEITO!$M$381*EFEITO!$Z$381</f>
        <v>0</v>
      </c>
      <c r="O381" s="72">
        <f>$L$381-EFEITO!$O$381*EFEITO!$AA$381</f>
        <v>0</v>
      </c>
      <c r="P381" s="56"/>
      <c r="Q381" s="56"/>
      <c r="R381" s="56"/>
      <c r="S381" s="56"/>
      <c r="T381" s="56"/>
      <c r="U381" s="56"/>
      <c r="V381" s="56"/>
      <c r="W381" s="56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</row>
    <row r="382" spans="1:36" ht="11.25" customHeight="1" x14ac:dyDescent="0.2">
      <c r="A382" s="52" t="s">
        <v>21</v>
      </c>
      <c r="B382" s="52" t="s">
        <v>39</v>
      </c>
      <c r="C382" s="52" t="s">
        <v>23</v>
      </c>
      <c r="D382" s="52" t="s">
        <v>42</v>
      </c>
      <c r="E382" s="52" t="s">
        <v>25</v>
      </c>
      <c r="F382" s="52" t="s">
        <v>25</v>
      </c>
      <c r="G382" s="52" t="s">
        <v>25</v>
      </c>
      <c r="H382" s="52" t="s">
        <v>25</v>
      </c>
      <c r="I382" s="71">
        <v>44440</v>
      </c>
      <c r="J382" s="72">
        <f>EFEITO!$J$382*EFEITO!$Y$382</f>
        <v>0</v>
      </c>
      <c r="K382" s="72">
        <f ca="1">EFEITO!$L$382*EFEITO!$Z$382</f>
        <v>272334.98414965975</v>
      </c>
      <c r="L382" s="72">
        <f>EFEITO!$N$382*EFEITO!$AA$382</f>
        <v>73258.559368272196</v>
      </c>
      <c r="M382" s="72">
        <f>$J$382-EFEITO!$K$382*EFEITO!$Y$382</f>
        <v>0</v>
      </c>
      <c r="N382" s="72">
        <f ca="1">$K$382-EFEITO!$M$382*EFEITO!$Z$382</f>
        <v>0</v>
      </c>
      <c r="O382" s="72">
        <f>$L$382-EFEITO!$O$382*EFEITO!$AA$382</f>
        <v>0</v>
      </c>
      <c r="P382" s="56"/>
      <c r="Q382" s="56"/>
      <c r="R382" s="56"/>
      <c r="S382" s="56"/>
      <c r="T382" s="56"/>
      <c r="U382" s="56"/>
      <c r="V382" s="56"/>
      <c r="W382" s="56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</row>
    <row r="383" spans="1:36" ht="11.25" customHeight="1" x14ac:dyDescent="0.2">
      <c r="A383" s="52" t="s">
        <v>28</v>
      </c>
      <c r="B383" s="52" t="s">
        <v>39</v>
      </c>
      <c r="C383" s="52" t="s">
        <v>23</v>
      </c>
      <c r="D383" s="52" t="s">
        <v>42</v>
      </c>
      <c r="E383" s="52" t="s">
        <v>25</v>
      </c>
      <c r="F383" s="52" t="s">
        <v>25</v>
      </c>
      <c r="G383" s="52" t="s">
        <v>25</v>
      </c>
      <c r="H383" s="52" t="s">
        <v>25</v>
      </c>
      <c r="I383" s="71">
        <v>44440</v>
      </c>
      <c r="J383" s="72">
        <f>EFEITO!$J$383*EFEITO!$Y$383</f>
        <v>0</v>
      </c>
      <c r="K383" s="72">
        <f ca="1">EFEITO!$L$383*EFEITO!$Z$383</f>
        <v>4355.0949419011722</v>
      </c>
      <c r="L383" s="72">
        <f>EFEITO!$N$383*EFEITO!$AA$383</f>
        <v>1171.5277137527009</v>
      </c>
      <c r="M383" s="72">
        <f>$J$383-EFEITO!$K$383*EFEITO!$Y$383</f>
        <v>0</v>
      </c>
      <c r="N383" s="72">
        <f ca="1">$K$383-EFEITO!$M$383*EFEITO!$Z$383</f>
        <v>0</v>
      </c>
      <c r="O383" s="72">
        <f>$L$383-EFEITO!$O$383*EFEITO!$AA$383</f>
        <v>0</v>
      </c>
      <c r="P383" s="56"/>
      <c r="Q383" s="56"/>
      <c r="R383" s="56"/>
      <c r="S383" s="56"/>
      <c r="T383" s="56"/>
      <c r="U383" s="56"/>
      <c r="V383" s="56"/>
      <c r="W383" s="56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</row>
    <row r="384" spans="1:36" ht="11.25" customHeight="1" x14ac:dyDescent="0.2">
      <c r="A384" s="52" t="s">
        <v>21</v>
      </c>
      <c r="B384" s="52" t="s">
        <v>39</v>
      </c>
      <c r="C384" s="52" t="s">
        <v>23</v>
      </c>
      <c r="D384" s="52" t="s">
        <v>42</v>
      </c>
      <c r="E384" s="52" t="s">
        <v>25</v>
      </c>
      <c r="F384" s="52" t="s">
        <v>25</v>
      </c>
      <c r="G384" s="52" t="s">
        <v>25</v>
      </c>
      <c r="H384" s="52" t="s">
        <v>25</v>
      </c>
      <c r="I384" s="71">
        <v>44470</v>
      </c>
      <c r="J384" s="72">
        <f>EFEITO!$J$384*EFEITO!$Y$384</f>
        <v>0</v>
      </c>
      <c r="K384" s="72">
        <f ca="1">EFEITO!$L$384*EFEITO!$Z$384</f>
        <v>264388.77797338594</v>
      </c>
      <c r="L384" s="72">
        <f>EFEITO!$N$384*EFEITO!$AA$384</f>
        <v>71121.01681664327</v>
      </c>
      <c r="M384" s="72">
        <f>$J$384-EFEITO!$K$384*EFEITO!$Y$384</f>
        <v>0</v>
      </c>
      <c r="N384" s="72">
        <f ca="1">$K$384-EFEITO!$M$384*EFEITO!$Z$384</f>
        <v>0</v>
      </c>
      <c r="O384" s="72">
        <f>$L$384-EFEITO!$O$384*EFEITO!$AA$384</f>
        <v>0</v>
      </c>
      <c r="P384" s="56"/>
      <c r="Q384" s="56"/>
      <c r="R384" s="56"/>
      <c r="S384" s="56"/>
      <c r="T384" s="56"/>
      <c r="U384" s="56"/>
      <c r="V384" s="56"/>
      <c r="W384" s="56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</row>
    <row r="385" spans="1:36" ht="11.25" customHeight="1" x14ac:dyDescent="0.2">
      <c r="A385" s="52" t="s">
        <v>27</v>
      </c>
      <c r="B385" s="52" t="s">
        <v>39</v>
      </c>
      <c r="C385" s="52" t="s">
        <v>23</v>
      </c>
      <c r="D385" s="52" t="s">
        <v>42</v>
      </c>
      <c r="E385" s="52" t="s">
        <v>25</v>
      </c>
      <c r="F385" s="52" t="s">
        <v>25</v>
      </c>
      <c r="G385" s="52" t="s">
        <v>25</v>
      </c>
      <c r="H385" s="52" t="s">
        <v>25</v>
      </c>
      <c r="I385" s="71">
        <v>44470</v>
      </c>
      <c r="J385" s="72">
        <f>EFEITO!$J$385*EFEITO!$Y$385</f>
        <v>0</v>
      </c>
      <c r="K385" s="72">
        <f ca="1">EFEITO!$L$385*EFEITO!$Z$385</f>
        <v>-550.68876380228528</v>
      </c>
      <c r="L385" s="72">
        <f>EFEITO!$N$385*EFEITO!$AA$385</f>
        <v>-148.13618464192655</v>
      </c>
      <c r="M385" s="72">
        <f>$J$385-EFEITO!$K$385*EFEITO!$Y$385</f>
        <v>0</v>
      </c>
      <c r="N385" s="72">
        <f ca="1">$K$385-EFEITO!$M$385*EFEITO!$Z$385</f>
        <v>0</v>
      </c>
      <c r="O385" s="72">
        <f>$L$385-EFEITO!$O$385*EFEITO!$AA$385</f>
        <v>0</v>
      </c>
      <c r="P385" s="56"/>
      <c r="Q385" s="56"/>
      <c r="R385" s="56"/>
      <c r="S385" s="56"/>
      <c r="T385" s="56"/>
      <c r="U385" s="56"/>
      <c r="V385" s="56"/>
      <c r="W385" s="56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</row>
    <row r="386" spans="1:36" ht="11.25" customHeight="1" x14ac:dyDescent="0.2">
      <c r="A386" s="52" t="s">
        <v>28</v>
      </c>
      <c r="B386" s="52" t="s">
        <v>39</v>
      </c>
      <c r="C386" s="52" t="s">
        <v>23</v>
      </c>
      <c r="D386" s="52" t="s">
        <v>42</v>
      </c>
      <c r="E386" s="52" t="s">
        <v>25</v>
      </c>
      <c r="F386" s="52" t="s">
        <v>25</v>
      </c>
      <c r="G386" s="52" t="s">
        <v>25</v>
      </c>
      <c r="H386" s="52" t="s">
        <v>25</v>
      </c>
      <c r="I386" s="71">
        <v>44470</v>
      </c>
      <c r="J386" s="72">
        <f>EFEITO!$J$386*EFEITO!$Y$386</f>
        <v>0</v>
      </c>
      <c r="K386" s="72">
        <f ca="1">EFEITO!$L$386*EFEITO!$Z$386</f>
        <v>4298.8626385551643</v>
      </c>
      <c r="L386" s="72">
        <f>EFEITO!$N$386*EFEITO!$AA$386</f>
        <v>1156.4011315181381</v>
      </c>
      <c r="M386" s="72">
        <f>$J$386-EFEITO!$K$386*EFEITO!$Y$386</f>
        <v>0</v>
      </c>
      <c r="N386" s="72">
        <f ca="1">$K$386-EFEITO!$M$386*EFEITO!$Z$386</f>
        <v>0</v>
      </c>
      <c r="O386" s="72">
        <f>$L$386-EFEITO!$O$386*EFEITO!$AA$386</f>
        <v>0</v>
      </c>
      <c r="P386" s="56"/>
      <c r="Q386" s="56"/>
      <c r="R386" s="56"/>
      <c r="S386" s="56"/>
      <c r="T386" s="56"/>
      <c r="U386" s="56"/>
      <c r="V386" s="56"/>
      <c r="W386" s="56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</row>
    <row r="387" spans="1:36" ht="11.25" customHeight="1" x14ac:dyDescent="0.2">
      <c r="A387" s="52" t="s">
        <v>21</v>
      </c>
      <c r="B387" s="52" t="s">
        <v>39</v>
      </c>
      <c r="C387" s="52" t="s">
        <v>23</v>
      </c>
      <c r="D387" s="52" t="s">
        <v>42</v>
      </c>
      <c r="E387" s="52" t="s">
        <v>25</v>
      </c>
      <c r="F387" s="52" t="s">
        <v>25</v>
      </c>
      <c r="G387" s="52" t="s">
        <v>25</v>
      </c>
      <c r="H387" s="52" t="s">
        <v>25</v>
      </c>
      <c r="I387" s="71">
        <v>44501</v>
      </c>
      <c r="J387" s="72">
        <f>EFEITO!$J$387*EFEITO!$Y$387</f>
        <v>0</v>
      </c>
      <c r="K387" s="72">
        <f ca="1">EFEITO!$L$387*EFEITO!$Z$387</f>
        <v>263784.76547365205</v>
      </c>
      <c r="L387" s="72">
        <f>EFEITO!$N$387*EFEITO!$AA$387</f>
        <v>70958.536459192706</v>
      </c>
      <c r="M387" s="72">
        <f>$J$387-EFEITO!$K$387*EFEITO!$Y$387</f>
        <v>0</v>
      </c>
      <c r="N387" s="72">
        <f ca="1">$K$387-EFEITO!$M$387*EFEITO!$Z$387</f>
        <v>0</v>
      </c>
      <c r="O387" s="72">
        <f>$L$387-EFEITO!$O$387*EFEITO!$AA$387</f>
        <v>0</v>
      </c>
      <c r="P387" s="56"/>
      <c r="Q387" s="56"/>
      <c r="R387" s="56"/>
      <c r="S387" s="56"/>
      <c r="T387" s="56"/>
      <c r="U387" s="56"/>
      <c r="V387" s="56"/>
      <c r="W387" s="56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4"/>
    </row>
    <row r="388" spans="1:36" ht="11.25" customHeight="1" x14ac:dyDescent="0.2">
      <c r="A388" s="52" t="s">
        <v>28</v>
      </c>
      <c r="B388" s="52" t="s">
        <v>39</v>
      </c>
      <c r="C388" s="52" t="s">
        <v>23</v>
      </c>
      <c r="D388" s="52" t="s">
        <v>42</v>
      </c>
      <c r="E388" s="52" t="s">
        <v>25</v>
      </c>
      <c r="F388" s="52" t="s">
        <v>25</v>
      </c>
      <c r="G388" s="52" t="s">
        <v>25</v>
      </c>
      <c r="H388" s="52" t="s">
        <v>25</v>
      </c>
      <c r="I388" s="71">
        <v>44501</v>
      </c>
      <c r="J388" s="72">
        <f>EFEITO!$J$388*EFEITO!$Y$388</f>
        <v>0</v>
      </c>
      <c r="K388" s="72">
        <f ca="1">EFEITO!$L$388*EFEITO!$Z$388</f>
        <v>4343.4606722433773</v>
      </c>
      <c r="L388" s="72">
        <f>EFEITO!$N$388*EFEITO!$AA$388</f>
        <v>1168.3980760489985</v>
      </c>
      <c r="M388" s="72">
        <f>$J$388-EFEITO!$K$388*EFEITO!$Y$388</f>
        <v>0</v>
      </c>
      <c r="N388" s="72">
        <f ca="1">$K$388-EFEITO!$M$388*EFEITO!$Z$388</f>
        <v>0</v>
      </c>
      <c r="O388" s="72">
        <f>$L$388-EFEITO!$O$388*EFEITO!$AA$388</f>
        <v>0</v>
      </c>
      <c r="P388" s="56"/>
      <c r="Q388" s="56"/>
      <c r="R388" s="56"/>
      <c r="S388" s="56"/>
      <c r="T388" s="56"/>
      <c r="U388" s="56"/>
      <c r="V388" s="56"/>
      <c r="W388" s="56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  <c r="AJ388" s="4"/>
    </row>
    <row r="389" spans="1:36" ht="11.25" customHeight="1" x14ac:dyDescent="0.2">
      <c r="A389" s="52" t="s">
        <v>21</v>
      </c>
      <c r="B389" s="52" t="s">
        <v>39</v>
      </c>
      <c r="C389" s="52" t="s">
        <v>23</v>
      </c>
      <c r="D389" s="52" t="s">
        <v>42</v>
      </c>
      <c r="E389" s="52" t="s">
        <v>25</v>
      </c>
      <c r="F389" s="52" t="s">
        <v>25</v>
      </c>
      <c r="G389" s="52" t="s">
        <v>25</v>
      </c>
      <c r="H389" s="52" t="s">
        <v>25</v>
      </c>
      <c r="I389" s="71">
        <v>44531</v>
      </c>
      <c r="J389" s="72">
        <f>EFEITO!$J$389*EFEITO!$Y$389</f>
        <v>0</v>
      </c>
      <c r="K389" s="72">
        <f ca="1">EFEITO!$L$389*EFEITO!$Z$389</f>
        <v>272083.87782954564</v>
      </c>
      <c r="L389" s="72">
        <f>EFEITO!$N$389*EFEITO!$AA$389</f>
        <v>73191.011354500617</v>
      </c>
      <c r="M389" s="72">
        <f>$J$389-EFEITO!$K$389*EFEITO!$Y$389</f>
        <v>0</v>
      </c>
      <c r="N389" s="72">
        <f ca="1">$K$389-EFEITO!$M$389*EFEITO!$Z$389</f>
        <v>0</v>
      </c>
      <c r="O389" s="72">
        <f>$L$389-EFEITO!$O$389*EFEITO!$AA$389</f>
        <v>0</v>
      </c>
      <c r="P389" s="56"/>
      <c r="Q389" s="56"/>
      <c r="R389" s="56"/>
      <c r="S389" s="56"/>
      <c r="T389" s="56"/>
      <c r="U389" s="56"/>
      <c r="V389" s="56"/>
      <c r="W389" s="56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  <c r="AJ389" s="4"/>
    </row>
    <row r="390" spans="1:36" ht="11.25" customHeight="1" x14ac:dyDescent="0.2">
      <c r="A390" s="52" t="s">
        <v>28</v>
      </c>
      <c r="B390" s="52" t="s">
        <v>39</v>
      </c>
      <c r="C390" s="52" t="s">
        <v>23</v>
      </c>
      <c r="D390" s="52" t="s">
        <v>42</v>
      </c>
      <c r="E390" s="52" t="s">
        <v>25</v>
      </c>
      <c r="F390" s="52" t="s">
        <v>25</v>
      </c>
      <c r="G390" s="52" t="s">
        <v>25</v>
      </c>
      <c r="H390" s="52" t="s">
        <v>25</v>
      </c>
      <c r="I390" s="71">
        <v>44531</v>
      </c>
      <c r="J390" s="72">
        <f>EFEITO!$J$390*EFEITO!$Y$390</f>
        <v>0</v>
      </c>
      <c r="K390" s="72">
        <f ca="1">EFEITO!$L$390*EFEITO!$Z$390</f>
        <v>3414.6581445627617</v>
      </c>
      <c r="L390" s="72">
        <f>EFEITO!$N$390*EFEITO!$AA$390</f>
        <v>918.54866603673474</v>
      </c>
      <c r="M390" s="72">
        <f>$J$390-EFEITO!$K$390*EFEITO!$Y$390</f>
        <v>0</v>
      </c>
      <c r="N390" s="72">
        <f ca="1">$K$390-EFEITO!$M$390*EFEITO!$Z$390</f>
        <v>0</v>
      </c>
      <c r="O390" s="72">
        <f>$L$390-EFEITO!$O$390*EFEITO!$AA$390</f>
        <v>0</v>
      </c>
      <c r="P390" s="56"/>
      <c r="Q390" s="56"/>
      <c r="R390" s="56"/>
      <c r="S390" s="56"/>
      <c r="T390" s="56"/>
      <c r="U390" s="56"/>
      <c r="V390" s="56"/>
      <c r="W390" s="56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  <c r="AJ390" s="4"/>
    </row>
    <row r="391" spans="1:36" ht="11.25" customHeight="1" x14ac:dyDescent="0.2">
      <c r="A391" s="52" t="s">
        <v>21</v>
      </c>
      <c r="B391" s="52" t="s">
        <v>39</v>
      </c>
      <c r="C391" s="52" t="s">
        <v>23</v>
      </c>
      <c r="D391" s="52" t="s">
        <v>42</v>
      </c>
      <c r="E391" s="52" t="s">
        <v>25</v>
      </c>
      <c r="F391" s="52" t="s">
        <v>25</v>
      </c>
      <c r="G391" s="52" t="s">
        <v>25</v>
      </c>
      <c r="H391" s="52" t="s">
        <v>25</v>
      </c>
      <c r="I391" s="71">
        <v>44562</v>
      </c>
      <c r="J391" s="72">
        <f>EFEITO!$J$391*EFEITO!$Y$391</f>
        <v>0</v>
      </c>
      <c r="K391" s="72">
        <f ca="1">EFEITO!$L$391*EFEITO!$Z$391</f>
        <v>280511.93667414645</v>
      </c>
      <c r="L391" s="72">
        <f>EFEITO!$N$391*EFEITO!$AA$391</f>
        <v>75458.173067691227</v>
      </c>
      <c r="M391" s="72">
        <f>$J$391-EFEITO!$K$391*EFEITO!$Y$391</f>
        <v>0</v>
      </c>
      <c r="N391" s="72">
        <f ca="1">$K$391-EFEITO!$M$391*EFEITO!$Z$391</f>
        <v>0</v>
      </c>
      <c r="O391" s="72">
        <f>$L$391-EFEITO!$O$391*EFEITO!$AA$391</f>
        <v>0</v>
      </c>
      <c r="P391" s="56"/>
      <c r="Q391" s="56"/>
      <c r="R391" s="56"/>
      <c r="S391" s="56"/>
      <c r="T391" s="56"/>
      <c r="U391" s="56"/>
      <c r="V391" s="56"/>
      <c r="W391" s="56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  <c r="AJ391" s="4"/>
    </row>
    <row r="392" spans="1:36" ht="11.25" customHeight="1" x14ac:dyDescent="0.2">
      <c r="A392" s="52" t="s">
        <v>28</v>
      </c>
      <c r="B392" s="52" t="s">
        <v>39</v>
      </c>
      <c r="C392" s="52" t="s">
        <v>23</v>
      </c>
      <c r="D392" s="52" t="s">
        <v>42</v>
      </c>
      <c r="E392" s="52" t="s">
        <v>25</v>
      </c>
      <c r="F392" s="52" t="s">
        <v>25</v>
      </c>
      <c r="G392" s="52" t="s">
        <v>25</v>
      </c>
      <c r="H392" s="52" t="s">
        <v>25</v>
      </c>
      <c r="I392" s="71">
        <v>44562</v>
      </c>
      <c r="J392" s="72">
        <f>EFEITO!$J$392*EFEITO!$Y$392</f>
        <v>0</v>
      </c>
      <c r="K392" s="72">
        <f ca="1">EFEITO!$L$392*EFEITO!$Z$392</f>
        <v>6928.2075812167795</v>
      </c>
      <c r="L392" s="72">
        <f>EFEITO!$N$392*EFEITO!$AA$392</f>
        <v>1863.6992525549424</v>
      </c>
      <c r="M392" s="72">
        <f>$J$392-EFEITO!$K$392*EFEITO!$Y$392</f>
        <v>0</v>
      </c>
      <c r="N392" s="72">
        <f ca="1">$K$392-EFEITO!$M$392*EFEITO!$Z$392</f>
        <v>0</v>
      </c>
      <c r="O392" s="72">
        <f>$L$392-EFEITO!$O$392*EFEITO!$AA$392</f>
        <v>0</v>
      </c>
      <c r="P392" s="56"/>
      <c r="Q392" s="56"/>
      <c r="R392" s="56"/>
      <c r="S392" s="56"/>
      <c r="T392" s="56"/>
      <c r="U392" s="56"/>
      <c r="V392" s="56"/>
      <c r="W392" s="56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  <c r="AJ392" s="4"/>
    </row>
    <row r="393" spans="1:36" ht="11.25" customHeight="1" x14ac:dyDescent="0.2">
      <c r="A393" s="52" t="s">
        <v>21</v>
      </c>
      <c r="B393" s="52" t="s">
        <v>39</v>
      </c>
      <c r="C393" s="52" t="s">
        <v>23</v>
      </c>
      <c r="D393" s="52" t="s">
        <v>42</v>
      </c>
      <c r="E393" s="52" t="s">
        <v>25</v>
      </c>
      <c r="F393" s="52" t="s">
        <v>25</v>
      </c>
      <c r="G393" s="52" t="s">
        <v>25</v>
      </c>
      <c r="H393" s="52" t="s">
        <v>25</v>
      </c>
      <c r="I393" s="71">
        <v>44593</v>
      </c>
      <c r="J393" s="72">
        <f>EFEITO!$J$393*EFEITO!$Y$393</f>
        <v>0</v>
      </c>
      <c r="K393" s="72">
        <f ca="1">EFEITO!$L$393*EFEITO!$Z$393</f>
        <v>306809.26419064857</v>
      </c>
      <c r="L393" s="72">
        <f>EFEITO!$N$393*EFEITO!$AA$393</f>
        <v>82532.197490627164</v>
      </c>
      <c r="M393" s="72">
        <f>$J$393-EFEITO!$K$393*EFEITO!$Y$393</f>
        <v>0</v>
      </c>
      <c r="N393" s="72">
        <f ca="1">$K$393-EFEITO!$M$393*EFEITO!$Z$393</f>
        <v>0</v>
      </c>
      <c r="O393" s="72">
        <f>$L$393-EFEITO!$O$393*EFEITO!$AA$393</f>
        <v>0</v>
      </c>
      <c r="P393" s="56"/>
      <c r="Q393" s="56"/>
      <c r="R393" s="56"/>
      <c r="S393" s="56"/>
      <c r="T393" s="56"/>
      <c r="U393" s="56"/>
      <c r="V393" s="56"/>
      <c r="W393" s="56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</row>
    <row r="394" spans="1:36" ht="11.25" customHeight="1" x14ac:dyDescent="0.2">
      <c r="A394" s="52" t="s">
        <v>28</v>
      </c>
      <c r="B394" s="52" t="s">
        <v>39</v>
      </c>
      <c r="C394" s="52" t="s">
        <v>23</v>
      </c>
      <c r="D394" s="52" t="s">
        <v>42</v>
      </c>
      <c r="E394" s="52" t="s">
        <v>25</v>
      </c>
      <c r="F394" s="52" t="s">
        <v>25</v>
      </c>
      <c r="G394" s="52" t="s">
        <v>25</v>
      </c>
      <c r="H394" s="52" t="s">
        <v>25</v>
      </c>
      <c r="I394" s="71">
        <v>44593</v>
      </c>
      <c r="J394" s="72">
        <f>EFEITO!$J$394*EFEITO!$Y$394</f>
        <v>0</v>
      </c>
      <c r="K394" s="72">
        <f ca="1">EFEITO!$L$394*EFEITO!$Z$394</f>
        <v>3347.7610940304421</v>
      </c>
      <c r="L394" s="72">
        <f>EFEITO!$N$394*EFEITO!$AA$394</f>
        <v>900.55324924044442</v>
      </c>
      <c r="M394" s="72">
        <f>$J$394-EFEITO!$K$394*EFEITO!$Y$394</f>
        <v>0</v>
      </c>
      <c r="N394" s="72">
        <f ca="1">$K$394-EFEITO!$M$394*EFEITO!$Z$394</f>
        <v>0</v>
      </c>
      <c r="O394" s="72">
        <f>$L$394-EFEITO!$O$394*EFEITO!$AA$394</f>
        <v>0</v>
      </c>
      <c r="P394" s="56"/>
      <c r="Q394" s="56"/>
      <c r="R394" s="56"/>
      <c r="S394" s="56"/>
      <c r="T394" s="56"/>
      <c r="U394" s="56"/>
      <c r="V394" s="56"/>
      <c r="W394" s="56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  <c r="AJ394" s="4"/>
    </row>
    <row r="395" spans="1:36" ht="11.25" customHeight="1" x14ac:dyDescent="0.2">
      <c r="A395" s="52" t="s">
        <v>21</v>
      </c>
      <c r="B395" s="52" t="s">
        <v>39</v>
      </c>
      <c r="C395" s="52" t="s">
        <v>23</v>
      </c>
      <c r="D395" s="52" t="s">
        <v>42</v>
      </c>
      <c r="E395" s="52" t="s">
        <v>25</v>
      </c>
      <c r="F395" s="52" t="s">
        <v>25</v>
      </c>
      <c r="G395" s="52" t="s">
        <v>25</v>
      </c>
      <c r="H395" s="52" t="s">
        <v>25</v>
      </c>
      <c r="I395" s="71">
        <v>44621</v>
      </c>
      <c r="J395" s="72">
        <f>EFEITO!$J$395*EFEITO!$Y$395</f>
        <v>0</v>
      </c>
      <c r="K395" s="72">
        <f ca="1">EFEITO!$L$395*EFEITO!$Z$395</f>
        <v>301346.97458631394</v>
      </c>
      <c r="L395" s="72">
        <f>EFEITO!$N$395*EFEITO!$AA$395</f>
        <v>81062.832588738762</v>
      </c>
      <c r="M395" s="72">
        <f>$J$395-EFEITO!$K$395*EFEITO!$Y$395</f>
        <v>0</v>
      </c>
      <c r="N395" s="72">
        <f ca="1">$K$395-EFEITO!$M$395*EFEITO!$Z$395</f>
        <v>0</v>
      </c>
      <c r="O395" s="72">
        <f>$L$395-EFEITO!$O$395*EFEITO!$AA$395</f>
        <v>0</v>
      </c>
      <c r="P395" s="56"/>
      <c r="Q395" s="56"/>
      <c r="R395" s="56"/>
      <c r="S395" s="56"/>
      <c r="T395" s="56"/>
      <c r="U395" s="56"/>
      <c r="V395" s="56"/>
      <c r="W395" s="56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  <c r="AJ395" s="4"/>
    </row>
    <row r="396" spans="1:36" ht="11.25" customHeight="1" x14ac:dyDescent="0.2">
      <c r="A396" s="52" t="s">
        <v>28</v>
      </c>
      <c r="B396" s="52" t="s">
        <v>39</v>
      </c>
      <c r="C396" s="52" t="s">
        <v>23</v>
      </c>
      <c r="D396" s="52" t="s">
        <v>42</v>
      </c>
      <c r="E396" s="52" t="s">
        <v>25</v>
      </c>
      <c r="F396" s="52" t="s">
        <v>25</v>
      </c>
      <c r="G396" s="52" t="s">
        <v>25</v>
      </c>
      <c r="H396" s="52" t="s">
        <v>25</v>
      </c>
      <c r="I396" s="71">
        <v>44621</v>
      </c>
      <c r="J396" s="72">
        <f>EFEITO!$J$396*EFEITO!$Y$396</f>
        <v>0</v>
      </c>
      <c r="K396" s="72">
        <f ca="1">EFEITO!$L$396*EFEITO!$Z$396</f>
        <v>4910.6313180608722</v>
      </c>
      <c r="L396" s="72">
        <f>EFEITO!$N$396*EFEITO!$AA$396</f>
        <v>1320.9679141045037</v>
      </c>
      <c r="M396" s="72">
        <f>$J$396-EFEITO!$K$396*EFEITO!$Y$396</f>
        <v>0</v>
      </c>
      <c r="N396" s="72">
        <f ca="1">$K$396-EFEITO!$M$396*EFEITO!$Z$396</f>
        <v>0</v>
      </c>
      <c r="O396" s="72">
        <f>$L$396-EFEITO!$O$396*EFEITO!$AA$396</f>
        <v>0</v>
      </c>
      <c r="P396" s="56"/>
      <c r="Q396" s="56"/>
      <c r="R396" s="56"/>
      <c r="S396" s="56"/>
      <c r="T396" s="56"/>
      <c r="U396" s="56"/>
      <c r="V396" s="56"/>
      <c r="W396" s="56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  <c r="AJ396" s="4"/>
    </row>
    <row r="397" spans="1:36" ht="11.25" customHeight="1" x14ac:dyDescent="0.2">
      <c r="A397" s="52" t="s">
        <v>21</v>
      </c>
      <c r="B397" s="52" t="s">
        <v>39</v>
      </c>
      <c r="C397" s="52" t="s">
        <v>23</v>
      </c>
      <c r="D397" s="52" t="s">
        <v>51</v>
      </c>
      <c r="E397" s="52" t="s">
        <v>25</v>
      </c>
      <c r="F397" s="52" t="s">
        <v>25</v>
      </c>
      <c r="G397" s="52" t="s">
        <v>25</v>
      </c>
      <c r="H397" s="52" t="s">
        <v>25</v>
      </c>
      <c r="I397" s="71">
        <v>44287</v>
      </c>
      <c r="J397" s="72">
        <f>EFEITO!$J$397*EFEITO!$Y$397</f>
        <v>0</v>
      </c>
      <c r="K397" s="72">
        <f ca="1">EFEITO!$L$397*EFEITO!$Z$397</f>
        <v>368.41853916350072</v>
      </c>
      <c r="L397" s="72">
        <f>EFEITO!$N$397*EFEITO!$AA$397</f>
        <v>99.105193950584678</v>
      </c>
      <c r="M397" s="72">
        <f>$J$397-EFEITO!$K$397*EFEITO!$Y$397</f>
        <v>0</v>
      </c>
      <c r="N397" s="72">
        <f ca="1">$K$397-EFEITO!$M$397*EFEITO!$Z$397</f>
        <v>0</v>
      </c>
      <c r="O397" s="72">
        <f>$L$397-EFEITO!$O$397*EFEITO!$AA$397</f>
        <v>0</v>
      </c>
      <c r="P397" s="56"/>
      <c r="Q397" s="56"/>
      <c r="R397" s="56"/>
      <c r="S397" s="56"/>
      <c r="T397" s="56"/>
      <c r="U397" s="56"/>
      <c r="V397" s="56"/>
      <c r="W397" s="56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  <c r="AJ397" s="4"/>
    </row>
    <row r="398" spans="1:36" ht="11.25" customHeight="1" x14ac:dyDescent="0.2">
      <c r="A398" s="52" t="s">
        <v>28</v>
      </c>
      <c r="B398" s="52" t="s">
        <v>39</v>
      </c>
      <c r="C398" s="52" t="s">
        <v>23</v>
      </c>
      <c r="D398" s="52" t="s">
        <v>51</v>
      </c>
      <c r="E398" s="52" t="s">
        <v>25</v>
      </c>
      <c r="F398" s="52" t="s">
        <v>25</v>
      </c>
      <c r="G398" s="52" t="s">
        <v>25</v>
      </c>
      <c r="H398" s="52" t="s">
        <v>25</v>
      </c>
      <c r="I398" s="71">
        <v>44287</v>
      </c>
      <c r="J398" s="72">
        <f>EFEITO!$J$398*EFEITO!$Y$398</f>
        <v>0</v>
      </c>
      <c r="K398" s="72">
        <f ca="1">EFEITO!$L$398*EFEITO!$Z$398</f>
        <v>2633.2230325475475</v>
      </c>
      <c r="L398" s="72">
        <f>EFEITO!$N$398*EFEITO!$AA$398</f>
        <v>708.34133360470526</v>
      </c>
      <c r="M398" s="72">
        <f>$J$398-EFEITO!$K$398*EFEITO!$Y$398</f>
        <v>0</v>
      </c>
      <c r="N398" s="72">
        <f ca="1">$K$398-EFEITO!$M$398*EFEITO!$Z$398</f>
        <v>0</v>
      </c>
      <c r="O398" s="72">
        <f>$L$398-EFEITO!$O$398*EFEITO!$AA$398</f>
        <v>0</v>
      </c>
      <c r="P398" s="56"/>
      <c r="Q398" s="56"/>
      <c r="R398" s="56"/>
      <c r="S398" s="56"/>
      <c r="T398" s="56"/>
      <c r="U398" s="56"/>
      <c r="V398" s="56"/>
      <c r="W398" s="56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  <c r="AJ398" s="4"/>
    </row>
    <row r="399" spans="1:36" ht="11.25" customHeight="1" x14ac:dyDescent="0.2">
      <c r="A399" s="52" t="s">
        <v>21</v>
      </c>
      <c r="B399" s="52" t="s">
        <v>39</v>
      </c>
      <c r="C399" s="52" t="s">
        <v>23</v>
      </c>
      <c r="D399" s="52" t="s">
        <v>51</v>
      </c>
      <c r="E399" s="52" t="s">
        <v>25</v>
      </c>
      <c r="F399" s="52" t="s">
        <v>25</v>
      </c>
      <c r="G399" s="52" t="s">
        <v>25</v>
      </c>
      <c r="H399" s="52" t="s">
        <v>25</v>
      </c>
      <c r="I399" s="71">
        <v>44317</v>
      </c>
      <c r="J399" s="72">
        <f>EFEITO!$J$399*EFEITO!$Y$399</f>
        <v>0</v>
      </c>
      <c r="K399" s="72">
        <f ca="1">EFEITO!$L$399*EFEITO!$Z$399</f>
        <v>2353.0310382889902</v>
      </c>
      <c r="L399" s="72">
        <f>EFEITO!$N$399*EFEITO!$AA$399</f>
        <v>632.96922557386586</v>
      </c>
      <c r="M399" s="72">
        <f>$J$399-EFEITO!$K$399*EFEITO!$Y$399</f>
        <v>0</v>
      </c>
      <c r="N399" s="72">
        <f ca="1">$K$399-EFEITO!$M$399*EFEITO!$Z$399</f>
        <v>0</v>
      </c>
      <c r="O399" s="72">
        <f>$L$399-EFEITO!$O$399*EFEITO!$AA$399</f>
        <v>0</v>
      </c>
      <c r="P399" s="56"/>
      <c r="Q399" s="56"/>
      <c r="R399" s="56"/>
      <c r="S399" s="56"/>
      <c r="T399" s="56"/>
      <c r="U399" s="56"/>
      <c r="V399" s="56"/>
      <c r="W399" s="56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  <c r="AJ399" s="4"/>
    </row>
    <row r="400" spans="1:36" ht="11.25" customHeight="1" x14ac:dyDescent="0.2">
      <c r="A400" s="52" t="s">
        <v>28</v>
      </c>
      <c r="B400" s="52" t="s">
        <v>39</v>
      </c>
      <c r="C400" s="52" t="s">
        <v>23</v>
      </c>
      <c r="D400" s="52" t="s">
        <v>51</v>
      </c>
      <c r="E400" s="52" t="s">
        <v>25</v>
      </c>
      <c r="F400" s="52" t="s">
        <v>25</v>
      </c>
      <c r="G400" s="52" t="s">
        <v>25</v>
      </c>
      <c r="H400" s="52" t="s">
        <v>25</v>
      </c>
      <c r="I400" s="71">
        <v>44317</v>
      </c>
      <c r="J400" s="72">
        <f>EFEITO!$J$400*EFEITO!$Y$400</f>
        <v>0</v>
      </c>
      <c r="K400" s="72">
        <f ca="1">EFEITO!$L$400*EFEITO!$Z$400</f>
        <v>96.952247148289672</v>
      </c>
      <c r="L400" s="72">
        <f>EFEITO!$N$400*EFEITO!$AA$400</f>
        <v>26.080314197522284</v>
      </c>
      <c r="M400" s="72">
        <f>$J$400-EFEITO!$K$400*EFEITO!$Y$400</f>
        <v>0</v>
      </c>
      <c r="N400" s="72">
        <f ca="1">$K$400-EFEITO!$M$400*EFEITO!$Z$400</f>
        <v>0</v>
      </c>
      <c r="O400" s="72">
        <f>$L$400-EFEITO!$O$400*EFEITO!$AA$400</f>
        <v>0</v>
      </c>
      <c r="P400" s="56"/>
      <c r="Q400" s="56"/>
      <c r="R400" s="56"/>
      <c r="S400" s="56"/>
      <c r="T400" s="56"/>
      <c r="U400" s="56"/>
      <c r="V400" s="56"/>
      <c r="W400" s="56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  <c r="AJ400" s="4"/>
    </row>
    <row r="401" spans="1:36" ht="11.25" customHeight="1" x14ac:dyDescent="0.2">
      <c r="A401" s="52" t="s">
        <v>21</v>
      </c>
      <c r="B401" s="52" t="s">
        <v>39</v>
      </c>
      <c r="C401" s="52" t="s">
        <v>23</v>
      </c>
      <c r="D401" s="52" t="s">
        <v>51</v>
      </c>
      <c r="E401" s="52" t="s">
        <v>25</v>
      </c>
      <c r="F401" s="52" t="s">
        <v>25</v>
      </c>
      <c r="G401" s="52" t="s">
        <v>25</v>
      </c>
      <c r="H401" s="52" t="s">
        <v>25</v>
      </c>
      <c r="I401" s="71">
        <v>44348</v>
      </c>
      <c r="J401" s="72">
        <f>EFEITO!$J$401*EFEITO!$Y$401</f>
        <v>0</v>
      </c>
      <c r="K401" s="72">
        <f ca="1">EFEITO!$L$401*EFEITO!$Z$401</f>
        <v>1981.7039317110409</v>
      </c>
      <c r="L401" s="72">
        <f>EFEITO!$N$401*EFEITO!$AA$401</f>
        <v>533.0816221973555</v>
      </c>
      <c r="M401" s="72">
        <f>$J$401-EFEITO!$K$401*EFEITO!$Y$401</f>
        <v>0</v>
      </c>
      <c r="N401" s="72">
        <f ca="1">$K$401-EFEITO!$M$401*EFEITO!$Z$401</f>
        <v>0</v>
      </c>
      <c r="O401" s="72">
        <f>$L$401-EFEITO!$O$401*EFEITO!$AA$401</f>
        <v>0</v>
      </c>
      <c r="P401" s="56"/>
      <c r="Q401" s="56"/>
      <c r="R401" s="56"/>
      <c r="S401" s="56"/>
      <c r="T401" s="56"/>
      <c r="U401" s="56"/>
      <c r="V401" s="56"/>
      <c r="W401" s="56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  <c r="AJ401" s="4"/>
    </row>
    <row r="402" spans="1:36" ht="11.25" customHeight="1" x14ac:dyDescent="0.2">
      <c r="A402" s="52" t="s">
        <v>28</v>
      </c>
      <c r="B402" s="52" t="s">
        <v>39</v>
      </c>
      <c r="C402" s="52" t="s">
        <v>23</v>
      </c>
      <c r="D402" s="52" t="s">
        <v>51</v>
      </c>
      <c r="E402" s="52" t="s">
        <v>25</v>
      </c>
      <c r="F402" s="52" t="s">
        <v>25</v>
      </c>
      <c r="G402" s="52" t="s">
        <v>25</v>
      </c>
      <c r="H402" s="52" t="s">
        <v>25</v>
      </c>
      <c r="I402" s="71">
        <v>44348</v>
      </c>
      <c r="J402" s="72">
        <f>EFEITO!$J$402*EFEITO!$Y$402</f>
        <v>0</v>
      </c>
      <c r="K402" s="72">
        <f ca="1">EFEITO!$L$402*EFEITO!$Z$402</f>
        <v>96.952247148289672</v>
      </c>
      <c r="L402" s="72">
        <f>EFEITO!$N$402*EFEITO!$AA$402</f>
        <v>26.080314197522284</v>
      </c>
      <c r="M402" s="72">
        <f>$J$402-EFEITO!$K$402*EFEITO!$Y$402</f>
        <v>0</v>
      </c>
      <c r="N402" s="72">
        <f ca="1">$K$402-EFEITO!$M$402*EFEITO!$Z$402</f>
        <v>0</v>
      </c>
      <c r="O402" s="72">
        <f>$L$402-EFEITO!$O$402*EFEITO!$AA$402</f>
        <v>0</v>
      </c>
      <c r="P402" s="56"/>
      <c r="Q402" s="56"/>
      <c r="R402" s="56"/>
      <c r="S402" s="56"/>
      <c r="T402" s="56"/>
      <c r="U402" s="56"/>
      <c r="V402" s="56"/>
      <c r="W402" s="56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4"/>
    </row>
    <row r="403" spans="1:36" ht="11.25" customHeight="1" x14ac:dyDescent="0.2">
      <c r="A403" s="52" t="s">
        <v>21</v>
      </c>
      <c r="B403" s="52" t="s">
        <v>39</v>
      </c>
      <c r="C403" s="52" t="s">
        <v>23</v>
      </c>
      <c r="D403" s="52" t="s">
        <v>51</v>
      </c>
      <c r="E403" s="52" t="s">
        <v>25</v>
      </c>
      <c r="F403" s="52" t="s">
        <v>25</v>
      </c>
      <c r="G403" s="52" t="s">
        <v>25</v>
      </c>
      <c r="H403" s="52" t="s">
        <v>25</v>
      </c>
      <c r="I403" s="71">
        <v>44378</v>
      </c>
      <c r="J403" s="72">
        <f>EFEITO!$J$403*EFEITO!$Y$403</f>
        <v>0</v>
      </c>
      <c r="K403" s="72">
        <f ca="1">EFEITO!$L$403*EFEITO!$Z$403</f>
        <v>246.25870775665575</v>
      </c>
      <c r="L403" s="72">
        <f>EFEITO!$N$403*EFEITO!$AA$403</f>
        <v>66.243998061706606</v>
      </c>
      <c r="M403" s="72">
        <f>$J$403-EFEITO!$K$403*EFEITO!$Y$403</f>
        <v>0</v>
      </c>
      <c r="N403" s="72">
        <f ca="1">$K$403-EFEITO!$M$403*EFEITO!$Z$403</f>
        <v>0</v>
      </c>
      <c r="O403" s="72">
        <f>$L$403-EFEITO!$O$403*EFEITO!$AA$403</f>
        <v>0</v>
      </c>
      <c r="P403" s="56"/>
      <c r="Q403" s="56"/>
      <c r="R403" s="56"/>
      <c r="S403" s="56"/>
      <c r="T403" s="56"/>
      <c r="U403" s="56"/>
      <c r="V403" s="56"/>
      <c r="W403" s="56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  <c r="AJ403" s="4"/>
    </row>
    <row r="404" spans="1:36" ht="11.25" customHeight="1" x14ac:dyDescent="0.2">
      <c r="A404" s="52" t="s">
        <v>28</v>
      </c>
      <c r="B404" s="52" t="s">
        <v>39</v>
      </c>
      <c r="C404" s="52" t="s">
        <v>23</v>
      </c>
      <c r="D404" s="52" t="s">
        <v>51</v>
      </c>
      <c r="E404" s="52" t="s">
        <v>25</v>
      </c>
      <c r="F404" s="52" t="s">
        <v>25</v>
      </c>
      <c r="G404" s="52" t="s">
        <v>25</v>
      </c>
      <c r="H404" s="52" t="s">
        <v>25</v>
      </c>
      <c r="I404" s="71">
        <v>44378</v>
      </c>
      <c r="J404" s="72">
        <f>EFEITO!$J$404*EFEITO!$Y$404</f>
        <v>0</v>
      </c>
      <c r="K404" s="72">
        <f ca="1">EFEITO!$L$404*EFEITO!$Z$404</f>
        <v>1420.3504207224437</v>
      </c>
      <c r="L404" s="72">
        <f>EFEITO!$N$404*EFEITO!$AA$404</f>
        <v>382.0766029937015</v>
      </c>
      <c r="M404" s="72">
        <f>$J$404-EFEITO!$K$404*EFEITO!$Y$404</f>
        <v>0</v>
      </c>
      <c r="N404" s="72">
        <f ca="1">$K$404-EFEITO!$M$404*EFEITO!$Z$404</f>
        <v>0</v>
      </c>
      <c r="O404" s="72">
        <f>$L$404-EFEITO!$O$404*EFEITO!$AA$404</f>
        <v>0</v>
      </c>
      <c r="P404" s="56"/>
      <c r="Q404" s="56"/>
      <c r="R404" s="56"/>
      <c r="S404" s="56"/>
      <c r="T404" s="56"/>
      <c r="U404" s="56"/>
      <c r="V404" s="56"/>
      <c r="W404" s="56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4"/>
    </row>
    <row r="405" spans="1:36" ht="11.25" customHeight="1" x14ac:dyDescent="0.2">
      <c r="A405" s="52" t="s">
        <v>21</v>
      </c>
      <c r="B405" s="52" t="s">
        <v>39</v>
      </c>
      <c r="C405" s="52" t="s">
        <v>23</v>
      </c>
      <c r="D405" s="52" t="s">
        <v>51</v>
      </c>
      <c r="E405" s="52" t="s">
        <v>25</v>
      </c>
      <c r="F405" s="52" t="s">
        <v>25</v>
      </c>
      <c r="G405" s="52" t="s">
        <v>25</v>
      </c>
      <c r="H405" s="52" t="s">
        <v>25</v>
      </c>
      <c r="I405" s="71">
        <v>44409</v>
      </c>
      <c r="J405" s="72">
        <f>EFEITO!$J$405*EFEITO!$Y$405</f>
        <v>0</v>
      </c>
      <c r="K405" s="72">
        <f ca="1">EFEITO!$L$405*EFEITO!$Z$405</f>
        <v>234.62443809886099</v>
      </c>
      <c r="L405" s="72">
        <f>EFEITO!$N$405*EFEITO!$AA$405</f>
        <v>63.114360358003928</v>
      </c>
      <c r="M405" s="72">
        <f>$J$405-EFEITO!$K$405*EFEITO!$Y$405</f>
        <v>0</v>
      </c>
      <c r="N405" s="72">
        <f ca="1">$K$405-EFEITO!$M$405*EFEITO!$Z$405</f>
        <v>0</v>
      </c>
      <c r="O405" s="72">
        <f>$L$405-EFEITO!$O$405*EFEITO!$AA$405</f>
        <v>0</v>
      </c>
      <c r="P405" s="56"/>
      <c r="Q405" s="56"/>
      <c r="R405" s="56"/>
      <c r="S405" s="56"/>
      <c r="T405" s="56"/>
      <c r="U405" s="56"/>
      <c r="V405" s="56"/>
      <c r="W405" s="56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4"/>
    </row>
    <row r="406" spans="1:36" ht="11.25" customHeight="1" x14ac:dyDescent="0.2">
      <c r="A406" s="52" t="s">
        <v>28</v>
      </c>
      <c r="B406" s="52" t="s">
        <v>39</v>
      </c>
      <c r="C406" s="52" t="s">
        <v>23</v>
      </c>
      <c r="D406" s="52" t="s">
        <v>51</v>
      </c>
      <c r="E406" s="52" t="s">
        <v>25</v>
      </c>
      <c r="F406" s="52" t="s">
        <v>25</v>
      </c>
      <c r="G406" s="52" t="s">
        <v>25</v>
      </c>
      <c r="H406" s="52" t="s">
        <v>25</v>
      </c>
      <c r="I406" s="71">
        <v>44409</v>
      </c>
      <c r="J406" s="72">
        <f>EFEITO!$J$406*EFEITO!$Y$406</f>
        <v>0</v>
      </c>
      <c r="K406" s="72">
        <f ca="1">EFEITO!$L$406*EFEITO!$Z$406</f>
        <v>1326.3067409886028</v>
      </c>
      <c r="L406" s="72">
        <f>EFEITO!$N$406*EFEITO!$AA$406</f>
        <v>356.77869822210488</v>
      </c>
      <c r="M406" s="72">
        <f>$J$406-EFEITO!$K$406*EFEITO!$Y$406</f>
        <v>0</v>
      </c>
      <c r="N406" s="72">
        <f ca="1">$K$406-EFEITO!$M$406*EFEITO!$Z$406</f>
        <v>0</v>
      </c>
      <c r="O406" s="72">
        <f>$L$406-EFEITO!$O$406*EFEITO!$AA$406</f>
        <v>0</v>
      </c>
      <c r="P406" s="56"/>
      <c r="Q406" s="56"/>
      <c r="R406" s="56"/>
      <c r="S406" s="56"/>
      <c r="T406" s="56"/>
      <c r="U406" s="56"/>
      <c r="V406" s="56"/>
      <c r="W406" s="56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  <c r="AJ406" s="4"/>
    </row>
    <row r="407" spans="1:36" ht="11.25" customHeight="1" x14ac:dyDescent="0.2">
      <c r="A407" s="52" t="s">
        <v>21</v>
      </c>
      <c r="B407" s="52" t="s">
        <v>39</v>
      </c>
      <c r="C407" s="52" t="s">
        <v>23</v>
      </c>
      <c r="D407" s="52" t="s">
        <v>51</v>
      </c>
      <c r="E407" s="52" t="s">
        <v>25</v>
      </c>
      <c r="F407" s="52" t="s">
        <v>25</v>
      </c>
      <c r="G407" s="52" t="s">
        <v>25</v>
      </c>
      <c r="H407" s="52" t="s">
        <v>25</v>
      </c>
      <c r="I407" s="71">
        <v>44440</v>
      </c>
      <c r="J407" s="72">
        <f>EFEITO!$J$407*EFEITO!$Y$407</f>
        <v>0</v>
      </c>
      <c r="K407" s="72">
        <f ca="1">EFEITO!$L$407*EFEITO!$Z$407</f>
        <v>2133.9189597338554</v>
      </c>
      <c r="L407" s="72">
        <f>EFEITO!$N$407*EFEITO!$AA$407</f>
        <v>574.02771548746546</v>
      </c>
      <c r="M407" s="72">
        <f>$J$407-EFEITO!$K$407*EFEITO!$Y$407</f>
        <v>0</v>
      </c>
      <c r="N407" s="72">
        <f ca="1">$K$407-EFEITO!$M$407*EFEITO!$Z$407</f>
        <v>0</v>
      </c>
      <c r="O407" s="72">
        <f>$L$407-EFEITO!$O$407*EFEITO!$AA$407</f>
        <v>0</v>
      </c>
      <c r="P407" s="56"/>
      <c r="Q407" s="56"/>
      <c r="R407" s="56"/>
      <c r="S407" s="56"/>
      <c r="T407" s="56"/>
      <c r="U407" s="56"/>
      <c r="V407" s="56"/>
      <c r="W407" s="56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4"/>
    </row>
    <row r="408" spans="1:36" ht="11.25" customHeight="1" x14ac:dyDescent="0.2">
      <c r="A408" s="52" t="s">
        <v>28</v>
      </c>
      <c r="B408" s="52" t="s">
        <v>39</v>
      </c>
      <c r="C408" s="52" t="s">
        <v>23</v>
      </c>
      <c r="D408" s="52" t="s">
        <v>51</v>
      </c>
      <c r="E408" s="52" t="s">
        <v>25</v>
      </c>
      <c r="F408" s="52" t="s">
        <v>25</v>
      </c>
      <c r="G408" s="52" t="s">
        <v>25</v>
      </c>
      <c r="H408" s="52" t="s">
        <v>25</v>
      </c>
      <c r="I408" s="71">
        <v>44440</v>
      </c>
      <c r="J408" s="72">
        <f>EFEITO!$J$408*EFEITO!$Y$408</f>
        <v>0</v>
      </c>
      <c r="K408" s="72">
        <f ca="1">EFEITO!$L$408*EFEITO!$Z$408</f>
        <v>96.952247148289672</v>
      </c>
      <c r="L408" s="72">
        <f>EFEITO!$N$408*EFEITO!$AA$408</f>
        <v>26.080314197522284</v>
      </c>
      <c r="M408" s="72">
        <f>$J$408-EFEITO!$K$408*EFEITO!$Y$408</f>
        <v>0</v>
      </c>
      <c r="N408" s="72">
        <f ca="1">$K$408-EFEITO!$M$408*EFEITO!$Z$408</f>
        <v>0</v>
      </c>
      <c r="O408" s="72">
        <f>$L$408-EFEITO!$O$408*EFEITO!$AA$408</f>
        <v>0</v>
      </c>
      <c r="P408" s="56"/>
      <c r="Q408" s="56"/>
      <c r="R408" s="56"/>
      <c r="S408" s="56"/>
      <c r="T408" s="56"/>
      <c r="U408" s="56"/>
      <c r="V408" s="56"/>
      <c r="W408" s="56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4"/>
    </row>
    <row r="409" spans="1:36" ht="11.25" customHeight="1" x14ac:dyDescent="0.2">
      <c r="A409" s="52" t="s">
        <v>21</v>
      </c>
      <c r="B409" s="52" t="s">
        <v>39</v>
      </c>
      <c r="C409" s="52" t="s">
        <v>23</v>
      </c>
      <c r="D409" s="52" t="s">
        <v>51</v>
      </c>
      <c r="E409" s="52" t="s">
        <v>25</v>
      </c>
      <c r="F409" s="52" t="s">
        <v>25</v>
      </c>
      <c r="G409" s="52" t="s">
        <v>25</v>
      </c>
      <c r="H409" s="52" t="s">
        <v>25</v>
      </c>
      <c r="I409" s="71">
        <v>44470</v>
      </c>
      <c r="J409" s="72">
        <f>EFEITO!$J$409*EFEITO!$Y$409</f>
        <v>0</v>
      </c>
      <c r="K409" s="72">
        <f ca="1">EFEITO!$L$409*EFEITO!$Z$409</f>
        <v>2361.7567405323362</v>
      </c>
      <c r="L409" s="72">
        <f>EFEITO!$N$409*EFEITO!$AA$409</f>
        <v>635.31645385164279</v>
      </c>
      <c r="M409" s="72">
        <f>$J$409-EFEITO!$K$409*EFEITO!$Y$409</f>
        <v>0</v>
      </c>
      <c r="N409" s="72">
        <f ca="1">$K$409-EFEITO!$M$409*EFEITO!$Z$409</f>
        <v>0</v>
      </c>
      <c r="O409" s="72">
        <f>$L$409-EFEITO!$O$409*EFEITO!$AA$409</f>
        <v>0</v>
      </c>
      <c r="P409" s="56"/>
      <c r="Q409" s="56"/>
      <c r="R409" s="56"/>
      <c r="S409" s="56"/>
      <c r="T409" s="56"/>
      <c r="U409" s="56"/>
      <c r="V409" s="56"/>
      <c r="W409" s="56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  <c r="AJ409" s="4"/>
    </row>
    <row r="410" spans="1:36" ht="11.25" customHeight="1" x14ac:dyDescent="0.2">
      <c r="A410" s="52" t="s">
        <v>28</v>
      </c>
      <c r="B410" s="52" t="s">
        <v>39</v>
      </c>
      <c r="C410" s="52" t="s">
        <v>23</v>
      </c>
      <c r="D410" s="52" t="s">
        <v>51</v>
      </c>
      <c r="E410" s="52" t="s">
        <v>25</v>
      </c>
      <c r="F410" s="52" t="s">
        <v>25</v>
      </c>
      <c r="G410" s="52" t="s">
        <v>25</v>
      </c>
      <c r="H410" s="52" t="s">
        <v>25</v>
      </c>
      <c r="I410" s="71">
        <v>44470</v>
      </c>
      <c r="J410" s="72">
        <f>EFEITO!$J$410*EFEITO!$Y$410</f>
        <v>0</v>
      </c>
      <c r="K410" s="72">
        <f ca="1">EFEITO!$L$410*EFEITO!$Z$410</f>
        <v>96.952247148289672</v>
      </c>
      <c r="L410" s="72">
        <f>EFEITO!$N$410*EFEITO!$AA$410</f>
        <v>26.080314197522284</v>
      </c>
      <c r="M410" s="72">
        <f>$J$410-EFEITO!$K$410*EFEITO!$Y$410</f>
        <v>0</v>
      </c>
      <c r="N410" s="72">
        <f ca="1">$K$410-EFEITO!$M$410*EFEITO!$Z$410</f>
        <v>0</v>
      </c>
      <c r="O410" s="72">
        <f>$L$410-EFEITO!$O$410*EFEITO!$AA$410</f>
        <v>0</v>
      </c>
      <c r="P410" s="56"/>
      <c r="Q410" s="56"/>
      <c r="R410" s="56"/>
      <c r="S410" s="56"/>
      <c r="T410" s="56"/>
      <c r="U410" s="56"/>
      <c r="V410" s="56"/>
      <c r="W410" s="56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  <c r="AJ410" s="4"/>
    </row>
    <row r="411" spans="1:36" ht="11.25" customHeight="1" x14ac:dyDescent="0.2">
      <c r="A411" s="52" t="s">
        <v>21</v>
      </c>
      <c r="B411" s="52" t="s">
        <v>39</v>
      </c>
      <c r="C411" s="52" t="s">
        <v>23</v>
      </c>
      <c r="D411" s="52" t="s">
        <v>51</v>
      </c>
      <c r="E411" s="52" t="s">
        <v>25</v>
      </c>
      <c r="F411" s="52" t="s">
        <v>25</v>
      </c>
      <c r="G411" s="52" t="s">
        <v>25</v>
      </c>
      <c r="H411" s="52" t="s">
        <v>25</v>
      </c>
      <c r="I411" s="71">
        <v>44501</v>
      </c>
      <c r="J411" s="72">
        <f>EFEITO!$J$411*EFEITO!$Y$411</f>
        <v>0</v>
      </c>
      <c r="K411" s="72">
        <f ca="1">EFEITO!$L$411*EFEITO!$Z$411</f>
        <v>2239.5969091254915</v>
      </c>
      <c r="L411" s="72">
        <f>EFEITO!$N$411*EFEITO!$AA$411</f>
        <v>602.45525796276479</v>
      </c>
      <c r="M411" s="72">
        <f>$J$411-EFEITO!$K$411*EFEITO!$Y$411</f>
        <v>0</v>
      </c>
      <c r="N411" s="72">
        <f ca="1">$K$411-EFEITO!$M$411*EFEITO!$Z$411</f>
        <v>0</v>
      </c>
      <c r="O411" s="72">
        <f>$L$411-EFEITO!$O$411*EFEITO!$AA$411</f>
        <v>0</v>
      </c>
      <c r="P411" s="56"/>
      <c r="Q411" s="56"/>
      <c r="R411" s="56"/>
      <c r="S411" s="56"/>
      <c r="T411" s="56"/>
      <c r="U411" s="56"/>
      <c r="V411" s="56"/>
      <c r="W411" s="56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  <c r="AJ411" s="4"/>
    </row>
    <row r="412" spans="1:36" ht="11.25" customHeight="1" x14ac:dyDescent="0.2">
      <c r="A412" s="52" t="s">
        <v>28</v>
      </c>
      <c r="B412" s="52" t="s">
        <v>39</v>
      </c>
      <c r="C412" s="52" t="s">
        <v>23</v>
      </c>
      <c r="D412" s="52" t="s">
        <v>51</v>
      </c>
      <c r="E412" s="52" t="s">
        <v>25</v>
      </c>
      <c r="F412" s="52" t="s">
        <v>25</v>
      </c>
      <c r="G412" s="52" t="s">
        <v>25</v>
      </c>
      <c r="H412" s="52" t="s">
        <v>25</v>
      </c>
      <c r="I412" s="71">
        <v>44501</v>
      </c>
      <c r="J412" s="72">
        <f>EFEITO!$J$412*EFEITO!$Y$412</f>
        <v>0</v>
      </c>
      <c r="K412" s="72">
        <f ca="1">EFEITO!$L$412*EFEITO!$Z$412</f>
        <v>96.952247148289672</v>
      </c>
      <c r="L412" s="72">
        <f>EFEITO!$N$412*EFEITO!$AA$412</f>
        <v>26.080314197522284</v>
      </c>
      <c r="M412" s="72">
        <f>$J$412-EFEITO!$K$412*EFEITO!$Y$412</f>
        <v>0</v>
      </c>
      <c r="N412" s="72">
        <f ca="1">$K$412-EFEITO!$M$412*EFEITO!$Z$412</f>
        <v>0</v>
      </c>
      <c r="O412" s="72">
        <f>$L$412-EFEITO!$O$412*EFEITO!$AA$412</f>
        <v>0</v>
      </c>
      <c r="P412" s="56"/>
      <c r="Q412" s="56"/>
      <c r="R412" s="56"/>
      <c r="S412" s="56"/>
      <c r="T412" s="56"/>
      <c r="U412" s="56"/>
      <c r="V412" s="56"/>
      <c r="W412" s="56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  <c r="AJ412" s="4"/>
    </row>
    <row r="413" spans="1:36" ht="11.25" customHeight="1" x14ac:dyDescent="0.2">
      <c r="A413" s="52" t="s">
        <v>21</v>
      </c>
      <c r="B413" s="52" t="s">
        <v>39</v>
      </c>
      <c r="C413" s="52" t="s">
        <v>23</v>
      </c>
      <c r="D413" s="52" t="s">
        <v>51</v>
      </c>
      <c r="E413" s="52" t="s">
        <v>25</v>
      </c>
      <c r="F413" s="52" t="s">
        <v>25</v>
      </c>
      <c r="G413" s="52" t="s">
        <v>25</v>
      </c>
      <c r="H413" s="52" t="s">
        <v>25</v>
      </c>
      <c r="I413" s="71">
        <v>44531</v>
      </c>
      <c r="J413" s="72">
        <f>EFEITO!$J$413*EFEITO!$Y$413</f>
        <v>0</v>
      </c>
      <c r="K413" s="72">
        <f ca="1">EFEITO!$L$413*EFEITO!$Z$413</f>
        <v>642.79339859316053</v>
      </c>
      <c r="L413" s="72">
        <f>EFEITO!$N$413*EFEITO!$AA$413</f>
        <v>172.91248312957276</v>
      </c>
      <c r="M413" s="72">
        <f>$J$413-EFEITO!$K$413*EFEITO!$Y$413</f>
        <v>0</v>
      </c>
      <c r="N413" s="72">
        <f ca="1">$K$413-EFEITO!$M$413*EFEITO!$Z$413</f>
        <v>0</v>
      </c>
      <c r="O413" s="72">
        <f>$L$413-EFEITO!$O$413*EFEITO!$AA$413</f>
        <v>0</v>
      </c>
      <c r="P413" s="56"/>
      <c r="Q413" s="56"/>
      <c r="R413" s="56"/>
      <c r="S413" s="56"/>
      <c r="T413" s="56"/>
      <c r="U413" s="56"/>
      <c r="V413" s="56"/>
      <c r="W413" s="56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  <c r="AJ413" s="4"/>
    </row>
    <row r="414" spans="1:36" ht="11.25" customHeight="1" x14ac:dyDescent="0.2">
      <c r="A414" s="52" t="s">
        <v>28</v>
      </c>
      <c r="B414" s="52" t="s">
        <v>39</v>
      </c>
      <c r="C414" s="52" t="s">
        <v>23</v>
      </c>
      <c r="D414" s="52" t="s">
        <v>51</v>
      </c>
      <c r="E414" s="52" t="s">
        <v>25</v>
      </c>
      <c r="F414" s="52" t="s">
        <v>25</v>
      </c>
      <c r="G414" s="52" t="s">
        <v>25</v>
      </c>
      <c r="H414" s="52" t="s">
        <v>25</v>
      </c>
      <c r="I414" s="71">
        <v>44531</v>
      </c>
      <c r="J414" s="72">
        <f>EFEITO!$J$414*EFEITO!$Y$414</f>
        <v>0</v>
      </c>
      <c r="K414" s="72">
        <f ca="1">EFEITO!$L$414*EFEITO!$Z$414</f>
        <v>2171.7303361216887</v>
      </c>
      <c r="L414" s="72">
        <f>EFEITO!$N$414*EFEITO!$AA$414</f>
        <v>584.19903802449926</v>
      </c>
      <c r="M414" s="72">
        <f>$J$414-EFEITO!$K$414*EFEITO!$Y$414</f>
        <v>0</v>
      </c>
      <c r="N414" s="72">
        <f ca="1">$K$414-EFEITO!$M$414*EFEITO!$Z$414</f>
        <v>0</v>
      </c>
      <c r="O414" s="72">
        <f>$L$414-EFEITO!$O$414*EFEITO!$AA$414</f>
        <v>0</v>
      </c>
      <c r="P414" s="56"/>
      <c r="Q414" s="56"/>
      <c r="R414" s="56"/>
      <c r="S414" s="56"/>
      <c r="T414" s="56"/>
      <c r="U414" s="56"/>
      <c r="V414" s="56"/>
      <c r="W414" s="56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  <c r="AJ414" s="4"/>
    </row>
    <row r="415" spans="1:36" ht="11.25" customHeight="1" x14ac:dyDescent="0.2">
      <c r="A415" s="52" t="s">
        <v>21</v>
      </c>
      <c r="B415" s="52" t="s">
        <v>39</v>
      </c>
      <c r="C415" s="52" t="s">
        <v>23</v>
      </c>
      <c r="D415" s="52" t="s">
        <v>51</v>
      </c>
      <c r="E415" s="52" t="s">
        <v>25</v>
      </c>
      <c r="F415" s="52" t="s">
        <v>25</v>
      </c>
      <c r="G415" s="52" t="s">
        <v>25</v>
      </c>
      <c r="H415" s="52" t="s">
        <v>25</v>
      </c>
      <c r="I415" s="71">
        <v>44562</v>
      </c>
      <c r="J415" s="72">
        <f>EFEITO!$J$415*EFEITO!$Y$415</f>
        <v>0</v>
      </c>
      <c r="K415" s="72">
        <f ca="1">EFEITO!$L$415*EFEITO!$Z$415</f>
        <v>3351.6391839163734</v>
      </c>
      <c r="L415" s="72">
        <f>EFEITO!$N$415*EFEITO!$AA$415</f>
        <v>901.59646180834534</v>
      </c>
      <c r="M415" s="72">
        <f>$J$415-EFEITO!$K$415*EFEITO!$Y$415</f>
        <v>0</v>
      </c>
      <c r="N415" s="72">
        <f ca="1">$K$415-EFEITO!$M$415*EFEITO!$Z$415</f>
        <v>0</v>
      </c>
      <c r="O415" s="72">
        <f>$L$415-EFEITO!$O$415*EFEITO!$AA$415</f>
        <v>0</v>
      </c>
      <c r="P415" s="56"/>
      <c r="Q415" s="56"/>
      <c r="R415" s="56"/>
      <c r="S415" s="56"/>
      <c r="T415" s="56"/>
      <c r="U415" s="56"/>
      <c r="V415" s="56"/>
      <c r="W415" s="56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  <c r="AJ415" s="4"/>
    </row>
    <row r="416" spans="1:36" ht="11.25" customHeight="1" x14ac:dyDescent="0.2">
      <c r="A416" s="52" t="s">
        <v>28</v>
      </c>
      <c r="B416" s="52" t="s">
        <v>39</v>
      </c>
      <c r="C416" s="52" t="s">
        <v>23</v>
      </c>
      <c r="D416" s="52" t="s">
        <v>51</v>
      </c>
      <c r="E416" s="52" t="s">
        <v>25</v>
      </c>
      <c r="F416" s="52" t="s">
        <v>25</v>
      </c>
      <c r="G416" s="52" t="s">
        <v>25</v>
      </c>
      <c r="H416" s="52" t="s">
        <v>25</v>
      </c>
      <c r="I416" s="71">
        <v>44562</v>
      </c>
      <c r="J416" s="72">
        <f>EFEITO!$J$416*EFEITO!$Y$416</f>
        <v>0</v>
      </c>
      <c r="K416" s="72">
        <f ca="1">EFEITO!$L$416*EFEITO!$Z$416</f>
        <v>113.43412916349891</v>
      </c>
      <c r="L416" s="72">
        <f>EFEITO!$N$416*EFEITO!$AA$416</f>
        <v>30.513967611101073</v>
      </c>
      <c r="M416" s="72">
        <f>$J$416-EFEITO!$K$416*EFEITO!$Y$416</f>
        <v>0</v>
      </c>
      <c r="N416" s="72">
        <f ca="1">$K$416-EFEITO!$M$416*EFEITO!$Z$416</f>
        <v>0</v>
      </c>
      <c r="O416" s="72">
        <f>$L$416-EFEITO!$O$416*EFEITO!$AA$416</f>
        <v>0</v>
      </c>
      <c r="P416" s="56"/>
      <c r="Q416" s="56"/>
      <c r="R416" s="56"/>
      <c r="S416" s="56"/>
      <c r="T416" s="56"/>
      <c r="U416" s="56"/>
      <c r="V416" s="56"/>
      <c r="W416" s="56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4"/>
      <c r="AJ416" s="4"/>
    </row>
    <row r="417" spans="1:36" ht="11.25" customHeight="1" x14ac:dyDescent="0.2">
      <c r="A417" s="52" t="s">
        <v>21</v>
      </c>
      <c r="B417" s="52" t="s">
        <v>39</v>
      </c>
      <c r="C417" s="52" t="s">
        <v>23</v>
      </c>
      <c r="D417" s="52" t="s">
        <v>51</v>
      </c>
      <c r="E417" s="52" t="s">
        <v>25</v>
      </c>
      <c r="F417" s="52" t="s">
        <v>25</v>
      </c>
      <c r="G417" s="52" t="s">
        <v>25</v>
      </c>
      <c r="H417" s="52" t="s">
        <v>25</v>
      </c>
      <c r="I417" s="71">
        <v>44593</v>
      </c>
      <c r="J417" s="72">
        <f>EFEITO!$J$417*EFEITO!$Y$417</f>
        <v>0</v>
      </c>
      <c r="K417" s="72">
        <f ca="1">EFEITO!$L$417*EFEITO!$Z$417</f>
        <v>3707.4539309505967</v>
      </c>
      <c r="L417" s="72">
        <f>EFEITO!$N$417*EFEITO!$AA$417</f>
        <v>997.31121491325212</v>
      </c>
      <c r="M417" s="72">
        <f>$J$417-EFEITO!$K$417*EFEITO!$Y$417</f>
        <v>0</v>
      </c>
      <c r="N417" s="72">
        <f ca="1">$K$417-EFEITO!$M$417*EFEITO!$Z$417</f>
        <v>0</v>
      </c>
      <c r="O417" s="72">
        <f>$L$417-EFEITO!$O$417*EFEITO!$AA$417</f>
        <v>0</v>
      </c>
      <c r="P417" s="56"/>
      <c r="Q417" s="56"/>
      <c r="R417" s="56"/>
      <c r="S417" s="56"/>
      <c r="T417" s="56"/>
      <c r="U417" s="56"/>
      <c r="V417" s="56"/>
      <c r="W417" s="56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  <c r="AJ417" s="4"/>
    </row>
    <row r="418" spans="1:36" ht="11.25" customHeight="1" x14ac:dyDescent="0.2">
      <c r="A418" s="52" t="s">
        <v>28</v>
      </c>
      <c r="B418" s="52" t="s">
        <v>39</v>
      </c>
      <c r="C418" s="52" t="s">
        <v>23</v>
      </c>
      <c r="D418" s="52" t="s">
        <v>51</v>
      </c>
      <c r="E418" s="52" t="s">
        <v>25</v>
      </c>
      <c r="F418" s="52" t="s">
        <v>25</v>
      </c>
      <c r="G418" s="52" t="s">
        <v>25</v>
      </c>
      <c r="H418" s="52" t="s">
        <v>25</v>
      </c>
      <c r="I418" s="71">
        <v>44593</v>
      </c>
      <c r="J418" s="72">
        <f>EFEITO!$J$418*EFEITO!$Y$418</f>
        <v>0</v>
      </c>
      <c r="K418" s="72">
        <f ca="1">EFEITO!$L$418*EFEITO!$Z$418</f>
        <v>290.85674144486899</v>
      </c>
      <c r="L418" s="72">
        <f>EFEITO!$N$418*EFEITO!$AA$418</f>
        <v>78.240942592566853</v>
      </c>
      <c r="M418" s="72">
        <f>$J$418-EFEITO!$K$418*EFEITO!$Y$418</f>
        <v>0</v>
      </c>
      <c r="N418" s="72">
        <f ca="1">$K$418-EFEITO!$M$418*EFEITO!$Z$418</f>
        <v>0</v>
      </c>
      <c r="O418" s="72">
        <f>$L$418-EFEITO!$O$418*EFEITO!$AA$418</f>
        <v>0</v>
      </c>
      <c r="P418" s="56"/>
      <c r="Q418" s="56"/>
      <c r="R418" s="56"/>
      <c r="S418" s="56"/>
      <c r="T418" s="56"/>
      <c r="U418" s="56"/>
      <c r="V418" s="56"/>
      <c r="W418" s="56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4"/>
      <c r="AJ418" s="4"/>
    </row>
    <row r="419" spans="1:36" ht="11.25" customHeight="1" x14ac:dyDescent="0.2">
      <c r="A419" s="52" t="s">
        <v>21</v>
      </c>
      <c r="B419" s="52" t="s">
        <v>39</v>
      </c>
      <c r="C419" s="52" t="s">
        <v>23</v>
      </c>
      <c r="D419" s="52" t="s">
        <v>51</v>
      </c>
      <c r="E419" s="52" t="s">
        <v>25</v>
      </c>
      <c r="F419" s="52" t="s">
        <v>25</v>
      </c>
      <c r="G419" s="52" t="s">
        <v>25</v>
      </c>
      <c r="H419" s="52" t="s">
        <v>25</v>
      </c>
      <c r="I419" s="71">
        <v>44621</v>
      </c>
      <c r="J419" s="72">
        <f>EFEITO!$J$419*EFEITO!$Y$419</f>
        <v>0</v>
      </c>
      <c r="K419" s="72">
        <f ca="1">EFEITO!$L$419*EFEITO!$Z$419</f>
        <v>3464.1037906083898</v>
      </c>
      <c r="L419" s="72">
        <f>EFEITO!$N$419*EFEITO!$AA$419</f>
        <v>931.8496262774712</v>
      </c>
      <c r="M419" s="72">
        <f>$J$419-EFEITO!$K$419*EFEITO!$Y$419</f>
        <v>0</v>
      </c>
      <c r="N419" s="72">
        <f ca="1">$K$419-EFEITO!$M$419*EFEITO!$Z$419</f>
        <v>0</v>
      </c>
      <c r="O419" s="72">
        <f>$L$419-EFEITO!$O$419*EFEITO!$AA$419</f>
        <v>0</v>
      </c>
      <c r="P419" s="56"/>
      <c r="Q419" s="56"/>
      <c r="R419" s="56"/>
      <c r="S419" s="56"/>
      <c r="T419" s="56"/>
      <c r="U419" s="56"/>
      <c r="V419" s="56"/>
      <c r="W419" s="56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  <c r="AJ419" s="4"/>
    </row>
    <row r="420" spans="1:36" ht="11.25" customHeight="1" x14ac:dyDescent="0.2">
      <c r="A420" s="52" t="s">
        <v>28</v>
      </c>
      <c r="B420" s="52" t="s">
        <v>39</v>
      </c>
      <c r="C420" s="52" t="s">
        <v>23</v>
      </c>
      <c r="D420" s="52" t="s">
        <v>51</v>
      </c>
      <c r="E420" s="52" t="s">
        <v>25</v>
      </c>
      <c r="F420" s="52" t="s">
        <v>25</v>
      </c>
      <c r="G420" s="52" t="s">
        <v>25</v>
      </c>
      <c r="H420" s="52" t="s">
        <v>25</v>
      </c>
      <c r="I420" s="71">
        <v>44621</v>
      </c>
      <c r="J420" s="72">
        <f>EFEITO!$J$420*EFEITO!$Y$420</f>
        <v>0</v>
      </c>
      <c r="K420" s="72">
        <f ca="1">EFEITO!$L$420*EFEITO!$Z$420</f>
        <v>290.85674144486899</v>
      </c>
      <c r="L420" s="72">
        <f>EFEITO!$N$420*EFEITO!$AA$420</f>
        <v>78.240942592566853</v>
      </c>
      <c r="M420" s="72">
        <f>$J$420-EFEITO!$K$420*EFEITO!$Y$420</f>
        <v>0</v>
      </c>
      <c r="N420" s="72">
        <f ca="1">$K$420-EFEITO!$M$420*EFEITO!$Z$420</f>
        <v>0</v>
      </c>
      <c r="O420" s="72">
        <f>$L$420-EFEITO!$O$420*EFEITO!$AA$420</f>
        <v>0</v>
      </c>
      <c r="P420" s="56"/>
      <c r="Q420" s="56"/>
      <c r="R420" s="56"/>
      <c r="S420" s="56"/>
      <c r="T420" s="56"/>
      <c r="U420" s="56"/>
      <c r="V420" s="56"/>
      <c r="W420" s="56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  <c r="AJ420" s="4"/>
    </row>
    <row r="421" spans="1:36" ht="11.25" customHeight="1" x14ac:dyDescent="0.2">
      <c r="A421" s="52" t="s">
        <v>21</v>
      </c>
      <c r="B421" s="52" t="s">
        <v>39</v>
      </c>
      <c r="C421" s="52" t="s">
        <v>23</v>
      </c>
      <c r="D421" s="52" t="s">
        <v>40</v>
      </c>
      <c r="E421" s="52" t="s">
        <v>25</v>
      </c>
      <c r="F421" s="52" t="s">
        <v>25</v>
      </c>
      <c r="G421" s="52" t="s">
        <v>25</v>
      </c>
      <c r="H421" s="52" t="s">
        <v>25</v>
      </c>
      <c r="I421" s="71">
        <v>44287</v>
      </c>
      <c r="J421" s="72">
        <f>EFEITO!$J$421*EFEITO!$Y$421</f>
        <v>0</v>
      </c>
      <c r="K421" s="72">
        <f ca="1">EFEITO!$L$421*EFEITO!$Z$421</f>
        <v>40274.932987871005</v>
      </c>
      <c r="L421" s="72">
        <f>EFEITO!$N$421*EFEITO!$AA$421</f>
        <v>10834.023320792732</v>
      </c>
      <c r="M421" s="72">
        <f>$J$421-EFEITO!$K$421*EFEITO!$Y$421</f>
        <v>0</v>
      </c>
      <c r="N421" s="72">
        <f ca="1">$K$421-EFEITO!$M$421*EFEITO!$Z$421</f>
        <v>0</v>
      </c>
      <c r="O421" s="72">
        <f>$L$421-EFEITO!$O$421*EFEITO!$AA$421</f>
        <v>0</v>
      </c>
      <c r="P421" s="56"/>
      <c r="Q421" s="56"/>
      <c r="R421" s="56"/>
      <c r="S421" s="56"/>
      <c r="T421" s="56"/>
      <c r="U421" s="56"/>
      <c r="V421" s="56"/>
      <c r="W421" s="56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  <c r="AJ421" s="4"/>
    </row>
    <row r="422" spans="1:36" ht="11.25" customHeight="1" x14ac:dyDescent="0.2">
      <c r="A422" s="52" t="s">
        <v>21</v>
      </c>
      <c r="B422" s="52" t="s">
        <v>39</v>
      </c>
      <c r="C422" s="52" t="s">
        <v>23</v>
      </c>
      <c r="D422" s="52" t="s">
        <v>40</v>
      </c>
      <c r="E422" s="52" t="s">
        <v>25</v>
      </c>
      <c r="F422" s="52" t="s">
        <v>25</v>
      </c>
      <c r="G422" s="52" t="s">
        <v>25</v>
      </c>
      <c r="H422" s="52" t="s">
        <v>25</v>
      </c>
      <c r="I422" s="71">
        <v>44317</v>
      </c>
      <c r="J422" s="72">
        <f>EFEITO!$J$422*EFEITO!$Y$422</f>
        <v>0</v>
      </c>
      <c r="K422" s="72">
        <f ca="1">EFEITO!$L$422*EFEITO!$Z$422</f>
        <v>41818.412762471788</v>
      </c>
      <c r="L422" s="72">
        <f>EFEITO!$N$422*EFEITO!$AA$422</f>
        <v>11249.221922817287</v>
      </c>
      <c r="M422" s="72">
        <f>$J$422-EFEITO!$K$422*EFEITO!$Y$422</f>
        <v>0</v>
      </c>
      <c r="N422" s="72">
        <f ca="1">$K$422-EFEITO!$M$422*EFEITO!$Z$422</f>
        <v>0</v>
      </c>
      <c r="O422" s="72">
        <f>$L$422-EFEITO!$O$422*EFEITO!$AA$422</f>
        <v>0</v>
      </c>
      <c r="P422" s="56"/>
      <c r="Q422" s="56"/>
      <c r="R422" s="56"/>
      <c r="S422" s="56"/>
      <c r="T422" s="56"/>
      <c r="U422" s="56"/>
      <c r="V422" s="56"/>
      <c r="W422" s="56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4"/>
      <c r="AJ422" s="4"/>
    </row>
    <row r="423" spans="1:36" ht="11.25" customHeight="1" x14ac:dyDescent="0.2">
      <c r="A423" s="52" t="s">
        <v>21</v>
      </c>
      <c r="B423" s="52" t="s">
        <v>39</v>
      </c>
      <c r="C423" s="52" t="s">
        <v>23</v>
      </c>
      <c r="D423" s="52" t="s">
        <v>40</v>
      </c>
      <c r="E423" s="52" t="s">
        <v>25</v>
      </c>
      <c r="F423" s="52" t="s">
        <v>25</v>
      </c>
      <c r="G423" s="52" t="s">
        <v>25</v>
      </c>
      <c r="H423" s="52" t="s">
        <v>25</v>
      </c>
      <c r="I423" s="71">
        <v>44348</v>
      </c>
      <c r="J423" s="72">
        <f>EFEITO!$J$423*EFEITO!$Y$423</f>
        <v>0</v>
      </c>
      <c r="K423" s="72">
        <f ca="1">EFEITO!$L$423*EFEITO!$Z$423</f>
        <v>37165.674421825366</v>
      </c>
      <c r="L423" s="72">
        <f>EFEITO!$N$423*EFEITO!$AA$423</f>
        <v>9997.6276444781925</v>
      </c>
      <c r="M423" s="72">
        <f>$J$423-EFEITO!$K$423*EFEITO!$Y$423</f>
        <v>0</v>
      </c>
      <c r="N423" s="72">
        <f ca="1">$K$423-EFEITO!$M$423*EFEITO!$Z$423</f>
        <v>0</v>
      </c>
      <c r="O423" s="72">
        <f>$L$423-EFEITO!$O$423*EFEITO!$AA$423</f>
        <v>0</v>
      </c>
      <c r="P423" s="56"/>
      <c r="Q423" s="56"/>
      <c r="R423" s="56"/>
      <c r="S423" s="56"/>
      <c r="T423" s="56"/>
      <c r="U423" s="56"/>
      <c r="V423" s="56"/>
      <c r="W423" s="56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4"/>
      <c r="AJ423" s="4"/>
    </row>
    <row r="424" spans="1:36" ht="11.25" customHeight="1" x14ac:dyDescent="0.2">
      <c r="A424" s="52" t="s">
        <v>21</v>
      </c>
      <c r="B424" s="52" t="s">
        <v>39</v>
      </c>
      <c r="C424" s="52" t="s">
        <v>23</v>
      </c>
      <c r="D424" s="52" t="s">
        <v>40</v>
      </c>
      <c r="E424" s="52" t="s">
        <v>25</v>
      </c>
      <c r="F424" s="52" t="s">
        <v>25</v>
      </c>
      <c r="G424" s="52" t="s">
        <v>25</v>
      </c>
      <c r="H424" s="52" t="s">
        <v>25</v>
      </c>
      <c r="I424" s="71">
        <v>44378</v>
      </c>
      <c r="J424" s="72">
        <f>EFEITO!$J$424*EFEITO!$Y$424</f>
        <v>0</v>
      </c>
      <c r="K424" s="72">
        <f ca="1">EFEITO!$L$424*EFEITO!$Z$424</f>
        <v>35687.152652813944</v>
      </c>
      <c r="L424" s="72">
        <f>EFEITO!$N$424*EFEITO!$AA$424</f>
        <v>9599.9028529659772</v>
      </c>
      <c r="M424" s="72">
        <f>$J$424-EFEITO!$K$424*EFEITO!$Y$424</f>
        <v>0</v>
      </c>
      <c r="N424" s="72">
        <f ca="1">$K$424-EFEITO!$M$424*EFEITO!$Z$424</f>
        <v>0</v>
      </c>
      <c r="O424" s="72">
        <f>$L$424-EFEITO!$O$424*EFEITO!$AA$424</f>
        <v>0</v>
      </c>
      <c r="P424" s="56"/>
      <c r="Q424" s="56"/>
      <c r="R424" s="56"/>
      <c r="S424" s="56"/>
      <c r="T424" s="56"/>
      <c r="U424" s="56"/>
      <c r="V424" s="56"/>
      <c r="W424" s="56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4"/>
      <c r="AJ424" s="4"/>
    </row>
    <row r="425" spans="1:36" ht="11.25" customHeight="1" x14ac:dyDescent="0.2">
      <c r="A425" s="52" t="s">
        <v>21</v>
      </c>
      <c r="B425" s="52" t="s">
        <v>39</v>
      </c>
      <c r="C425" s="52" t="s">
        <v>23</v>
      </c>
      <c r="D425" s="52" t="s">
        <v>40</v>
      </c>
      <c r="E425" s="52" t="s">
        <v>25</v>
      </c>
      <c r="F425" s="52" t="s">
        <v>25</v>
      </c>
      <c r="G425" s="52" t="s">
        <v>25</v>
      </c>
      <c r="H425" s="52" t="s">
        <v>25</v>
      </c>
      <c r="I425" s="71">
        <v>44409</v>
      </c>
      <c r="J425" s="72">
        <f>EFEITO!$J$425*EFEITO!$Y$425</f>
        <v>0</v>
      </c>
      <c r="K425" s="72">
        <f ca="1">EFEITO!$L$425*EFEITO!$Z$425</f>
        <v>31083.85995821315</v>
      </c>
      <c r="L425" s="72">
        <f>EFEITO!$N$425*EFEITO!$AA$425</f>
        <v>8361.609534867619</v>
      </c>
      <c r="M425" s="72">
        <f>$J$425-EFEITO!$K$425*EFEITO!$Y$425</f>
        <v>0</v>
      </c>
      <c r="N425" s="72">
        <f ca="1">$K$425-EFEITO!$M$425*EFEITO!$Z$425</f>
        <v>0</v>
      </c>
      <c r="O425" s="72">
        <f>$L$425-EFEITO!$O$425*EFEITO!$AA$425</f>
        <v>0</v>
      </c>
      <c r="P425" s="56"/>
      <c r="Q425" s="56"/>
      <c r="R425" s="56"/>
      <c r="S425" s="56"/>
      <c r="T425" s="56"/>
      <c r="U425" s="56"/>
      <c r="V425" s="56"/>
      <c r="W425" s="56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4"/>
      <c r="AJ425" s="4"/>
    </row>
    <row r="426" spans="1:36" ht="11.25" customHeight="1" x14ac:dyDescent="0.2">
      <c r="A426" s="52" t="s">
        <v>21</v>
      </c>
      <c r="B426" s="52" t="s">
        <v>39</v>
      </c>
      <c r="C426" s="52" t="s">
        <v>23</v>
      </c>
      <c r="D426" s="52" t="s">
        <v>40</v>
      </c>
      <c r="E426" s="52" t="s">
        <v>25</v>
      </c>
      <c r="F426" s="52" t="s">
        <v>25</v>
      </c>
      <c r="G426" s="52" t="s">
        <v>25</v>
      </c>
      <c r="H426" s="52" t="s">
        <v>25</v>
      </c>
      <c r="I426" s="71">
        <v>44440</v>
      </c>
      <c r="J426" s="72">
        <f>EFEITO!$J$426*EFEITO!$Y$426</f>
        <v>0</v>
      </c>
      <c r="K426" s="72">
        <f ca="1">EFEITO!$L$426*EFEITO!$Z$426</f>
        <v>37222.876247642853</v>
      </c>
      <c r="L426" s="72">
        <f>EFEITO!$N$426*EFEITO!$AA$426</f>
        <v>10013.015029854731</v>
      </c>
      <c r="M426" s="72">
        <f>$J$426-EFEITO!$K$426*EFEITO!$Y$426</f>
        <v>0</v>
      </c>
      <c r="N426" s="72">
        <f ca="1">$K$426-EFEITO!$M$426*EFEITO!$Z$426</f>
        <v>0</v>
      </c>
      <c r="O426" s="72">
        <f>$L$426-EFEITO!$O$426*EFEITO!$AA$426</f>
        <v>0</v>
      </c>
      <c r="P426" s="56"/>
      <c r="Q426" s="56"/>
      <c r="R426" s="56"/>
      <c r="S426" s="56"/>
      <c r="T426" s="56"/>
      <c r="U426" s="56"/>
      <c r="V426" s="56"/>
      <c r="W426" s="56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  <c r="AJ426" s="4"/>
    </row>
    <row r="427" spans="1:36" ht="11.25" customHeight="1" x14ac:dyDescent="0.2">
      <c r="A427" s="52" t="s">
        <v>21</v>
      </c>
      <c r="B427" s="52" t="s">
        <v>39</v>
      </c>
      <c r="C427" s="52" t="s">
        <v>23</v>
      </c>
      <c r="D427" s="52" t="s">
        <v>40</v>
      </c>
      <c r="E427" s="52" t="s">
        <v>25</v>
      </c>
      <c r="F427" s="52" t="s">
        <v>25</v>
      </c>
      <c r="G427" s="52" t="s">
        <v>25</v>
      </c>
      <c r="H427" s="52" t="s">
        <v>25</v>
      </c>
      <c r="I427" s="71">
        <v>44470</v>
      </c>
      <c r="J427" s="72">
        <f>EFEITO!$J$427*EFEITO!$Y$427</f>
        <v>0</v>
      </c>
      <c r="K427" s="72">
        <f ca="1">EFEITO!$L$427*EFEITO!$Z$427</f>
        <v>34137.855743384273</v>
      </c>
      <c r="L427" s="72">
        <f>EFEITO!$N$427*EFEITO!$AA$427</f>
        <v>9183.1394320895706</v>
      </c>
      <c r="M427" s="72">
        <f>$J$427-EFEITO!$K$427*EFEITO!$Y$427</f>
        <v>0</v>
      </c>
      <c r="N427" s="72">
        <f ca="1">$K$427-EFEITO!$M$427*EFEITO!$Z$427</f>
        <v>0</v>
      </c>
      <c r="O427" s="72">
        <f>$L$427-EFEITO!$O$427*EFEITO!$AA$427</f>
        <v>0</v>
      </c>
      <c r="P427" s="56"/>
      <c r="Q427" s="56"/>
      <c r="R427" s="56"/>
      <c r="S427" s="56"/>
      <c r="T427" s="56"/>
      <c r="U427" s="56"/>
      <c r="V427" s="56"/>
      <c r="W427" s="56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  <c r="AJ427" s="4"/>
    </row>
    <row r="428" spans="1:36" ht="11.25" customHeight="1" x14ac:dyDescent="0.2">
      <c r="A428" s="52" t="s">
        <v>21</v>
      </c>
      <c r="B428" s="52" t="s">
        <v>39</v>
      </c>
      <c r="C428" s="52" t="s">
        <v>23</v>
      </c>
      <c r="D428" s="52" t="s">
        <v>40</v>
      </c>
      <c r="E428" s="52" t="s">
        <v>25</v>
      </c>
      <c r="F428" s="52" t="s">
        <v>25</v>
      </c>
      <c r="G428" s="52" t="s">
        <v>25</v>
      </c>
      <c r="H428" s="52" t="s">
        <v>25</v>
      </c>
      <c r="I428" s="71">
        <v>44501</v>
      </c>
      <c r="J428" s="72">
        <f>EFEITO!$J$428*EFEITO!$Y$428</f>
        <v>0</v>
      </c>
      <c r="K428" s="72">
        <f ca="1">EFEITO!$L$428*EFEITO!$Z$428</f>
        <v>37344.066556578211</v>
      </c>
      <c r="L428" s="72">
        <f>EFEITO!$N$428*EFEITO!$AA$428</f>
        <v>10045.615422601633</v>
      </c>
      <c r="M428" s="72">
        <f>$J$428-EFEITO!$K$428*EFEITO!$Y$428</f>
        <v>0</v>
      </c>
      <c r="N428" s="72">
        <f ca="1">$K$428-EFEITO!$M$428*EFEITO!$Z$428</f>
        <v>0</v>
      </c>
      <c r="O428" s="72">
        <f>$L$428-EFEITO!$O$428*EFEITO!$AA$428</f>
        <v>0</v>
      </c>
      <c r="P428" s="56"/>
      <c r="Q428" s="56"/>
      <c r="R428" s="56"/>
      <c r="S428" s="56"/>
      <c r="T428" s="56"/>
      <c r="U428" s="56"/>
      <c r="V428" s="56"/>
      <c r="W428" s="56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4"/>
      <c r="AJ428" s="4"/>
    </row>
    <row r="429" spans="1:36" ht="11.25" customHeight="1" x14ac:dyDescent="0.2">
      <c r="A429" s="52" t="s">
        <v>21</v>
      </c>
      <c r="B429" s="52" t="s">
        <v>39</v>
      </c>
      <c r="C429" s="52" t="s">
        <v>23</v>
      </c>
      <c r="D429" s="52" t="s">
        <v>40</v>
      </c>
      <c r="E429" s="52" t="s">
        <v>25</v>
      </c>
      <c r="F429" s="52" t="s">
        <v>25</v>
      </c>
      <c r="G429" s="52" t="s">
        <v>25</v>
      </c>
      <c r="H429" s="52" t="s">
        <v>25</v>
      </c>
      <c r="I429" s="71">
        <v>44531</v>
      </c>
      <c r="J429" s="72">
        <f>EFEITO!$J$429*EFEITO!$Y$429</f>
        <v>0</v>
      </c>
      <c r="K429" s="72">
        <f ca="1">EFEITO!$L$429*EFEITO!$Z$429</f>
        <v>39712.609954410931</v>
      </c>
      <c r="L429" s="72">
        <f>EFEITO!$N$429*EFEITO!$AA$429</f>
        <v>10682.757498447103</v>
      </c>
      <c r="M429" s="72">
        <f>$J$429-EFEITO!$K$429*EFEITO!$Y$429</f>
        <v>0</v>
      </c>
      <c r="N429" s="72">
        <f ca="1">$K$429-EFEITO!$M$429*EFEITO!$Z$429</f>
        <v>0</v>
      </c>
      <c r="O429" s="72">
        <f>$L$429-EFEITO!$O$429*EFEITO!$AA$429</f>
        <v>0</v>
      </c>
      <c r="P429" s="56"/>
      <c r="Q429" s="56"/>
      <c r="R429" s="56"/>
      <c r="S429" s="56"/>
      <c r="T429" s="56"/>
      <c r="U429" s="56"/>
      <c r="V429" s="56"/>
      <c r="W429" s="56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  <c r="AJ429" s="4"/>
    </row>
    <row r="430" spans="1:36" ht="11.25" customHeight="1" x14ac:dyDescent="0.2">
      <c r="A430" s="52" t="s">
        <v>21</v>
      </c>
      <c r="B430" s="52" t="s">
        <v>39</v>
      </c>
      <c r="C430" s="52" t="s">
        <v>23</v>
      </c>
      <c r="D430" s="52" t="s">
        <v>40</v>
      </c>
      <c r="E430" s="52" t="s">
        <v>25</v>
      </c>
      <c r="F430" s="52" t="s">
        <v>25</v>
      </c>
      <c r="G430" s="52" t="s">
        <v>25</v>
      </c>
      <c r="H430" s="52" t="s">
        <v>25</v>
      </c>
      <c r="I430" s="71">
        <v>44562</v>
      </c>
      <c r="J430" s="72">
        <f>EFEITO!$J$430*EFEITO!$Y$430</f>
        <v>0</v>
      </c>
      <c r="K430" s="72">
        <f ca="1">EFEITO!$L$430*EFEITO!$Z$430</f>
        <v>37948.079056312054</v>
      </c>
      <c r="L430" s="72">
        <f>EFEITO!$N$430*EFEITO!$AA$430</f>
        <v>10208.095780052197</v>
      </c>
      <c r="M430" s="72">
        <f>$J$430-EFEITO!$K$430*EFEITO!$Y$430</f>
        <v>0</v>
      </c>
      <c r="N430" s="72">
        <f ca="1">$K$430-EFEITO!$M$430*EFEITO!$Z$430</f>
        <v>0</v>
      </c>
      <c r="O430" s="72">
        <f>$L$430-EFEITO!$O$430*EFEITO!$AA$430</f>
        <v>0</v>
      </c>
      <c r="P430" s="56"/>
      <c r="Q430" s="56"/>
      <c r="R430" s="56"/>
      <c r="S430" s="56"/>
      <c r="T430" s="56"/>
      <c r="U430" s="56"/>
      <c r="V430" s="56"/>
      <c r="W430" s="56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4"/>
      <c r="AJ430" s="4"/>
    </row>
    <row r="431" spans="1:36" ht="11.25" customHeight="1" x14ac:dyDescent="0.2">
      <c r="A431" s="52" t="s">
        <v>21</v>
      </c>
      <c r="B431" s="52" t="s">
        <v>39</v>
      </c>
      <c r="C431" s="52" t="s">
        <v>23</v>
      </c>
      <c r="D431" s="52" t="s">
        <v>40</v>
      </c>
      <c r="E431" s="52" t="s">
        <v>25</v>
      </c>
      <c r="F431" s="52" t="s">
        <v>25</v>
      </c>
      <c r="G431" s="52" t="s">
        <v>25</v>
      </c>
      <c r="H431" s="52" t="s">
        <v>25</v>
      </c>
      <c r="I431" s="71">
        <v>44593</v>
      </c>
      <c r="J431" s="72">
        <f>EFEITO!$J$431*EFEITO!$Y$431</f>
        <v>0</v>
      </c>
      <c r="K431" s="72">
        <f ca="1">EFEITO!$L$431*EFEITO!$Z$431</f>
        <v>47823.634950836844</v>
      </c>
      <c r="L431" s="72">
        <f>EFEITO!$N$431*EFEITO!$AA$431</f>
        <v>12864.636584211818</v>
      </c>
      <c r="M431" s="72">
        <f>$J$431-EFEITO!$K$431*EFEITO!$Y$431</f>
        <v>0</v>
      </c>
      <c r="N431" s="72">
        <f ca="1">$K$431-EFEITO!$M$431*EFEITO!$Z$431</f>
        <v>0</v>
      </c>
      <c r="O431" s="72">
        <f>$L$431-EFEITO!$O$431*EFEITO!$AA$431</f>
        <v>0</v>
      </c>
      <c r="P431" s="56"/>
      <c r="Q431" s="56"/>
      <c r="R431" s="56"/>
      <c r="S431" s="56"/>
      <c r="T431" s="56"/>
      <c r="U431" s="56"/>
      <c r="V431" s="56"/>
      <c r="W431" s="56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4"/>
      <c r="AJ431" s="4"/>
    </row>
    <row r="432" spans="1:36" ht="11.25" customHeight="1" x14ac:dyDescent="0.2">
      <c r="A432" s="52" t="s">
        <v>21</v>
      </c>
      <c r="B432" s="52" t="s">
        <v>39</v>
      </c>
      <c r="C432" s="52" t="s">
        <v>23</v>
      </c>
      <c r="D432" s="52" t="s">
        <v>40</v>
      </c>
      <c r="E432" s="52" t="s">
        <v>25</v>
      </c>
      <c r="F432" s="52" t="s">
        <v>25</v>
      </c>
      <c r="G432" s="52" t="s">
        <v>25</v>
      </c>
      <c r="H432" s="52" t="s">
        <v>25</v>
      </c>
      <c r="I432" s="71">
        <v>44621</v>
      </c>
      <c r="J432" s="72">
        <f>EFEITO!$J$432*EFEITO!$Y$432</f>
        <v>0</v>
      </c>
      <c r="K432" s="72">
        <f ca="1">EFEITO!$L$432*EFEITO!$Z$432</f>
        <v>48679.723293156239</v>
      </c>
      <c r="L432" s="72">
        <f>EFEITO!$N$432*EFEITO!$AA$432</f>
        <v>13094.925758575939</v>
      </c>
      <c r="M432" s="72">
        <f>$J$432-EFEITO!$K$432*EFEITO!$Y$432</f>
        <v>0</v>
      </c>
      <c r="N432" s="72">
        <f ca="1">$K$432-EFEITO!$M$432*EFEITO!$Z$432</f>
        <v>0</v>
      </c>
      <c r="O432" s="72">
        <f>$L$432-EFEITO!$O$432*EFEITO!$AA$432</f>
        <v>0</v>
      </c>
      <c r="P432" s="56"/>
      <c r="Q432" s="56"/>
      <c r="R432" s="56"/>
      <c r="S432" s="56"/>
      <c r="T432" s="56"/>
      <c r="U432" s="56"/>
      <c r="V432" s="56"/>
      <c r="W432" s="56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  <c r="AJ432" s="4"/>
    </row>
    <row r="433" spans="1:36" ht="11.25" customHeight="1" x14ac:dyDescent="0.2">
      <c r="A433" s="52" t="s">
        <v>21</v>
      </c>
      <c r="B433" s="52" t="s">
        <v>39</v>
      </c>
      <c r="C433" s="52" t="s">
        <v>23</v>
      </c>
      <c r="D433" s="52" t="s">
        <v>45</v>
      </c>
      <c r="E433" s="52" t="s">
        <v>25</v>
      </c>
      <c r="F433" s="52" t="s">
        <v>25</v>
      </c>
      <c r="G433" s="52" t="s">
        <v>25</v>
      </c>
      <c r="H433" s="52" t="s">
        <v>25</v>
      </c>
      <c r="I433" s="71">
        <v>44287</v>
      </c>
      <c r="J433" s="72">
        <f>EFEITO!$J$433*EFEITO!$Y$433</f>
        <v>0</v>
      </c>
      <c r="K433" s="72">
        <f ca="1">EFEITO!$L$433*EFEITO!$Z$433</f>
        <v>42929.485514791188</v>
      </c>
      <c r="L433" s="72">
        <f>EFEITO!$N$433*EFEITO!$AA$433</f>
        <v>11548.102323520894</v>
      </c>
      <c r="M433" s="72">
        <f>$J$433-EFEITO!$K$433*EFEITO!$Y$433</f>
        <v>0</v>
      </c>
      <c r="N433" s="72">
        <f ca="1">$K$433-EFEITO!$M$433*EFEITO!$Z$433</f>
        <v>0</v>
      </c>
      <c r="O433" s="72">
        <f>$L$433-EFEITO!$O$433*EFEITO!$AA$433</f>
        <v>0</v>
      </c>
      <c r="P433" s="56"/>
      <c r="Q433" s="56"/>
      <c r="R433" s="56"/>
      <c r="S433" s="56"/>
      <c r="T433" s="56"/>
      <c r="U433" s="56"/>
      <c r="V433" s="56"/>
      <c r="W433" s="56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  <c r="AJ433" s="4"/>
    </row>
    <row r="434" spans="1:36" ht="11.25" customHeight="1" x14ac:dyDescent="0.2">
      <c r="A434" s="52" t="s">
        <v>21</v>
      </c>
      <c r="B434" s="52" t="s">
        <v>39</v>
      </c>
      <c r="C434" s="52" t="s">
        <v>23</v>
      </c>
      <c r="D434" s="52" t="s">
        <v>45</v>
      </c>
      <c r="E434" s="52" t="s">
        <v>25</v>
      </c>
      <c r="F434" s="52" t="s">
        <v>25</v>
      </c>
      <c r="G434" s="52" t="s">
        <v>25</v>
      </c>
      <c r="H434" s="52" t="s">
        <v>25</v>
      </c>
      <c r="I434" s="71">
        <v>44317</v>
      </c>
      <c r="J434" s="72">
        <f>EFEITO!$J$434*EFEITO!$Y$434</f>
        <v>0</v>
      </c>
      <c r="K434" s="72">
        <f ca="1">EFEITO!$L$434*EFEITO!$Z$434</f>
        <v>36698.3645905706</v>
      </c>
      <c r="L434" s="72">
        <f>EFEITO!$N$434*EFEITO!$AA$434</f>
        <v>9871.9205300461344</v>
      </c>
      <c r="M434" s="72">
        <f>$J$434-EFEITO!$K$434*EFEITO!$Y$434</f>
        <v>0</v>
      </c>
      <c r="N434" s="72">
        <f ca="1">$K$434-EFEITO!$M$434*EFEITO!$Z$434</f>
        <v>0</v>
      </c>
      <c r="O434" s="72">
        <f>$L$434-EFEITO!$O$434*EFEITO!$AA$434</f>
        <v>0</v>
      </c>
      <c r="P434" s="56"/>
      <c r="Q434" s="56"/>
      <c r="R434" s="56"/>
      <c r="S434" s="56"/>
      <c r="T434" s="56"/>
      <c r="U434" s="56"/>
      <c r="V434" s="56"/>
      <c r="W434" s="56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4"/>
      <c r="AJ434" s="4"/>
    </row>
    <row r="435" spans="1:36" ht="11.25" customHeight="1" x14ac:dyDescent="0.2">
      <c r="A435" s="52" t="s">
        <v>21</v>
      </c>
      <c r="B435" s="52" t="s">
        <v>39</v>
      </c>
      <c r="C435" s="52" t="s">
        <v>23</v>
      </c>
      <c r="D435" s="52" t="s">
        <v>45</v>
      </c>
      <c r="E435" s="52" t="s">
        <v>25</v>
      </c>
      <c r="F435" s="52" t="s">
        <v>25</v>
      </c>
      <c r="G435" s="52" t="s">
        <v>25</v>
      </c>
      <c r="H435" s="52" t="s">
        <v>25</v>
      </c>
      <c r="I435" s="71">
        <v>44348</v>
      </c>
      <c r="J435" s="72">
        <f>EFEITO!$J$435*EFEITO!$Y$435</f>
        <v>0</v>
      </c>
      <c r="K435" s="72">
        <f ca="1">EFEITO!$L$435*EFEITO!$Z$435</f>
        <v>37366.365573422314</v>
      </c>
      <c r="L435" s="72">
        <f>EFEITO!$N$435*EFEITO!$AA$435</f>
        <v>10051.613894867063</v>
      </c>
      <c r="M435" s="72">
        <f>$J$435-EFEITO!$K$435*EFEITO!$Y$435</f>
        <v>0</v>
      </c>
      <c r="N435" s="72">
        <f ca="1">$K$435-EFEITO!$M$435*EFEITO!$Z$435</f>
        <v>0</v>
      </c>
      <c r="O435" s="72">
        <f>$L$435-EFEITO!$O$435*EFEITO!$AA$435</f>
        <v>0</v>
      </c>
      <c r="P435" s="56"/>
      <c r="Q435" s="56"/>
      <c r="R435" s="56"/>
      <c r="S435" s="56"/>
      <c r="T435" s="56"/>
      <c r="U435" s="56"/>
      <c r="V435" s="56"/>
      <c r="W435" s="56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4"/>
      <c r="AJ435" s="4"/>
    </row>
    <row r="436" spans="1:36" ht="11.25" customHeight="1" x14ac:dyDescent="0.2">
      <c r="A436" s="52" t="s">
        <v>21</v>
      </c>
      <c r="B436" s="52" t="s">
        <v>39</v>
      </c>
      <c r="C436" s="52" t="s">
        <v>23</v>
      </c>
      <c r="D436" s="52" t="s">
        <v>45</v>
      </c>
      <c r="E436" s="52" t="s">
        <v>25</v>
      </c>
      <c r="F436" s="52" t="s">
        <v>25</v>
      </c>
      <c r="G436" s="52" t="s">
        <v>25</v>
      </c>
      <c r="H436" s="52" t="s">
        <v>25</v>
      </c>
      <c r="I436" s="71">
        <v>44378</v>
      </c>
      <c r="J436" s="72">
        <f>EFEITO!$J$436*EFEITO!$Y$436</f>
        <v>0</v>
      </c>
      <c r="K436" s="72">
        <f ca="1">EFEITO!$L$436*EFEITO!$Z$436</f>
        <v>34328.851670266406</v>
      </c>
      <c r="L436" s="72">
        <f>EFEITO!$N$436*EFEITO!$AA$436</f>
        <v>9234.5176510586916</v>
      </c>
      <c r="M436" s="72">
        <f>$J$436-EFEITO!$K$436*EFEITO!$Y$436</f>
        <v>0</v>
      </c>
      <c r="N436" s="72">
        <f ca="1">$K$436-EFEITO!$M$436*EFEITO!$Z$436</f>
        <v>0</v>
      </c>
      <c r="O436" s="72">
        <f>$L$436-EFEITO!$O$436*EFEITO!$AA$436</f>
        <v>0</v>
      </c>
      <c r="P436" s="56"/>
      <c r="Q436" s="56"/>
      <c r="R436" s="56"/>
      <c r="S436" s="56"/>
      <c r="T436" s="56"/>
      <c r="U436" s="56"/>
      <c r="V436" s="56"/>
      <c r="W436" s="56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  <c r="AI436" s="4"/>
      <c r="AJ436" s="4"/>
    </row>
    <row r="437" spans="1:36" ht="11.25" customHeight="1" x14ac:dyDescent="0.2">
      <c r="A437" s="52" t="s">
        <v>21</v>
      </c>
      <c r="B437" s="52" t="s">
        <v>39</v>
      </c>
      <c r="C437" s="52" t="s">
        <v>23</v>
      </c>
      <c r="D437" s="52" t="s">
        <v>45</v>
      </c>
      <c r="E437" s="52" t="s">
        <v>25</v>
      </c>
      <c r="F437" s="52" t="s">
        <v>25</v>
      </c>
      <c r="G437" s="52" t="s">
        <v>25</v>
      </c>
      <c r="H437" s="52" t="s">
        <v>25</v>
      </c>
      <c r="I437" s="71">
        <v>44409</v>
      </c>
      <c r="J437" s="72">
        <f>EFEITO!$J$437*EFEITO!$Y$437</f>
        <v>0</v>
      </c>
      <c r="K437" s="72">
        <f ca="1">EFEITO!$L$437*EFEITO!$Z$437</f>
        <v>36373.574562623835</v>
      </c>
      <c r="L437" s="72">
        <f>EFEITO!$N$437*EFEITO!$AA$437</f>
        <v>9784.551477484436</v>
      </c>
      <c r="M437" s="72">
        <f>$J$437-EFEITO!$K$437*EFEITO!$Y$437</f>
        <v>0</v>
      </c>
      <c r="N437" s="72">
        <f ca="1">$K$437-EFEITO!$M$437*EFEITO!$Z$437</f>
        <v>0</v>
      </c>
      <c r="O437" s="72">
        <f>$L$437-EFEITO!$O$437*EFEITO!$AA$437</f>
        <v>0</v>
      </c>
      <c r="P437" s="56"/>
      <c r="Q437" s="56"/>
      <c r="R437" s="56"/>
      <c r="S437" s="56"/>
      <c r="T437" s="56"/>
      <c r="U437" s="56"/>
      <c r="V437" s="56"/>
      <c r="W437" s="56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4"/>
      <c r="AJ437" s="4"/>
    </row>
    <row r="438" spans="1:36" ht="11.25" customHeight="1" x14ac:dyDescent="0.2">
      <c r="A438" s="52" t="s">
        <v>21</v>
      </c>
      <c r="B438" s="52" t="s">
        <v>39</v>
      </c>
      <c r="C438" s="52" t="s">
        <v>23</v>
      </c>
      <c r="D438" s="52" t="s">
        <v>45</v>
      </c>
      <c r="E438" s="52" t="s">
        <v>25</v>
      </c>
      <c r="F438" s="52" t="s">
        <v>25</v>
      </c>
      <c r="G438" s="52" t="s">
        <v>25</v>
      </c>
      <c r="H438" s="52" t="s">
        <v>25</v>
      </c>
      <c r="I438" s="71">
        <v>44440</v>
      </c>
      <c r="J438" s="72">
        <f>EFEITO!$J$438*EFEITO!$Y$438</f>
        <v>0</v>
      </c>
      <c r="K438" s="72">
        <f ca="1">EFEITO!$L$438*EFEITO!$Z$438</f>
        <v>40963.293942623866</v>
      </c>
      <c r="L438" s="72">
        <f>EFEITO!$N$438*EFEITO!$AA$438</f>
        <v>11019.193551595139</v>
      </c>
      <c r="M438" s="72">
        <f>$J$438-EFEITO!$K$438*EFEITO!$Y$438</f>
        <v>0</v>
      </c>
      <c r="N438" s="72">
        <f ca="1">$K$438-EFEITO!$M$438*EFEITO!$Z$438</f>
        <v>0</v>
      </c>
      <c r="O438" s="72">
        <f>$L$438-EFEITO!$O$438*EFEITO!$AA$438</f>
        <v>0</v>
      </c>
      <c r="P438" s="56"/>
      <c r="Q438" s="56"/>
      <c r="R438" s="56"/>
      <c r="S438" s="56"/>
      <c r="T438" s="56"/>
      <c r="U438" s="56"/>
      <c r="V438" s="56"/>
      <c r="W438" s="56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4"/>
      <c r="AJ438" s="4"/>
    </row>
    <row r="439" spans="1:36" ht="11.25" customHeight="1" x14ac:dyDescent="0.2">
      <c r="A439" s="52" t="s">
        <v>21</v>
      </c>
      <c r="B439" s="52" t="s">
        <v>39</v>
      </c>
      <c r="C439" s="52" t="s">
        <v>23</v>
      </c>
      <c r="D439" s="52" t="s">
        <v>45</v>
      </c>
      <c r="E439" s="52" t="s">
        <v>25</v>
      </c>
      <c r="F439" s="52" t="s">
        <v>25</v>
      </c>
      <c r="G439" s="52" t="s">
        <v>25</v>
      </c>
      <c r="H439" s="52" t="s">
        <v>25</v>
      </c>
      <c r="I439" s="71">
        <v>44470</v>
      </c>
      <c r="J439" s="72">
        <f>EFEITO!$J$439*EFEITO!$Y$439</f>
        <v>0</v>
      </c>
      <c r="K439" s="72">
        <f ca="1">EFEITO!$L$439*EFEITO!$Z$439</f>
        <v>40945.842538137171</v>
      </c>
      <c r="L439" s="72">
        <f>EFEITO!$N$439*EFEITO!$AA$439</f>
        <v>11014.499095039586</v>
      </c>
      <c r="M439" s="72">
        <f>$J$439-EFEITO!$K$439*EFEITO!$Y$439</f>
        <v>0</v>
      </c>
      <c r="N439" s="72">
        <f ca="1">$K$439-EFEITO!$M$439*EFEITO!$Z$439</f>
        <v>0</v>
      </c>
      <c r="O439" s="72">
        <f>$L$439-EFEITO!$O$439*EFEITO!$AA$439</f>
        <v>0</v>
      </c>
      <c r="P439" s="56"/>
      <c r="Q439" s="56"/>
      <c r="R439" s="56"/>
      <c r="S439" s="56"/>
      <c r="T439" s="56"/>
      <c r="U439" s="56"/>
      <c r="V439" s="56"/>
      <c r="W439" s="56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4"/>
      <c r="AJ439" s="4"/>
    </row>
    <row r="440" spans="1:36" ht="11.25" customHeight="1" x14ac:dyDescent="0.2">
      <c r="A440" s="52" t="s">
        <v>21</v>
      </c>
      <c r="B440" s="52" t="s">
        <v>39</v>
      </c>
      <c r="C440" s="52" t="s">
        <v>23</v>
      </c>
      <c r="D440" s="52" t="s">
        <v>45</v>
      </c>
      <c r="E440" s="52" t="s">
        <v>25</v>
      </c>
      <c r="F440" s="52" t="s">
        <v>25</v>
      </c>
      <c r="G440" s="52" t="s">
        <v>25</v>
      </c>
      <c r="H440" s="52" t="s">
        <v>25</v>
      </c>
      <c r="I440" s="71">
        <v>44501</v>
      </c>
      <c r="J440" s="72">
        <f>EFEITO!$J$440*EFEITO!$Y$440</f>
        <v>0</v>
      </c>
      <c r="K440" s="72">
        <f ca="1">EFEITO!$L$440*EFEITO!$Z$440</f>
        <v>39951.112482395722</v>
      </c>
      <c r="L440" s="72">
        <f>EFEITO!$N$440*EFEITO!$AA$440</f>
        <v>10746.915071373009</v>
      </c>
      <c r="M440" s="72">
        <f>$J$440-EFEITO!$K$440*EFEITO!$Y$440</f>
        <v>0</v>
      </c>
      <c r="N440" s="72">
        <f ca="1">$K$440-EFEITO!$M$440*EFEITO!$Z$440</f>
        <v>0</v>
      </c>
      <c r="O440" s="72">
        <f>$L$440-EFEITO!$O$440*EFEITO!$AA$440</f>
        <v>0</v>
      </c>
      <c r="P440" s="56"/>
      <c r="Q440" s="56"/>
      <c r="R440" s="56"/>
      <c r="S440" s="56"/>
      <c r="T440" s="56"/>
      <c r="U440" s="56"/>
      <c r="V440" s="56"/>
      <c r="W440" s="56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  <c r="AI440" s="4"/>
      <c r="AJ440" s="4"/>
    </row>
    <row r="441" spans="1:36" ht="11.25" customHeight="1" x14ac:dyDescent="0.2">
      <c r="A441" s="52" t="s">
        <v>21</v>
      </c>
      <c r="B441" s="52" t="s">
        <v>39</v>
      </c>
      <c r="C441" s="52" t="s">
        <v>23</v>
      </c>
      <c r="D441" s="52" t="s">
        <v>45</v>
      </c>
      <c r="E441" s="52" t="s">
        <v>25</v>
      </c>
      <c r="F441" s="52" t="s">
        <v>25</v>
      </c>
      <c r="G441" s="52" t="s">
        <v>25</v>
      </c>
      <c r="H441" s="52" t="s">
        <v>25</v>
      </c>
      <c r="I441" s="71">
        <v>44531</v>
      </c>
      <c r="J441" s="72">
        <f>EFEITO!$J$441*EFEITO!$Y$441</f>
        <v>0</v>
      </c>
      <c r="K441" s="72">
        <f ca="1">EFEITO!$L$441*EFEITO!$Z$441</f>
        <v>47453.277366730377</v>
      </c>
      <c r="L441" s="72">
        <f>EFEITO!$N$441*EFEITO!$AA$441</f>
        <v>12765.009783977282</v>
      </c>
      <c r="M441" s="72">
        <f>$J$441-EFEITO!$K$441*EFEITO!$Y$441</f>
        <v>0</v>
      </c>
      <c r="N441" s="72">
        <f ca="1">$K$441-EFEITO!$M$441*EFEITO!$Z$441</f>
        <v>0</v>
      </c>
      <c r="O441" s="72">
        <f>$L$441-EFEITO!$O$441*EFEITO!$AA$441</f>
        <v>0</v>
      </c>
      <c r="P441" s="56"/>
      <c r="Q441" s="56"/>
      <c r="R441" s="56"/>
      <c r="S441" s="56"/>
      <c r="T441" s="56"/>
      <c r="U441" s="56"/>
      <c r="V441" s="56"/>
      <c r="W441" s="56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4"/>
      <c r="AJ441" s="4"/>
    </row>
    <row r="442" spans="1:36" ht="11.25" customHeight="1" x14ac:dyDescent="0.2">
      <c r="A442" s="52" t="s">
        <v>21</v>
      </c>
      <c r="B442" s="52" t="s">
        <v>39</v>
      </c>
      <c r="C442" s="52" t="s">
        <v>23</v>
      </c>
      <c r="D442" s="52" t="s">
        <v>45</v>
      </c>
      <c r="E442" s="52" t="s">
        <v>25</v>
      </c>
      <c r="F442" s="52" t="s">
        <v>25</v>
      </c>
      <c r="G442" s="52" t="s">
        <v>25</v>
      </c>
      <c r="H442" s="52" t="s">
        <v>25</v>
      </c>
      <c r="I442" s="71">
        <v>44562</v>
      </c>
      <c r="J442" s="72">
        <f>EFEITO!$J$442*EFEITO!$Y$442</f>
        <v>0</v>
      </c>
      <c r="K442" s="72">
        <f ca="1">EFEITO!$L$442*EFEITO!$Z$442</f>
        <v>44662.9916938026</v>
      </c>
      <c r="L442" s="72">
        <f>EFEITO!$N$442*EFEITO!$AA$442</f>
        <v>12014.418341372591</v>
      </c>
      <c r="M442" s="72">
        <f>$J$442-EFEITO!$K$442*EFEITO!$Y$442</f>
        <v>0</v>
      </c>
      <c r="N442" s="72">
        <f ca="1">$K$442-EFEITO!$M$442*EFEITO!$Z$442</f>
        <v>0</v>
      </c>
      <c r="O442" s="72">
        <f>$L$442-EFEITO!$O$442*EFEITO!$AA$442</f>
        <v>0</v>
      </c>
      <c r="P442" s="56"/>
      <c r="Q442" s="56"/>
      <c r="R442" s="56"/>
      <c r="S442" s="56"/>
      <c r="T442" s="56"/>
      <c r="U442" s="56"/>
      <c r="V442" s="56"/>
      <c r="W442" s="56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4"/>
      <c r="AJ442" s="4"/>
    </row>
    <row r="443" spans="1:36" ht="11.25" customHeight="1" x14ac:dyDescent="0.2">
      <c r="A443" s="52" t="s">
        <v>21</v>
      </c>
      <c r="B443" s="52" t="s">
        <v>39</v>
      </c>
      <c r="C443" s="52" t="s">
        <v>23</v>
      </c>
      <c r="D443" s="52" t="s">
        <v>45</v>
      </c>
      <c r="E443" s="52" t="s">
        <v>25</v>
      </c>
      <c r="F443" s="52" t="s">
        <v>25</v>
      </c>
      <c r="G443" s="52" t="s">
        <v>25</v>
      </c>
      <c r="H443" s="52" t="s">
        <v>25</v>
      </c>
      <c r="I443" s="71">
        <v>44593</v>
      </c>
      <c r="J443" s="72">
        <f>EFEITO!$J$443*EFEITO!$Y$443</f>
        <v>0</v>
      </c>
      <c r="K443" s="72">
        <f ca="1">EFEITO!$L$443*EFEITO!$Z$443</f>
        <v>51744.38382551368</v>
      </c>
      <c r="L443" s="72">
        <f>EFEITO!$N$443*EFEITO!$AA$443</f>
        <v>13919.324490359619</v>
      </c>
      <c r="M443" s="72">
        <f>$J$443-EFEITO!$K$443*EFEITO!$Y$443</f>
        <v>0</v>
      </c>
      <c r="N443" s="72">
        <f ca="1">$K$443-EFEITO!$M$443*EFEITO!$Z$443</f>
        <v>0</v>
      </c>
      <c r="O443" s="72">
        <f>$L$443-EFEITO!$O$443*EFEITO!$AA$443</f>
        <v>0</v>
      </c>
      <c r="P443" s="56"/>
      <c r="Q443" s="56"/>
      <c r="R443" s="56"/>
      <c r="S443" s="56"/>
      <c r="T443" s="56"/>
      <c r="U443" s="56"/>
      <c r="V443" s="56"/>
      <c r="W443" s="56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4"/>
      <c r="AJ443" s="4"/>
    </row>
    <row r="444" spans="1:36" ht="11.25" customHeight="1" x14ac:dyDescent="0.2">
      <c r="A444" s="52" t="s">
        <v>21</v>
      </c>
      <c r="B444" s="52" t="s">
        <v>39</v>
      </c>
      <c r="C444" s="52" t="s">
        <v>23</v>
      </c>
      <c r="D444" s="52" t="s">
        <v>45</v>
      </c>
      <c r="E444" s="52" t="s">
        <v>25</v>
      </c>
      <c r="F444" s="52" t="s">
        <v>25</v>
      </c>
      <c r="G444" s="52" t="s">
        <v>25</v>
      </c>
      <c r="H444" s="52" t="s">
        <v>25</v>
      </c>
      <c r="I444" s="71">
        <v>44621</v>
      </c>
      <c r="J444" s="72">
        <f>EFEITO!$J$444*EFEITO!$Y$444</f>
        <v>0</v>
      </c>
      <c r="K444" s="72">
        <f ca="1">EFEITO!$L$444*EFEITO!$Z$444</f>
        <v>58568.852502281785</v>
      </c>
      <c r="L444" s="72">
        <f>EFEITO!$N$444*EFEITO!$AA$444</f>
        <v>15755.11780672321</v>
      </c>
      <c r="M444" s="72">
        <f>$J$444-EFEITO!$K$444*EFEITO!$Y$444</f>
        <v>0</v>
      </c>
      <c r="N444" s="72">
        <f ca="1">$K$444-EFEITO!$M$444*EFEITO!$Z$444</f>
        <v>0</v>
      </c>
      <c r="O444" s="72">
        <f>$L$444-EFEITO!$O$444*EFEITO!$AA$444</f>
        <v>0</v>
      </c>
      <c r="P444" s="56"/>
      <c r="Q444" s="56"/>
      <c r="R444" s="56"/>
      <c r="S444" s="56"/>
      <c r="T444" s="56"/>
      <c r="U444" s="56"/>
      <c r="V444" s="56"/>
      <c r="W444" s="56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4"/>
      <c r="AJ444" s="4"/>
    </row>
    <row r="445" spans="1:36" ht="11.25" customHeight="1" x14ac:dyDescent="0.2">
      <c r="A445" s="52" t="s">
        <v>21</v>
      </c>
      <c r="B445" s="52" t="s">
        <v>39</v>
      </c>
      <c r="C445" s="52" t="s">
        <v>23</v>
      </c>
      <c r="D445" s="52" t="s">
        <v>49</v>
      </c>
      <c r="E445" s="52" t="s">
        <v>50</v>
      </c>
      <c r="F445" s="52" t="s">
        <v>25</v>
      </c>
      <c r="G445" s="52" t="s">
        <v>25</v>
      </c>
      <c r="H445" s="52" t="s">
        <v>25</v>
      </c>
      <c r="I445" s="71">
        <v>44287</v>
      </c>
      <c r="J445" s="72">
        <f>EFEITO!$J$445*EFEITO!$Y$444</f>
        <v>0</v>
      </c>
      <c r="K445" s="72">
        <f ca="1">EFEITO!$L$445*EFEITO!$Z$444</f>
        <v>17544.478643954499</v>
      </c>
      <c r="L445" s="72">
        <f>EFEITO!$N$445*EFEITO!$AA$444</f>
        <v>4719.4936571836324</v>
      </c>
      <c r="M445" s="72">
        <f>$J$445-EFEITO!$K$445*EFEITO!$Y$445</f>
        <v>0</v>
      </c>
      <c r="N445" s="72">
        <f ca="1">$K$445-EFEITO!$M$445*EFEITO!$Z$445</f>
        <v>526.33435931863642</v>
      </c>
      <c r="O445" s="72">
        <f>$L$445-EFEITO!$O$445*EFEITO!$AA$445</f>
        <v>141.58480971550944</v>
      </c>
      <c r="P445" s="56"/>
      <c r="Q445" s="56"/>
      <c r="R445" s="56"/>
      <c r="S445" s="56"/>
      <c r="T445" s="56"/>
      <c r="U445" s="56"/>
      <c r="V445" s="56"/>
      <c r="W445" s="56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4"/>
      <c r="AJ445" s="4"/>
    </row>
    <row r="446" spans="1:36" ht="11.25" customHeight="1" x14ac:dyDescent="0.2">
      <c r="A446" s="52" t="s">
        <v>21</v>
      </c>
      <c r="B446" s="52" t="s">
        <v>39</v>
      </c>
      <c r="C446" s="52" t="s">
        <v>23</v>
      </c>
      <c r="D446" s="52" t="s">
        <v>49</v>
      </c>
      <c r="E446" s="52" t="s">
        <v>50</v>
      </c>
      <c r="F446" s="52" t="s">
        <v>25</v>
      </c>
      <c r="G446" s="52" t="s">
        <v>25</v>
      </c>
      <c r="H446" s="52" t="s">
        <v>25</v>
      </c>
      <c r="I446" s="71">
        <v>44317</v>
      </c>
      <c r="J446" s="72">
        <f>EFEITO!$J$446*EFEITO!$Y$444</f>
        <v>0</v>
      </c>
      <c r="K446" s="72">
        <f ca="1">EFEITO!$L$446*EFEITO!$Z$444</f>
        <v>17045.174571140808</v>
      </c>
      <c r="L446" s="72">
        <f>EFEITO!$N$446*EFEITO!$AA$444</f>
        <v>4585.180039066393</v>
      </c>
      <c r="M446" s="72">
        <f>$J$446-EFEITO!$K$446*EFEITO!$Y$446</f>
        <v>0</v>
      </c>
      <c r="N446" s="72">
        <f ca="1">$K$446-EFEITO!$M$446*EFEITO!$Z$446</f>
        <v>511.35523713422663</v>
      </c>
      <c r="O446" s="72">
        <f>$L$446-EFEITO!$O$446*EFEITO!$AA$446</f>
        <v>137.55540117199234</v>
      </c>
      <c r="P446" s="56"/>
      <c r="Q446" s="56"/>
      <c r="R446" s="56"/>
      <c r="S446" s="56"/>
      <c r="T446" s="56"/>
      <c r="U446" s="56"/>
      <c r="V446" s="56"/>
      <c r="W446" s="56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  <c r="AI446" s="4"/>
      <c r="AJ446" s="4"/>
    </row>
    <row r="447" spans="1:36" ht="11.25" customHeight="1" x14ac:dyDescent="0.2">
      <c r="A447" s="52" t="s">
        <v>21</v>
      </c>
      <c r="B447" s="52" t="s">
        <v>39</v>
      </c>
      <c r="C447" s="52" t="s">
        <v>23</v>
      </c>
      <c r="D447" s="52" t="s">
        <v>49</v>
      </c>
      <c r="E447" s="52" t="s">
        <v>50</v>
      </c>
      <c r="F447" s="52" t="s">
        <v>25</v>
      </c>
      <c r="G447" s="52" t="s">
        <v>25</v>
      </c>
      <c r="H447" s="52" t="s">
        <v>25</v>
      </c>
      <c r="I447" s="71">
        <v>44348</v>
      </c>
      <c r="J447" s="72">
        <f>EFEITO!$J$447*EFEITO!$Y$444</f>
        <v>0</v>
      </c>
      <c r="K447" s="72">
        <f ca="1">EFEITO!$L$447*EFEITO!$Z$444</f>
        <v>16613.737071330917</v>
      </c>
      <c r="L447" s="72">
        <f>EFEITO!$N$447*EFEITO!$AA$444</f>
        <v>4469.1226408874181</v>
      </c>
      <c r="M447" s="72">
        <f>$J$447-EFEITO!$K$447*EFEITO!$Y$447</f>
        <v>0</v>
      </c>
      <c r="N447" s="72">
        <f ca="1">$K$447-EFEITO!$M$447*EFEITO!$Z$447</f>
        <v>498.41211213992938</v>
      </c>
      <c r="O447" s="72">
        <f>$L$447-EFEITO!$O$447*EFEITO!$AA$447</f>
        <v>134.07367922662252</v>
      </c>
      <c r="P447" s="56"/>
      <c r="Q447" s="56"/>
      <c r="R447" s="56"/>
      <c r="S447" s="56"/>
      <c r="T447" s="56"/>
      <c r="U447" s="56"/>
      <c r="V447" s="56"/>
      <c r="W447" s="56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4"/>
      <c r="AJ447" s="4"/>
    </row>
    <row r="448" spans="1:36" ht="11.25" customHeight="1" x14ac:dyDescent="0.2">
      <c r="A448" s="52" t="s">
        <v>21</v>
      </c>
      <c r="B448" s="52" t="s">
        <v>39</v>
      </c>
      <c r="C448" s="52" t="s">
        <v>23</v>
      </c>
      <c r="D448" s="52" t="s">
        <v>49</v>
      </c>
      <c r="E448" s="52" t="s">
        <v>50</v>
      </c>
      <c r="F448" s="52" t="s">
        <v>25</v>
      </c>
      <c r="G448" s="52" t="s">
        <v>25</v>
      </c>
      <c r="H448" s="52" t="s">
        <v>25</v>
      </c>
      <c r="I448" s="71">
        <v>44378</v>
      </c>
      <c r="J448" s="72">
        <f>EFEITO!$J$448*EFEITO!$Y$444</f>
        <v>0</v>
      </c>
      <c r="K448" s="72">
        <f ca="1">EFEITO!$L$448*EFEITO!$Z$444</f>
        <v>16497.394374752967</v>
      </c>
      <c r="L448" s="72">
        <f>EFEITO!$N$448*EFEITO!$AA$444</f>
        <v>4437.8262638503911</v>
      </c>
      <c r="M448" s="72">
        <f>$J$448-EFEITO!$K$448*EFEITO!$Y$448</f>
        <v>0</v>
      </c>
      <c r="N448" s="72">
        <f ca="1">$K$448-EFEITO!$M$448*EFEITO!$Z$448</f>
        <v>494.92183124258736</v>
      </c>
      <c r="O448" s="72">
        <f>$L$448-EFEITO!$O$448*EFEITO!$AA$448</f>
        <v>133.13478791551188</v>
      </c>
      <c r="P448" s="56"/>
      <c r="Q448" s="56"/>
      <c r="R448" s="56"/>
      <c r="S448" s="56"/>
      <c r="T448" s="56"/>
      <c r="U448" s="56"/>
      <c r="V448" s="56"/>
      <c r="W448" s="56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  <c r="AI448" s="4"/>
      <c r="AJ448" s="4"/>
    </row>
    <row r="449" spans="1:36" ht="11.25" customHeight="1" x14ac:dyDescent="0.2">
      <c r="A449" s="52" t="s">
        <v>21</v>
      </c>
      <c r="B449" s="52" t="s">
        <v>39</v>
      </c>
      <c r="C449" s="52" t="s">
        <v>23</v>
      </c>
      <c r="D449" s="52" t="s">
        <v>49</v>
      </c>
      <c r="E449" s="52" t="s">
        <v>50</v>
      </c>
      <c r="F449" s="52" t="s">
        <v>25</v>
      </c>
      <c r="G449" s="52" t="s">
        <v>25</v>
      </c>
      <c r="H449" s="52" t="s">
        <v>25</v>
      </c>
      <c r="I449" s="71">
        <v>44409</v>
      </c>
      <c r="J449" s="72">
        <f>EFEITO!$J$449*EFEITO!$Y$444</f>
        <v>0</v>
      </c>
      <c r="K449" s="72">
        <f ca="1">EFEITO!$L$449*EFEITO!$Z$444</f>
        <v>15945.736088479201</v>
      </c>
      <c r="L449" s="72">
        <f>EFEITO!$N$449*EFEITO!$AA$444</f>
        <v>4289.4292760664903</v>
      </c>
      <c r="M449" s="72">
        <f>$J$449-EFEITO!$K$449*EFEITO!$Y$449</f>
        <v>0</v>
      </c>
      <c r="N449" s="72">
        <f ca="1">$K$449-EFEITO!$M$449*EFEITO!$Z$449</f>
        <v>478.37208265437766</v>
      </c>
      <c r="O449" s="72">
        <f>$L$449-EFEITO!$O$449*EFEITO!$AA$449</f>
        <v>128.68287828199573</v>
      </c>
      <c r="P449" s="56"/>
      <c r="Q449" s="56"/>
      <c r="R449" s="56"/>
      <c r="S449" s="56"/>
      <c r="T449" s="56"/>
      <c r="U449" s="56"/>
      <c r="V449" s="56"/>
      <c r="W449" s="56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4"/>
      <c r="AJ449" s="4"/>
    </row>
    <row r="450" spans="1:36" ht="11.25" customHeight="1" x14ac:dyDescent="0.2">
      <c r="A450" s="52" t="s">
        <v>21</v>
      </c>
      <c r="B450" s="52" t="s">
        <v>39</v>
      </c>
      <c r="C450" s="52" t="s">
        <v>23</v>
      </c>
      <c r="D450" s="52" t="s">
        <v>49</v>
      </c>
      <c r="E450" s="52" t="s">
        <v>50</v>
      </c>
      <c r="F450" s="52" t="s">
        <v>25</v>
      </c>
      <c r="G450" s="52" t="s">
        <v>25</v>
      </c>
      <c r="H450" s="52" t="s">
        <v>25</v>
      </c>
      <c r="I450" s="71">
        <v>44440</v>
      </c>
      <c r="J450" s="72">
        <f>EFEITO!$J$450*EFEITO!$Y$444</f>
        <v>0</v>
      </c>
      <c r="K450" s="72">
        <f ca="1">EFEITO!$L$450*EFEITO!$Z$444</f>
        <v>17569.686228213053</v>
      </c>
      <c r="L450" s="72">
        <f>EFEITO!$N$450*EFEITO!$AA$444</f>
        <v>4726.2745388749881</v>
      </c>
      <c r="M450" s="72">
        <f>$J$450-EFEITO!$K$450*EFEITO!$Y$450</f>
        <v>0</v>
      </c>
      <c r="N450" s="72">
        <f ca="1">$K$450-EFEITO!$M$450*EFEITO!$Z$450</f>
        <v>527.0905868463924</v>
      </c>
      <c r="O450" s="72">
        <f>$L$450-EFEITO!$O$450*EFEITO!$AA$450</f>
        <v>141.78823616624959</v>
      </c>
      <c r="P450" s="56"/>
      <c r="Q450" s="56"/>
      <c r="R450" s="56"/>
      <c r="S450" s="56"/>
      <c r="T450" s="56"/>
      <c r="U450" s="56"/>
      <c r="V450" s="56"/>
      <c r="W450" s="56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  <c r="AI450" s="4"/>
      <c r="AJ450" s="4"/>
    </row>
    <row r="451" spans="1:36" ht="11.25" customHeight="1" x14ac:dyDescent="0.2">
      <c r="A451" s="52" t="s">
        <v>21</v>
      </c>
      <c r="B451" s="52" t="s">
        <v>39</v>
      </c>
      <c r="C451" s="52" t="s">
        <v>23</v>
      </c>
      <c r="D451" s="52" t="s">
        <v>49</v>
      </c>
      <c r="E451" s="52" t="s">
        <v>50</v>
      </c>
      <c r="F451" s="52" t="s">
        <v>25</v>
      </c>
      <c r="G451" s="52" t="s">
        <v>25</v>
      </c>
      <c r="H451" s="52" t="s">
        <v>25</v>
      </c>
      <c r="I451" s="71">
        <v>44470</v>
      </c>
      <c r="J451" s="72">
        <f>EFEITO!$J$451*EFEITO!$Y$444</f>
        <v>0</v>
      </c>
      <c r="K451" s="72">
        <f ca="1">EFEITO!$L$451*EFEITO!$Z$444</f>
        <v>16094.073026616086</v>
      </c>
      <c r="L451" s="72">
        <f>EFEITO!$N$451*EFEITO!$AA$444</f>
        <v>4329.3321567886996</v>
      </c>
      <c r="M451" s="72">
        <f>$J$451-EFEITO!$K$451*EFEITO!$Y$451</f>
        <v>0</v>
      </c>
      <c r="N451" s="72">
        <f ca="1">$K$451-EFEITO!$M$451*EFEITO!$Z$451</f>
        <v>482.82219079848255</v>
      </c>
      <c r="O451" s="72">
        <f>$L$451-EFEITO!$O$451*EFEITO!$AA$451</f>
        <v>129.87996470366124</v>
      </c>
      <c r="P451" s="56"/>
      <c r="Q451" s="56"/>
      <c r="R451" s="56"/>
      <c r="S451" s="56"/>
      <c r="T451" s="56"/>
      <c r="U451" s="56"/>
      <c r="V451" s="56"/>
      <c r="W451" s="56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  <c r="AI451" s="4"/>
      <c r="AJ451" s="4"/>
    </row>
    <row r="452" spans="1:36" ht="11.25" customHeight="1" x14ac:dyDescent="0.2">
      <c r="A452" s="52" t="s">
        <v>21</v>
      </c>
      <c r="B452" s="52" t="s">
        <v>39</v>
      </c>
      <c r="C452" s="52" t="s">
        <v>23</v>
      </c>
      <c r="D452" s="52" t="s">
        <v>49</v>
      </c>
      <c r="E452" s="52" t="s">
        <v>50</v>
      </c>
      <c r="F452" s="52" t="s">
        <v>25</v>
      </c>
      <c r="G452" s="52" t="s">
        <v>25</v>
      </c>
      <c r="H452" s="52" t="s">
        <v>25</v>
      </c>
      <c r="I452" s="71">
        <v>44501</v>
      </c>
      <c r="J452" s="72">
        <f>EFEITO!$J$452*EFEITO!$Y$444</f>
        <v>0</v>
      </c>
      <c r="K452" s="72">
        <f ca="1">EFEITO!$L$452*EFEITO!$Z$444</f>
        <v>16415.954487148403</v>
      </c>
      <c r="L452" s="72">
        <f>EFEITO!$N$452*EFEITO!$AA$444</f>
        <v>4415.9187999244732</v>
      </c>
      <c r="M452" s="72">
        <f>$J$452-EFEITO!$K$452*EFEITO!$Y$452</f>
        <v>0</v>
      </c>
      <c r="N452" s="72">
        <f ca="1">$K$452-EFEITO!$M$452*EFEITO!$Z$452</f>
        <v>492.47863461445013</v>
      </c>
      <c r="O452" s="72">
        <f>$L$452-EFEITO!$O$452*EFEITO!$AA$452</f>
        <v>132.47756399773516</v>
      </c>
      <c r="P452" s="56"/>
      <c r="Q452" s="56"/>
      <c r="R452" s="56"/>
      <c r="S452" s="56"/>
      <c r="T452" s="56"/>
      <c r="U452" s="56"/>
      <c r="V452" s="56"/>
      <c r="W452" s="56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  <c r="AI452" s="4"/>
      <c r="AJ452" s="4"/>
    </row>
    <row r="453" spans="1:36" ht="11.25" customHeight="1" x14ac:dyDescent="0.2">
      <c r="A453" s="52" t="s">
        <v>21</v>
      </c>
      <c r="B453" s="52" t="s">
        <v>39</v>
      </c>
      <c r="C453" s="52" t="s">
        <v>23</v>
      </c>
      <c r="D453" s="52" t="s">
        <v>49</v>
      </c>
      <c r="E453" s="52" t="s">
        <v>50</v>
      </c>
      <c r="F453" s="52" t="s">
        <v>25</v>
      </c>
      <c r="G453" s="52" t="s">
        <v>25</v>
      </c>
      <c r="H453" s="52" t="s">
        <v>25</v>
      </c>
      <c r="I453" s="71">
        <v>44531</v>
      </c>
      <c r="J453" s="72">
        <f>EFEITO!$J$453*EFEITO!$Y$444</f>
        <v>0</v>
      </c>
      <c r="K453" s="72">
        <f ca="1">EFEITO!$L$453*EFEITO!$Z$444</f>
        <v>16414.984964676925</v>
      </c>
      <c r="L453" s="72">
        <f>EFEITO!$N$453*EFEITO!$AA$444</f>
        <v>4415.6579967824982</v>
      </c>
      <c r="M453" s="72">
        <f>$J$453-EFEITO!$K$453*EFEITO!$Y$453</f>
        <v>0</v>
      </c>
      <c r="N453" s="72">
        <f ca="1">$K$453-EFEITO!$M$453*EFEITO!$Z$453</f>
        <v>492.44954894030889</v>
      </c>
      <c r="O453" s="72">
        <f>$L$453-EFEITO!$O$453*EFEITO!$AA$453</f>
        <v>132.46973990347487</v>
      </c>
      <c r="P453" s="56"/>
      <c r="Q453" s="56"/>
      <c r="R453" s="56"/>
      <c r="S453" s="56"/>
      <c r="T453" s="56"/>
      <c r="U453" s="56"/>
      <c r="V453" s="56"/>
      <c r="W453" s="56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  <c r="AI453" s="4"/>
      <c r="AJ453" s="4"/>
    </row>
    <row r="454" spans="1:36" ht="11.25" customHeight="1" x14ac:dyDescent="0.2">
      <c r="A454" s="52" t="s">
        <v>21</v>
      </c>
      <c r="B454" s="52" t="s">
        <v>39</v>
      </c>
      <c r="C454" s="52" t="s">
        <v>23</v>
      </c>
      <c r="D454" s="52" t="s">
        <v>49</v>
      </c>
      <c r="E454" s="52" t="s">
        <v>50</v>
      </c>
      <c r="F454" s="52" t="s">
        <v>25</v>
      </c>
      <c r="G454" s="52" t="s">
        <v>25</v>
      </c>
      <c r="H454" s="52" t="s">
        <v>25</v>
      </c>
      <c r="I454" s="71">
        <v>44562</v>
      </c>
      <c r="J454" s="72">
        <f>EFEITO!$J$454*EFEITO!$Y$444</f>
        <v>0</v>
      </c>
      <c r="K454" s="72">
        <f ca="1">EFEITO!$L$454*EFEITO!$Z$444</f>
        <v>16790.190161140807</v>
      </c>
      <c r="L454" s="72">
        <f>EFEITO!$N$454*EFEITO!$AA$444</f>
        <v>4516.58881272691</v>
      </c>
      <c r="M454" s="72">
        <f>$J$454-EFEITO!$K$454*EFEITO!$Y$454</f>
        <v>0</v>
      </c>
      <c r="N454" s="72">
        <f ca="1">$K$454-EFEITO!$M$454*EFEITO!$Z$454</f>
        <v>503.70570483422489</v>
      </c>
      <c r="O454" s="72">
        <f>$L$454-EFEITO!$O$454*EFEITO!$AA$454</f>
        <v>135.49766438180814</v>
      </c>
      <c r="P454" s="56"/>
      <c r="Q454" s="56"/>
      <c r="R454" s="56"/>
      <c r="S454" s="56"/>
      <c r="T454" s="56"/>
      <c r="U454" s="56"/>
      <c r="V454" s="56"/>
      <c r="W454" s="56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  <c r="AI454" s="4"/>
      <c r="AJ454" s="4"/>
    </row>
    <row r="455" spans="1:36" ht="11.25" customHeight="1" x14ac:dyDescent="0.2">
      <c r="A455" s="52" t="s">
        <v>21</v>
      </c>
      <c r="B455" s="52" t="s">
        <v>39</v>
      </c>
      <c r="C455" s="52" t="s">
        <v>23</v>
      </c>
      <c r="D455" s="52" t="s">
        <v>49</v>
      </c>
      <c r="E455" s="52" t="s">
        <v>50</v>
      </c>
      <c r="F455" s="52" t="s">
        <v>25</v>
      </c>
      <c r="G455" s="52" t="s">
        <v>25</v>
      </c>
      <c r="H455" s="52" t="s">
        <v>25</v>
      </c>
      <c r="I455" s="71">
        <v>44593</v>
      </c>
      <c r="J455" s="72">
        <f>EFEITO!$J$455*EFEITO!$Y$444</f>
        <v>0</v>
      </c>
      <c r="K455" s="72">
        <f ca="1">EFEITO!$L$455*EFEITO!$Z$444</f>
        <v>18017.60561003815</v>
      </c>
      <c r="L455" s="72">
        <f>EFEITO!$N$455*EFEITO!$AA$444</f>
        <v>4846.7655904675412</v>
      </c>
      <c r="M455" s="72">
        <f>$J$455-EFEITO!$K$455*EFEITO!$Y$455</f>
        <v>0</v>
      </c>
      <c r="N455" s="72">
        <f ca="1">$K$455-EFEITO!$M$455*EFEITO!$Z$455</f>
        <v>540.52816830114534</v>
      </c>
      <c r="O455" s="72">
        <f>$L$455-EFEITO!$O$455*EFEITO!$AA$455</f>
        <v>145.40296771402609</v>
      </c>
      <c r="P455" s="56"/>
      <c r="Q455" s="56"/>
      <c r="R455" s="56"/>
      <c r="S455" s="56"/>
      <c r="T455" s="56"/>
      <c r="U455" s="56"/>
      <c r="V455" s="56"/>
      <c r="W455" s="56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  <c r="AI455" s="4"/>
      <c r="AJ455" s="4"/>
    </row>
    <row r="456" spans="1:36" ht="11.25" customHeight="1" x14ac:dyDescent="0.2">
      <c r="A456" s="52" t="s">
        <v>21</v>
      </c>
      <c r="B456" s="52" t="s">
        <v>39</v>
      </c>
      <c r="C456" s="52" t="s">
        <v>23</v>
      </c>
      <c r="D456" s="52" t="s">
        <v>49</v>
      </c>
      <c r="E456" s="52" t="s">
        <v>50</v>
      </c>
      <c r="F456" s="52" t="s">
        <v>25</v>
      </c>
      <c r="G456" s="52" t="s">
        <v>25</v>
      </c>
      <c r="H456" s="52" t="s">
        <v>25</v>
      </c>
      <c r="I456" s="71">
        <v>44621</v>
      </c>
      <c r="J456" s="72">
        <f>EFEITO!$J$456*EFEITO!$Y$444</f>
        <v>0</v>
      </c>
      <c r="K456" s="72">
        <f ca="1">EFEITO!$L$456*EFEITO!$Z$444</f>
        <v>17274.951396882254</v>
      </c>
      <c r="L456" s="72">
        <f>EFEITO!$N$456*EFEITO!$AA$444</f>
        <v>4646.9903837145212</v>
      </c>
      <c r="M456" s="72">
        <f>$J$456-EFEITO!$K$456*EFEITO!$Y$456</f>
        <v>0</v>
      </c>
      <c r="N456" s="72">
        <f ca="1">$K$456-EFEITO!$M$456*EFEITO!$Z$456</f>
        <v>518.24854190646874</v>
      </c>
      <c r="O456" s="72">
        <f>$L$456-EFEITO!$O$456*EFEITO!$AA$456</f>
        <v>139.4097115114364</v>
      </c>
      <c r="P456" s="56"/>
      <c r="Q456" s="56"/>
      <c r="R456" s="56"/>
      <c r="S456" s="56"/>
      <c r="T456" s="56"/>
      <c r="U456" s="56"/>
      <c r="V456" s="56"/>
      <c r="W456" s="56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  <c r="AI456" s="4"/>
      <c r="AJ456" s="4"/>
    </row>
    <row r="457" spans="1:36" ht="11.25" customHeight="1" x14ac:dyDescent="0.2">
      <c r="A457" s="52" t="s">
        <v>21</v>
      </c>
      <c r="B457" s="52" t="s">
        <v>46</v>
      </c>
      <c r="C457" s="52" t="s">
        <v>23</v>
      </c>
      <c r="D457" s="52" t="s">
        <v>47</v>
      </c>
      <c r="E457" s="52" t="s">
        <v>48</v>
      </c>
      <c r="F457" s="52" t="s">
        <v>25</v>
      </c>
      <c r="G457" s="52" t="s">
        <v>25</v>
      </c>
      <c r="H457" s="52" t="s">
        <v>25</v>
      </c>
      <c r="I457" s="71">
        <v>44287</v>
      </c>
      <c r="J457" s="72">
        <f>EFEITO!$J$457*EFEITO!$Y$457</f>
        <v>0</v>
      </c>
      <c r="K457" s="72">
        <f ca="1">EFEITO!$L$457*EFEITO!$Z$457</f>
        <v>146418.44707031286</v>
      </c>
      <c r="L457" s="72">
        <f>EFEITO!$N$457*EFEITO!$AA$457</f>
        <v>39386.803464868528</v>
      </c>
      <c r="M457" s="72">
        <f>$J$457-EFEITO!$K$457*EFEITO!$Y$457</f>
        <v>0</v>
      </c>
      <c r="N457" s="72">
        <f ca="1">$K$457-EFEITO!$M$457*EFEITO!$Z$457</f>
        <v>0</v>
      </c>
      <c r="O457" s="72">
        <f>$L$457-EFEITO!$O$457*EFEITO!$AA$457</f>
        <v>0</v>
      </c>
      <c r="P457" s="56"/>
      <c r="Q457" s="56"/>
      <c r="R457" s="56"/>
      <c r="S457" s="56"/>
      <c r="T457" s="56"/>
      <c r="U457" s="56"/>
      <c r="V457" s="56"/>
      <c r="W457" s="56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  <c r="AI457" s="4"/>
      <c r="AJ457" s="4"/>
    </row>
    <row r="458" spans="1:36" ht="11.25" customHeight="1" x14ac:dyDescent="0.2">
      <c r="A458" s="52" t="s">
        <v>21</v>
      </c>
      <c r="B458" s="52" t="s">
        <v>46</v>
      </c>
      <c r="C458" s="52" t="s">
        <v>23</v>
      </c>
      <c r="D458" s="52" t="s">
        <v>47</v>
      </c>
      <c r="E458" s="52" t="s">
        <v>48</v>
      </c>
      <c r="F458" s="52" t="s">
        <v>25</v>
      </c>
      <c r="G458" s="52" t="s">
        <v>25</v>
      </c>
      <c r="H458" s="52" t="s">
        <v>25</v>
      </c>
      <c r="I458" s="71">
        <v>44317</v>
      </c>
      <c r="J458" s="72">
        <f>EFEITO!$J$458*EFEITO!$Y$458</f>
        <v>0</v>
      </c>
      <c r="K458" s="72">
        <f ca="1">EFEITO!$L$458*EFEITO!$Z$458</f>
        <v>151299.70185748782</v>
      </c>
      <c r="L458" s="72">
        <f>EFEITO!$N$458*EFEITO!$AA$458</f>
        <v>40699.869043771178</v>
      </c>
      <c r="M458" s="72">
        <f>$J$458-EFEITO!$K$458*EFEITO!$Y$458</f>
        <v>0</v>
      </c>
      <c r="N458" s="72">
        <f ca="1">$K$458-EFEITO!$M$458*EFEITO!$Z$458</f>
        <v>0</v>
      </c>
      <c r="O458" s="72">
        <f>$L$458-EFEITO!$O$458*EFEITO!$AA$458</f>
        <v>0</v>
      </c>
      <c r="P458" s="56"/>
      <c r="Q458" s="56"/>
      <c r="R458" s="56"/>
      <c r="S458" s="56"/>
      <c r="T458" s="56"/>
      <c r="U458" s="56"/>
      <c r="V458" s="56"/>
      <c r="W458" s="56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  <c r="AI458" s="4"/>
      <c r="AJ458" s="4"/>
    </row>
    <row r="459" spans="1:36" ht="11.25" customHeight="1" x14ac:dyDescent="0.2">
      <c r="A459" s="52" t="s">
        <v>21</v>
      </c>
      <c r="B459" s="52" t="s">
        <v>46</v>
      </c>
      <c r="C459" s="52" t="s">
        <v>23</v>
      </c>
      <c r="D459" s="52" t="s">
        <v>47</v>
      </c>
      <c r="E459" s="52" t="s">
        <v>48</v>
      </c>
      <c r="F459" s="52" t="s">
        <v>25</v>
      </c>
      <c r="G459" s="52" t="s">
        <v>25</v>
      </c>
      <c r="H459" s="52" t="s">
        <v>25</v>
      </c>
      <c r="I459" s="71">
        <v>44348</v>
      </c>
      <c r="J459" s="72">
        <f>EFEITO!$J$459*EFEITO!$Y$459</f>
        <v>0</v>
      </c>
      <c r="K459" s="72">
        <f ca="1">EFEITO!$L$459*EFEITO!$Z$459</f>
        <v>146418.44707031286</v>
      </c>
      <c r="L459" s="72">
        <f>EFEITO!$N$459*EFEITO!$AA$459</f>
        <v>39386.803464868528</v>
      </c>
      <c r="M459" s="72">
        <f>$J$459-EFEITO!$K$459*EFEITO!$Y$459</f>
        <v>0</v>
      </c>
      <c r="N459" s="72">
        <f ca="1">$K$459-EFEITO!$M$459*EFEITO!$Z$459</f>
        <v>0</v>
      </c>
      <c r="O459" s="72">
        <f>$L$459-EFEITO!$O$459*EFEITO!$AA$459</f>
        <v>0</v>
      </c>
      <c r="P459" s="56"/>
      <c r="Q459" s="56"/>
      <c r="R459" s="56"/>
      <c r="S459" s="56"/>
      <c r="T459" s="56"/>
      <c r="U459" s="56"/>
      <c r="V459" s="56"/>
      <c r="W459" s="56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  <c r="AI459" s="4"/>
      <c r="AJ459" s="4"/>
    </row>
    <row r="460" spans="1:36" ht="11.25" customHeight="1" x14ac:dyDescent="0.2">
      <c r="A460" s="52" t="s">
        <v>21</v>
      </c>
      <c r="B460" s="52" t="s">
        <v>46</v>
      </c>
      <c r="C460" s="52" t="s">
        <v>23</v>
      </c>
      <c r="D460" s="52" t="s">
        <v>47</v>
      </c>
      <c r="E460" s="52" t="s">
        <v>48</v>
      </c>
      <c r="F460" s="52" t="s">
        <v>25</v>
      </c>
      <c r="G460" s="52" t="s">
        <v>25</v>
      </c>
      <c r="H460" s="52" t="s">
        <v>25</v>
      </c>
      <c r="I460" s="71">
        <v>44378</v>
      </c>
      <c r="J460" s="72">
        <f>EFEITO!$J$460*EFEITO!$Y$460</f>
        <v>0</v>
      </c>
      <c r="K460" s="72">
        <f ca="1">EFEITO!$L$460*EFEITO!$Z$460</f>
        <v>151299.70185748782</v>
      </c>
      <c r="L460" s="72">
        <f>EFEITO!$N$460*EFEITO!$AA$460</f>
        <v>40699.869043771178</v>
      </c>
      <c r="M460" s="72">
        <f>$J$460-EFEITO!$K$460*EFEITO!$Y$460</f>
        <v>0</v>
      </c>
      <c r="N460" s="72">
        <f ca="1">$K$460-EFEITO!$M$460*EFEITO!$Z$460</f>
        <v>0</v>
      </c>
      <c r="O460" s="72">
        <f>$L$460-EFEITO!$O$460*EFEITO!$AA$460</f>
        <v>0</v>
      </c>
      <c r="P460" s="56"/>
      <c r="Q460" s="56"/>
      <c r="R460" s="56"/>
      <c r="S460" s="56"/>
      <c r="T460" s="56"/>
      <c r="U460" s="56"/>
      <c r="V460" s="56"/>
      <c r="W460" s="56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  <c r="AI460" s="4"/>
      <c r="AJ460" s="4"/>
    </row>
    <row r="461" spans="1:36" ht="11.25" customHeight="1" x14ac:dyDescent="0.2">
      <c r="A461" s="52" t="s">
        <v>21</v>
      </c>
      <c r="B461" s="52" t="s">
        <v>46</v>
      </c>
      <c r="C461" s="52" t="s">
        <v>23</v>
      </c>
      <c r="D461" s="52" t="s">
        <v>47</v>
      </c>
      <c r="E461" s="52" t="s">
        <v>48</v>
      </c>
      <c r="F461" s="52" t="s">
        <v>25</v>
      </c>
      <c r="G461" s="52" t="s">
        <v>25</v>
      </c>
      <c r="H461" s="52" t="s">
        <v>25</v>
      </c>
      <c r="I461" s="71">
        <v>44409</v>
      </c>
      <c r="J461" s="72">
        <f>EFEITO!$J$461*EFEITO!$Y$461</f>
        <v>0</v>
      </c>
      <c r="K461" s="72">
        <f ca="1">EFEITO!$L$461*EFEITO!$Z$461</f>
        <v>151299.70185748782</v>
      </c>
      <c r="L461" s="72">
        <f>EFEITO!$N$461*EFEITO!$AA$461</f>
        <v>40699.869043771178</v>
      </c>
      <c r="M461" s="72">
        <f>$J$461-EFEITO!$K$461*EFEITO!$Y$461</f>
        <v>0</v>
      </c>
      <c r="N461" s="72">
        <f ca="1">$K$461-EFEITO!$M$461*EFEITO!$Z$461</f>
        <v>0</v>
      </c>
      <c r="O461" s="72">
        <f>$L$461-EFEITO!$O$461*EFEITO!$AA$461</f>
        <v>0</v>
      </c>
      <c r="P461" s="56"/>
      <c r="Q461" s="56"/>
      <c r="R461" s="56"/>
      <c r="S461" s="56"/>
      <c r="T461" s="56"/>
      <c r="U461" s="56"/>
      <c r="V461" s="56"/>
      <c r="W461" s="56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  <c r="AI461" s="4"/>
      <c r="AJ461" s="4"/>
    </row>
    <row r="462" spans="1:36" ht="11.25" customHeight="1" x14ac:dyDescent="0.2">
      <c r="A462" s="52" t="s">
        <v>21</v>
      </c>
      <c r="B462" s="52" t="s">
        <v>46</v>
      </c>
      <c r="C462" s="52" t="s">
        <v>23</v>
      </c>
      <c r="D462" s="52" t="s">
        <v>47</v>
      </c>
      <c r="E462" s="52" t="s">
        <v>48</v>
      </c>
      <c r="F462" s="52" t="s">
        <v>25</v>
      </c>
      <c r="G462" s="52" t="s">
        <v>25</v>
      </c>
      <c r="H462" s="52" t="s">
        <v>25</v>
      </c>
      <c r="I462" s="71">
        <v>44440</v>
      </c>
      <c r="J462" s="72">
        <f>EFEITO!$J$462*EFEITO!$Y$462</f>
        <v>0</v>
      </c>
      <c r="K462" s="72">
        <f ca="1">EFEITO!$L$462*EFEITO!$Z$462</f>
        <v>146418.44707031286</v>
      </c>
      <c r="L462" s="72">
        <f>EFEITO!$N$462*EFEITO!$AA$462</f>
        <v>39386.803464868528</v>
      </c>
      <c r="M462" s="72">
        <f>$J$462-EFEITO!$K$462*EFEITO!$Y$462</f>
        <v>0</v>
      </c>
      <c r="N462" s="72">
        <f ca="1">$K$462-EFEITO!$M$462*EFEITO!$Z$462</f>
        <v>0</v>
      </c>
      <c r="O462" s="72">
        <f>$L$462-EFEITO!$O$462*EFEITO!$AA$462</f>
        <v>0</v>
      </c>
      <c r="P462" s="56"/>
      <c r="Q462" s="56"/>
      <c r="R462" s="56"/>
      <c r="S462" s="56"/>
      <c r="T462" s="56"/>
      <c r="U462" s="56"/>
      <c r="V462" s="56"/>
      <c r="W462" s="56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  <c r="AI462" s="4"/>
      <c r="AJ462" s="4"/>
    </row>
    <row r="463" spans="1:36" ht="11.25" customHeight="1" x14ac:dyDescent="0.2">
      <c r="A463" s="52" t="s">
        <v>21</v>
      </c>
      <c r="B463" s="52" t="s">
        <v>46</v>
      </c>
      <c r="C463" s="52" t="s">
        <v>23</v>
      </c>
      <c r="D463" s="52" t="s">
        <v>47</v>
      </c>
      <c r="E463" s="52" t="s">
        <v>48</v>
      </c>
      <c r="F463" s="52" t="s">
        <v>25</v>
      </c>
      <c r="G463" s="52" t="s">
        <v>25</v>
      </c>
      <c r="H463" s="52" t="s">
        <v>25</v>
      </c>
      <c r="I463" s="71">
        <v>44470</v>
      </c>
      <c r="J463" s="72">
        <f>EFEITO!$J$463*EFEITO!$Y$463</f>
        <v>0</v>
      </c>
      <c r="K463" s="72">
        <f ca="1">EFEITO!$L$463*EFEITO!$Z$463</f>
        <v>151299.70185748782</v>
      </c>
      <c r="L463" s="72">
        <f>EFEITO!$N$463*EFEITO!$AA$463</f>
        <v>40699.869043771178</v>
      </c>
      <c r="M463" s="72">
        <f>$J$463-EFEITO!$K$463*EFEITO!$Y$463</f>
        <v>0</v>
      </c>
      <c r="N463" s="72">
        <f ca="1">$K$463-EFEITO!$M$463*EFEITO!$Z$463</f>
        <v>0</v>
      </c>
      <c r="O463" s="72">
        <f>$L$463-EFEITO!$O$463*EFEITO!$AA$463</f>
        <v>0</v>
      </c>
      <c r="P463" s="56"/>
      <c r="Q463" s="56"/>
      <c r="R463" s="56"/>
      <c r="S463" s="56"/>
      <c r="T463" s="56"/>
      <c r="U463" s="56"/>
      <c r="V463" s="56"/>
      <c r="W463" s="56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  <c r="AI463" s="4"/>
      <c r="AJ463" s="4"/>
    </row>
    <row r="464" spans="1:36" ht="11.25" customHeight="1" x14ac:dyDescent="0.2">
      <c r="A464" s="52" t="s">
        <v>27</v>
      </c>
      <c r="B464" s="52" t="s">
        <v>46</v>
      </c>
      <c r="C464" s="52" t="s">
        <v>23</v>
      </c>
      <c r="D464" s="52" t="s">
        <v>47</v>
      </c>
      <c r="E464" s="52" t="s">
        <v>48</v>
      </c>
      <c r="F464" s="52" t="s">
        <v>25</v>
      </c>
      <c r="G464" s="52" t="s">
        <v>25</v>
      </c>
      <c r="H464" s="52" t="s">
        <v>25</v>
      </c>
      <c r="I464" s="71">
        <v>44470</v>
      </c>
      <c r="J464" s="72">
        <f>EFEITO!$J$464*EFEITO!$Y$464</f>
        <v>0</v>
      </c>
      <c r="K464" s="72">
        <f ca="1">EFEITO!$L$464*EFEITO!$Z$464</f>
        <v>3405.2537765893785</v>
      </c>
      <c r="L464" s="72">
        <f>EFEITO!$N$464*EFEITO!$AA$464</f>
        <v>916.01887555957524</v>
      </c>
      <c r="M464" s="72">
        <f>$J$464-EFEITO!$K$464*EFEITO!$Y$464</f>
        <v>0</v>
      </c>
      <c r="N464" s="72">
        <f ca="1">$K$464-EFEITO!$M$464*EFEITO!$Z$464</f>
        <v>0</v>
      </c>
      <c r="O464" s="72">
        <f>$L$464-EFEITO!$O$464*EFEITO!$AA$464</f>
        <v>0</v>
      </c>
      <c r="P464" s="56"/>
      <c r="Q464" s="56"/>
      <c r="R464" s="56"/>
      <c r="S464" s="56"/>
      <c r="T464" s="56"/>
      <c r="U464" s="56"/>
      <c r="V464" s="56"/>
      <c r="W464" s="56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  <c r="AI464" s="4"/>
      <c r="AJ464" s="4"/>
    </row>
    <row r="465" spans="1:36" ht="11.25" customHeight="1" x14ac:dyDescent="0.2">
      <c r="A465" s="52" t="s">
        <v>21</v>
      </c>
      <c r="B465" s="52" t="s">
        <v>46</v>
      </c>
      <c r="C465" s="52" t="s">
        <v>23</v>
      </c>
      <c r="D465" s="52" t="s">
        <v>47</v>
      </c>
      <c r="E465" s="52" t="s">
        <v>48</v>
      </c>
      <c r="F465" s="52" t="s">
        <v>25</v>
      </c>
      <c r="G465" s="52" t="s">
        <v>25</v>
      </c>
      <c r="H465" s="52" t="s">
        <v>25</v>
      </c>
      <c r="I465" s="71">
        <v>44501</v>
      </c>
      <c r="J465" s="72">
        <f>EFEITO!$J$465*EFEITO!$Y$465</f>
        <v>0</v>
      </c>
      <c r="K465" s="72">
        <f ca="1">EFEITO!$L$465*EFEITO!$Z$465</f>
        <v>146418.44707031286</v>
      </c>
      <c r="L465" s="72">
        <f>EFEITO!$N$465*EFEITO!$AA$465</f>
        <v>39386.803464868528</v>
      </c>
      <c r="M465" s="72">
        <f>$J$465-EFEITO!$K$465*EFEITO!$Y$465</f>
        <v>0</v>
      </c>
      <c r="N465" s="72">
        <f ca="1">$K$465-EFEITO!$M$465*EFEITO!$Z$465</f>
        <v>0</v>
      </c>
      <c r="O465" s="72">
        <f>$L$465-EFEITO!$O$465*EFEITO!$AA$465</f>
        <v>0</v>
      </c>
      <c r="P465" s="56"/>
      <c r="Q465" s="56"/>
      <c r="R465" s="56"/>
      <c r="S465" s="56"/>
      <c r="T465" s="56"/>
      <c r="U465" s="56"/>
      <c r="V465" s="56"/>
      <c r="W465" s="56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  <c r="AI465" s="4"/>
      <c r="AJ465" s="4"/>
    </row>
    <row r="466" spans="1:36" ht="11.25" customHeight="1" x14ac:dyDescent="0.2">
      <c r="A466" s="52" t="s">
        <v>21</v>
      </c>
      <c r="B466" s="52" t="s">
        <v>46</v>
      </c>
      <c r="C466" s="52" t="s">
        <v>23</v>
      </c>
      <c r="D466" s="52" t="s">
        <v>47</v>
      </c>
      <c r="E466" s="52" t="s">
        <v>48</v>
      </c>
      <c r="F466" s="52" t="s">
        <v>25</v>
      </c>
      <c r="G466" s="52" t="s">
        <v>25</v>
      </c>
      <c r="H466" s="52" t="s">
        <v>25</v>
      </c>
      <c r="I466" s="71">
        <v>44531</v>
      </c>
      <c r="J466" s="72">
        <f>EFEITO!$J$466*EFEITO!$Y$466</f>
        <v>0</v>
      </c>
      <c r="K466" s="72">
        <f ca="1">EFEITO!$L$466*EFEITO!$Z$466</f>
        <v>151299.70185748782</v>
      </c>
      <c r="L466" s="72">
        <f>EFEITO!$N$466*EFEITO!$AA$466</f>
        <v>40699.869043771178</v>
      </c>
      <c r="M466" s="72">
        <f>$J$466-EFEITO!$K$466*EFEITO!$Y$466</f>
        <v>0</v>
      </c>
      <c r="N466" s="72">
        <f ca="1">$K$466-EFEITO!$M$466*EFEITO!$Z$466</f>
        <v>0</v>
      </c>
      <c r="O466" s="72">
        <f>$L$466-EFEITO!$O$466*EFEITO!$AA$466</f>
        <v>0</v>
      </c>
      <c r="P466" s="56"/>
      <c r="Q466" s="56"/>
      <c r="R466" s="56"/>
      <c r="S466" s="56"/>
      <c r="T466" s="56"/>
      <c r="U466" s="56"/>
      <c r="V466" s="56"/>
      <c r="W466" s="56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  <c r="AI466" s="4"/>
      <c r="AJ466" s="4"/>
    </row>
    <row r="467" spans="1:36" ht="11.25" customHeight="1" x14ac:dyDescent="0.2">
      <c r="A467" s="52" t="s">
        <v>21</v>
      </c>
      <c r="B467" s="52" t="s">
        <v>46</v>
      </c>
      <c r="C467" s="52" t="s">
        <v>23</v>
      </c>
      <c r="D467" s="52" t="s">
        <v>47</v>
      </c>
      <c r="E467" s="52" t="s">
        <v>48</v>
      </c>
      <c r="F467" s="52" t="s">
        <v>25</v>
      </c>
      <c r="G467" s="52" t="s">
        <v>25</v>
      </c>
      <c r="H467" s="52" t="s">
        <v>25</v>
      </c>
      <c r="I467" s="71">
        <v>44562</v>
      </c>
      <c r="J467" s="72">
        <f>EFEITO!$J$467*EFEITO!$Y$467</f>
        <v>0</v>
      </c>
      <c r="K467" s="72">
        <f ca="1">EFEITO!$L$467*EFEITO!$Z$467</f>
        <v>151299.70185748782</v>
      </c>
      <c r="L467" s="72">
        <f>EFEITO!$N$467*EFEITO!$AA$467</f>
        <v>40699.869043771178</v>
      </c>
      <c r="M467" s="72">
        <f>$J$467-EFEITO!$K$467*EFEITO!$Y$467</f>
        <v>0</v>
      </c>
      <c r="N467" s="72">
        <f ca="1">$K$467-EFEITO!$M$467*EFEITO!$Z$467</f>
        <v>0</v>
      </c>
      <c r="O467" s="72">
        <f>$L$467-EFEITO!$O$467*EFEITO!$AA$467</f>
        <v>0</v>
      </c>
      <c r="P467" s="56"/>
      <c r="Q467" s="56"/>
      <c r="R467" s="56"/>
      <c r="S467" s="56"/>
      <c r="T467" s="56"/>
      <c r="U467" s="56"/>
      <c r="V467" s="56"/>
      <c r="W467" s="56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  <c r="AI467" s="4"/>
      <c r="AJ467" s="4"/>
    </row>
    <row r="468" spans="1:36" ht="11.25" customHeight="1" x14ac:dyDescent="0.2">
      <c r="A468" s="52" t="s">
        <v>21</v>
      </c>
      <c r="B468" s="52" t="s">
        <v>46</v>
      </c>
      <c r="C468" s="52" t="s">
        <v>23</v>
      </c>
      <c r="D468" s="52" t="s">
        <v>47</v>
      </c>
      <c r="E468" s="52" t="s">
        <v>48</v>
      </c>
      <c r="F468" s="52" t="s">
        <v>25</v>
      </c>
      <c r="G468" s="52" t="s">
        <v>25</v>
      </c>
      <c r="H468" s="52" t="s">
        <v>25</v>
      </c>
      <c r="I468" s="71">
        <v>44593</v>
      </c>
      <c r="J468" s="72">
        <f>EFEITO!$J$468*EFEITO!$Y$468</f>
        <v>0</v>
      </c>
      <c r="K468" s="72">
        <f ca="1">EFEITO!$L$468*EFEITO!$Z$468</f>
        <v>136658.07044540023</v>
      </c>
      <c r="L468" s="72">
        <f>EFEITO!$N$468*EFEITO!$AA$468</f>
        <v>36761.246073975555</v>
      </c>
      <c r="M468" s="72">
        <f>$J$468-EFEITO!$K$468*EFEITO!$Y$468</f>
        <v>0</v>
      </c>
      <c r="N468" s="72">
        <f ca="1">$K$468-EFEITO!$M$468*EFEITO!$Z$468</f>
        <v>0</v>
      </c>
      <c r="O468" s="72">
        <f>$L$468-EFEITO!$O$468*EFEITO!$AA$468</f>
        <v>0</v>
      </c>
      <c r="P468" s="56"/>
      <c r="Q468" s="56"/>
      <c r="R468" s="56"/>
      <c r="S468" s="56"/>
      <c r="T468" s="56"/>
      <c r="U468" s="56"/>
      <c r="V468" s="56"/>
      <c r="W468" s="56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  <c r="AI468" s="4"/>
      <c r="AJ468" s="4"/>
    </row>
    <row r="469" spans="1:36" ht="11.25" customHeight="1" x14ac:dyDescent="0.2">
      <c r="A469" s="52" t="s">
        <v>21</v>
      </c>
      <c r="B469" s="52" t="s">
        <v>46</v>
      </c>
      <c r="C469" s="52" t="s">
        <v>23</v>
      </c>
      <c r="D469" s="52" t="s">
        <v>47</v>
      </c>
      <c r="E469" s="52" t="s">
        <v>48</v>
      </c>
      <c r="F469" s="52" t="s">
        <v>25</v>
      </c>
      <c r="G469" s="52" t="s">
        <v>25</v>
      </c>
      <c r="H469" s="52" t="s">
        <v>25</v>
      </c>
      <c r="I469" s="71">
        <v>44621</v>
      </c>
      <c r="J469" s="72">
        <f>EFEITO!$J$469*EFEITO!$Y$469</f>
        <v>0</v>
      </c>
      <c r="K469" s="72">
        <f ca="1">EFEITO!$L$469*EFEITO!$Z$469</f>
        <v>151299.70185748782</v>
      </c>
      <c r="L469" s="72">
        <f>EFEITO!$N$469*EFEITO!$AA$469</f>
        <v>40699.869043771178</v>
      </c>
      <c r="M469" s="72">
        <f>$J$469-EFEITO!$K$469*EFEITO!$Y$469</f>
        <v>0</v>
      </c>
      <c r="N469" s="72">
        <f ca="1">$K$469-EFEITO!$M$469*EFEITO!$Z$469</f>
        <v>0</v>
      </c>
      <c r="O469" s="72">
        <f>$L$469-EFEITO!$O$469*EFEITO!$AA$469</f>
        <v>0</v>
      </c>
      <c r="P469" s="56"/>
      <c r="Q469" s="56"/>
      <c r="R469" s="56"/>
      <c r="S469" s="56"/>
      <c r="T469" s="56"/>
      <c r="U469" s="56"/>
      <c r="V469" s="56"/>
      <c r="W469" s="56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  <c r="AI469" s="4"/>
      <c r="AJ469" s="4"/>
    </row>
  </sheetData>
  <mergeCells count="1">
    <mergeCell ref="Q1:AJ1"/>
  </mergeCells>
  <pageMargins left="0.511811024" right="0.511811024" top="0.78740157499999996" bottom="0.78740157499999996" header="0.31496062000000002" footer="0.31496062000000002"/>
  <pageSetup paperSize="9" orientation="portrait" horizontalDpi="30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3BE89-2689-467F-B502-5A61729922F0}">
  <dimension ref="A1:BD103"/>
  <sheetViews>
    <sheetView showGridLines="0" topLeftCell="D40" workbookViewId="0">
      <selection activeCell="L53" sqref="L53:BD103"/>
    </sheetView>
  </sheetViews>
  <sheetFormatPr defaultRowHeight="11.25" customHeight="1" x14ac:dyDescent="0.25"/>
  <cols>
    <col min="1" max="1" width="9.28515625" style="9" bestFit="1" customWidth="1"/>
    <col min="2" max="2" width="23.42578125" style="9" bestFit="1" customWidth="1"/>
    <col min="3" max="3" width="33" style="9" bestFit="1" customWidth="1"/>
    <col min="4" max="4" width="56.140625" style="9" bestFit="1" customWidth="1"/>
    <col min="5" max="5" width="65.7109375" style="9" bestFit="1" customWidth="1"/>
    <col min="6" max="6" width="75.42578125" style="9" bestFit="1" customWidth="1"/>
    <col min="7" max="7" width="76.28515625" style="9" bestFit="1" customWidth="1"/>
    <col min="8" max="8" width="7.42578125" style="9" bestFit="1" customWidth="1"/>
    <col min="9" max="9" width="7.85546875" style="9" bestFit="1" customWidth="1"/>
    <col min="10" max="10" width="9.140625" style="9"/>
    <col min="11" max="11" width="14.28515625" style="9" bestFit="1" customWidth="1"/>
    <col min="12" max="12" width="13.42578125" style="9" bestFit="1" customWidth="1"/>
    <col min="13" max="13" width="7.85546875" style="9" bestFit="1" customWidth="1"/>
    <col min="14" max="15" width="4.140625" style="9" bestFit="1" customWidth="1"/>
    <col min="16" max="16" width="4.42578125" style="9" bestFit="1" customWidth="1"/>
    <col min="17" max="17" width="10" style="9" bestFit="1" customWidth="1"/>
    <col min="18" max="19" width="8.7109375" style="9" bestFit="1" customWidth="1"/>
    <col min="20" max="20" width="7.42578125" style="9" bestFit="1" customWidth="1"/>
    <col min="21" max="21" width="7.28515625" style="9" bestFit="1" customWidth="1"/>
    <col min="22" max="23" width="9.85546875" style="9" bestFit="1" customWidth="1"/>
    <col min="24" max="24" width="10" style="9" bestFit="1" customWidth="1"/>
    <col min="25" max="25" width="7.7109375" style="9" bestFit="1" customWidth="1"/>
    <col min="26" max="26" width="9.85546875" style="9" bestFit="1" customWidth="1"/>
    <col min="27" max="27" width="11.7109375" style="9" bestFit="1" customWidth="1"/>
    <col min="28" max="28" width="8" style="9" bestFit="1" customWidth="1"/>
    <col min="29" max="29" width="7.28515625" style="9" bestFit="1" customWidth="1"/>
    <col min="30" max="30" width="15.28515625" style="9" bestFit="1" customWidth="1"/>
    <col min="31" max="31" width="18" style="9" bestFit="1" customWidth="1"/>
    <col min="32" max="32" width="19.140625" style="9" bestFit="1" customWidth="1"/>
    <col min="33" max="33" width="4" style="9" bestFit="1" customWidth="1"/>
    <col min="34" max="34" width="9.140625" style="9"/>
    <col min="35" max="35" width="13.42578125" style="9" bestFit="1" customWidth="1"/>
    <col min="36" max="36" width="7.85546875" style="9" bestFit="1" customWidth="1"/>
    <col min="37" max="38" width="4.140625" style="9" bestFit="1" customWidth="1"/>
    <col min="39" max="39" width="4.42578125" style="9" bestFit="1" customWidth="1"/>
    <col min="40" max="40" width="10" style="9" bestFit="1" customWidth="1"/>
    <col min="41" max="42" width="8.7109375" style="9" bestFit="1" customWidth="1"/>
    <col min="43" max="43" width="7.42578125" style="9" bestFit="1" customWidth="1"/>
    <col min="44" max="44" width="7.28515625" style="9" bestFit="1" customWidth="1"/>
    <col min="45" max="46" width="9.85546875" style="9" bestFit="1" customWidth="1"/>
    <col min="47" max="47" width="10" style="9" bestFit="1" customWidth="1"/>
    <col min="48" max="48" width="7.7109375" style="9" bestFit="1" customWidth="1"/>
    <col min="49" max="49" width="9.85546875" style="9" bestFit="1" customWidth="1"/>
    <col min="50" max="50" width="11.7109375" style="9" bestFit="1" customWidth="1"/>
    <col min="51" max="51" width="8" style="9" bestFit="1" customWidth="1"/>
    <col min="52" max="52" width="7.28515625" style="9" bestFit="1" customWidth="1"/>
    <col min="53" max="53" width="15.28515625" style="9" bestFit="1" customWidth="1"/>
    <col min="54" max="54" width="18" style="9" bestFit="1" customWidth="1"/>
    <col min="55" max="55" width="19.140625" style="9" bestFit="1" customWidth="1"/>
    <col min="56" max="56" width="4" style="9" bestFit="1" customWidth="1"/>
    <col min="57" max="16384" width="9.140625" style="9"/>
  </cols>
  <sheetData>
    <row r="1" spans="1:56" ht="11.25" customHeight="1" x14ac:dyDescent="0.25">
      <c r="A1" s="130" t="s">
        <v>61</v>
      </c>
      <c r="B1" s="130" t="s">
        <v>62</v>
      </c>
      <c r="C1" s="130" t="s">
        <v>63</v>
      </c>
      <c r="D1" s="130" t="s">
        <v>64</v>
      </c>
      <c r="E1" s="130" t="s">
        <v>65</v>
      </c>
      <c r="F1" s="130" t="s">
        <v>15</v>
      </c>
      <c r="G1" s="130" t="s">
        <v>67</v>
      </c>
      <c r="H1" s="130" t="s">
        <v>68</v>
      </c>
      <c r="I1" s="130" t="s">
        <v>545</v>
      </c>
      <c r="J1" s="124"/>
      <c r="L1" s="131" t="s">
        <v>746</v>
      </c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1"/>
      <c r="Y1" s="131"/>
      <c r="Z1" s="131"/>
      <c r="AA1" s="131"/>
      <c r="AB1" s="131"/>
      <c r="AC1" s="131"/>
      <c r="AD1" s="131"/>
      <c r="AE1" s="131"/>
      <c r="AF1" s="131"/>
      <c r="AG1" s="131"/>
      <c r="AI1" s="131" t="s">
        <v>747</v>
      </c>
      <c r="AJ1" s="131"/>
      <c r="AK1" s="131"/>
      <c r="AL1" s="131"/>
      <c r="AM1" s="131"/>
      <c r="AN1" s="131"/>
      <c r="AO1" s="131"/>
      <c r="AP1" s="131"/>
      <c r="AQ1" s="131"/>
      <c r="AR1" s="131"/>
      <c r="AS1" s="131"/>
      <c r="AT1" s="131"/>
      <c r="AU1" s="131"/>
      <c r="AV1" s="131"/>
      <c r="AW1" s="131"/>
      <c r="AX1" s="131"/>
      <c r="AY1" s="131"/>
      <c r="AZ1" s="131"/>
      <c r="BA1" s="131"/>
      <c r="BB1" s="131"/>
      <c r="BC1" s="131"/>
      <c r="BD1" s="131"/>
    </row>
    <row r="2" spans="1:56" ht="11.25" customHeight="1" x14ac:dyDescent="0.25">
      <c r="A2" s="130"/>
      <c r="B2" s="130"/>
      <c r="C2" s="130"/>
      <c r="D2" s="130"/>
      <c r="E2" s="130"/>
      <c r="F2" s="130"/>
      <c r="G2" s="130"/>
      <c r="H2" s="130"/>
      <c r="I2" s="130"/>
      <c r="J2" s="124"/>
      <c r="L2" s="131" t="s">
        <v>445</v>
      </c>
      <c r="M2" s="131"/>
      <c r="N2" s="131"/>
      <c r="O2" s="131"/>
      <c r="P2" s="131"/>
      <c r="Q2" s="131"/>
      <c r="R2" s="131"/>
      <c r="S2" s="131"/>
      <c r="T2" s="131"/>
      <c r="U2" s="131"/>
      <c r="V2" s="131"/>
      <c r="W2" s="131"/>
      <c r="X2" s="131"/>
      <c r="Y2" s="131"/>
      <c r="Z2" s="131"/>
      <c r="AA2" s="131"/>
      <c r="AB2" s="131"/>
      <c r="AC2" s="131"/>
      <c r="AD2" s="131"/>
      <c r="AE2" s="131"/>
      <c r="AF2" s="131"/>
      <c r="AG2" s="131"/>
      <c r="AI2" s="131" t="s">
        <v>445</v>
      </c>
      <c r="AJ2" s="131"/>
      <c r="AK2" s="131"/>
      <c r="AL2" s="131"/>
      <c r="AM2" s="131"/>
      <c r="AN2" s="131"/>
      <c r="AO2" s="131"/>
      <c r="AP2" s="131"/>
      <c r="AQ2" s="131"/>
      <c r="AR2" s="131"/>
      <c r="AS2" s="131"/>
      <c r="AT2" s="131"/>
      <c r="AU2" s="131"/>
      <c r="AV2" s="131"/>
      <c r="AW2" s="131"/>
      <c r="AX2" s="131"/>
      <c r="AY2" s="131"/>
      <c r="AZ2" s="131"/>
      <c r="BA2" s="131"/>
      <c r="BB2" s="131"/>
      <c r="BC2" s="131"/>
      <c r="BD2" s="131"/>
    </row>
    <row r="3" spans="1:56" ht="11.25" customHeight="1" x14ac:dyDescent="0.25">
      <c r="A3" s="130"/>
      <c r="B3" s="130"/>
      <c r="C3" s="130"/>
      <c r="D3" s="130"/>
      <c r="E3" s="130"/>
      <c r="F3" s="130"/>
      <c r="G3" s="130"/>
      <c r="H3" s="130"/>
      <c r="I3" s="130"/>
      <c r="J3" s="124"/>
      <c r="L3" s="131" t="s">
        <v>446</v>
      </c>
      <c r="M3" s="131"/>
      <c r="N3" s="131"/>
      <c r="O3" s="131"/>
      <c r="P3" s="131"/>
      <c r="Q3" s="131"/>
      <c r="R3" s="131"/>
      <c r="S3" s="131"/>
      <c r="T3" s="131" t="s">
        <v>455</v>
      </c>
      <c r="U3" s="131"/>
      <c r="V3" s="131"/>
      <c r="W3" s="131"/>
      <c r="X3" s="131"/>
      <c r="Y3" s="131"/>
      <c r="Z3" s="131"/>
      <c r="AA3" s="87" t="s">
        <v>463</v>
      </c>
      <c r="AB3" s="131" t="s">
        <v>465</v>
      </c>
      <c r="AC3" s="131"/>
      <c r="AD3" s="131" t="s">
        <v>468</v>
      </c>
      <c r="AE3" s="131"/>
      <c r="AF3" s="131"/>
      <c r="AG3" s="131"/>
      <c r="AI3" s="131" t="s">
        <v>446</v>
      </c>
      <c r="AJ3" s="131"/>
      <c r="AK3" s="131"/>
      <c r="AL3" s="131"/>
      <c r="AM3" s="131"/>
      <c r="AN3" s="131"/>
      <c r="AO3" s="131"/>
      <c r="AP3" s="131"/>
      <c r="AQ3" s="131" t="s">
        <v>455</v>
      </c>
      <c r="AR3" s="131"/>
      <c r="AS3" s="131"/>
      <c r="AT3" s="131"/>
      <c r="AU3" s="131"/>
      <c r="AV3" s="131"/>
      <c r="AW3" s="131"/>
      <c r="AX3" s="87" t="s">
        <v>463</v>
      </c>
      <c r="AY3" s="131" t="s">
        <v>465</v>
      </c>
      <c r="AZ3" s="131"/>
      <c r="BA3" s="131" t="s">
        <v>468</v>
      </c>
      <c r="BB3" s="131"/>
      <c r="BC3" s="131"/>
      <c r="BD3" s="131"/>
    </row>
    <row r="4" spans="1:56" ht="11.25" customHeight="1" x14ac:dyDescent="0.25">
      <c r="A4" s="130"/>
      <c r="B4" s="130"/>
      <c r="C4" s="130"/>
      <c r="D4" s="130"/>
      <c r="E4" s="130"/>
      <c r="F4" s="130"/>
      <c r="G4" s="130"/>
      <c r="H4" s="130"/>
      <c r="I4" s="130"/>
      <c r="J4" s="124"/>
      <c r="L4" s="87" t="s">
        <v>530</v>
      </c>
      <c r="M4" s="87" t="s">
        <v>447</v>
      </c>
      <c r="N4" s="87" t="s">
        <v>448</v>
      </c>
      <c r="O4" s="87" t="s">
        <v>449</v>
      </c>
      <c r="P4" s="87" t="s">
        <v>450</v>
      </c>
      <c r="Q4" s="87" t="s">
        <v>451</v>
      </c>
      <c r="R4" s="87" t="s">
        <v>452</v>
      </c>
      <c r="S4" s="87" t="s">
        <v>453</v>
      </c>
      <c r="T4" s="87" t="s">
        <v>456</v>
      </c>
      <c r="U4" s="87" t="s">
        <v>457</v>
      </c>
      <c r="V4" s="87" t="s">
        <v>458</v>
      </c>
      <c r="W4" s="87" t="s">
        <v>459</v>
      </c>
      <c r="X4" s="87" t="s">
        <v>460</v>
      </c>
      <c r="Y4" s="87" t="s">
        <v>461</v>
      </c>
      <c r="Z4" s="87" t="s">
        <v>462</v>
      </c>
      <c r="AA4" s="87" t="s">
        <v>464</v>
      </c>
      <c r="AB4" s="87" t="s">
        <v>466</v>
      </c>
      <c r="AC4" s="87" t="s">
        <v>467</v>
      </c>
      <c r="AD4" s="87" t="s">
        <v>469</v>
      </c>
      <c r="AE4" s="87" t="s">
        <v>470</v>
      </c>
      <c r="AF4" s="87" t="s">
        <v>471</v>
      </c>
      <c r="AG4" s="87" t="s">
        <v>472</v>
      </c>
      <c r="AI4" s="87" t="s">
        <v>530</v>
      </c>
      <c r="AJ4" s="87" t="s">
        <v>447</v>
      </c>
      <c r="AK4" s="87" t="s">
        <v>448</v>
      </c>
      <c r="AL4" s="87" t="s">
        <v>449</v>
      </c>
      <c r="AM4" s="87" t="s">
        <v>450</v>
      </c>
      <c r="AN4" s="87" t="s">
        <v>451</v>
      </c>
      <c r="AO4" s="87" t="s">
        <v>452</v>
      </c>
      <c r="AP4" s="87" t="s">
        <v>453</v>
      </c>
      <c r="AQ4" s="87" t="s">
        <v>456</v>
      </c>
      <c r="AR4" s="87" t="s">
        <v>457</v>
      </c>
      <c r="AS4" s="87" t="s">
        <v>458</v>
      </c>
      <c r="AT4" s="87" t="s">
        <v>459</v>
      </c>
      <c r="AU4" s="87" t="s">
        <v>460</v>
      </c>
      <c r="AV4" s="87" t="s">
        <v>461</v>
      </c>
      <c r="AW4" s="87" t="s">
        <v>462</v>
      </c>
      <c r="AX4" s="87" t="s">
        <v>464</v>
      </c>
      <c r="AY4" s="87" t="s">
        <v>466</v>
      </c>
      <c r="AZ4" s="87" t="s">
        <v>467</v>
      </c>
      <c r="BA4" s="87" t="s">
        <v>469</v>
      </c>
      <c r="BB4" s="87" t="s">
        <v>470</v>
      </c>
      <c r="BC4" s="87" t="s">
        <v>471</v>
      </c>
      <c r="BD4" s="87" t="s">
        <v>472</v>
      </c>
    </row>
    <row r="5" spans="1:56" ht="11.25" customHeight="1" x14ac:dyDescent="0.25">
      <c r="A5" s="134" t="s">
        <v>33</v>
      </c>
      <c r="B5" s="134" t="s">
        <v>41</v>
      </c>
      <c r="C5" s="134" t="s">
        <v>25</v>
      </c>
      <c r="D5" s="134" t="s">
        <v>25</v>
      </c>
      <c r="E5" s="134" t="s">
        <v>25</v>
      </c>
      <c r="F5" s="134" t="s">
        <v>25</v>
      </c>
      <c r="G5" s="21" t="s">
        <v>77</v>
      </c>
      <c r="H5" s="21" t="s">
        <v>76</v>
      </c>
      <c r="I5" s="21">
        <f>'MERCADO TUSD'!$U$2</f>
        <v>384</v>
      </c>
      <c r="J5" s="17"/>
      <c r="L5" s="86">
        <f>('TUSD BE'!$L$5+'TUSD BF'!$L$5+'TUSD CVA'!$L$5)*1</f>
        <v>0</v>
      </c>
      <c r="M5" s="86">
        <f>('TUSD BE'!$M$5+'TUSD BF'!$M$5+'TUSD CVA'!$M$5)*1</f>
        <v>0</v>
      </c>
      <c r="N5" s="86">
        <f ca="1">('TUSD BE'!$N$5+'TUSD BF'!$N$5+'TUSD CVA'!$N$5)*1</f>
        <v>0</v>
      </c>
      <c r="O5" s="86">
        <f>('TUSD BE'!$O$5+'TUSD BF'!$O$5+'TUSD CVA'!$O$5)*1</f>
        <v>0</v>
      </c>
      <c r="P5" s="86">
        <f>('TUSD BE'!$P$5+'TUSD BF'!$P$5+'TUSD CVA'!$P$5)*1</f>
        <v>0</v>
      </c>
      <c r="Q5" s="86">
        <f>('TUSD BE'!$Q$5+'TUSD BF'!$Q$5+'TUSD CVA'!$Q$5)*1</f>
        <v>0</v>
      </c>
      <c r="R5" s="86">
        <f>('TUSD BE'!$R$5+'TUSD BF'!$R$5+'TUSD CVA'!$R$5)*1</f>
        <v>0</v>
      </c>
      <c r="S5" s="86">
        <f>('TUSD BE'!$S$5+'TUSD BF'!$S$5+'TUSD CVA'!$S$5)*1</f>
        <v>0</v>
      </c>
      <c r="T5" s="86">
        <f>('TUSD BE'!$U$5+'TUSD BF'!$U$5+'TUSD CVA'!$U$5)*1</f>
        <v>0</v>
      </c>
      <c r="U5" s="86">
        <f>('TUSD BE'!$V$5+'TUSD BF'!$V$5+'TUSD CVA'!$V$5)*1</f>
        <v>0</v>
      </c>
      <c r="V5" s="86">
        <f>('TUSD BE'!$W$5+'TUSD BF'!$W$5+'TUSD CVA'!$W$5)*1</f>
        <v>0</v>
      </c>
      <c r="W5" s="86">
        <f>('TUSD BE'!$X$5+'TUSD BF'!$X$5+'TUSD CVA'!$X$5)*1</f>
        <v>0</v>
      </c>
      <c r="X5" s="86">
        <f>('TUSD BE'!$Y$5+'TUSD BF'!$Y$5+'TUSD CVA'!$Y$5)*1</f>
        <v>66.651116391428587</v>
      </c>
      <c r="Y5" s="86">
        <f>('TUSD BE'!$Z$5+'TUSD BF'!$Z$5+'TUSD CVA'!$Z$5)*1</f>
        <v>0</v>
      </c>
      <c r="Z5" s="86">
        <f>('TUSD BE'!$AA$5+'TUSD BF'!$AA$5+'TUSD CVA'!$AA$5)*1</f>
        <v>0</v>
      </c>
      <c r="AA5" s="86">
        <f>('TUSD BE'!$AC$5+'TUSD BF'!$AC$5+'TUSD CVA'!$AC$5)*1</f>
        <v>130.99471621256683</v>
      </c>
      <c r="AB5" s="86">
        <f ca="1">('TUSD BE'!$AE$5+'TUSD BF'!$AE$5+'TUSD CVA'!$AE$5)*1</f>
        <v>0</v>
      </c>
      <c r="AC5" s="86">
        <f ca="1">('TUSD BE'!$AF$5+'TUSD BF'!$AF$5+'TUSD CVA'!$AF$5)*1</f>
        <v>0</v>
      </c>
      <c r="AD5" s="86">
        <f>('TUSD BE'!$AH$5+'TUSD BF'!$AH$5+'TUSD CVA'!$AH$5)*1</f>
        <v>0</v>
      </c>
      <c r="AE5" s="86">
        <f>('TUSD BE'!$AI$5+'TUSD BF'!$AI$5+'TUSD CVA'!$AI$5)*1</f>
        <v>0</v>
      </c>
      <c r="AF5" s="86">
        <f ca="1">('TUSD BE'!$AJ$5+'TUSD BF'!$AJ$5+'TUSD CVA'!$AJ$5)*1</f>
        <v>0</v>
      </c>
      <c r="AG5" s="86">
        <f ca="1">('TUSD BE'!$AK$5+'TUSD BF'!$AK$5+'TUSD CVA'!$AK$5)*1</f>
        <v>0</v>
      </c>
      <c r="AI5" s="86">
        <v>0</v>
      </c>
      <c r="AJ5" s="86">
        <v>0</v>
      </c>
      <c r="AK5" s="86">
        <v>0</v>
      </c>
      <c r="AL5" s="86">
        <v>0</v>
      </c>
      <c r="AM5" s="86">
        <v>0</v>
      </c>
      <c r="AN5" s="86">
        <v>0</v>
      </c>
      <c r="AO5" s="86">
        <v>0</v>
      </c>
      <c r="AP5" s="86">
        <v>0</v>
      </c>
      <c r="AQ5" s="86">
        <v>0</v>
      </c>
      <c r="AR5" s="86">
        <v>0</v>
      </c>
      <c r="AS5" s="86">
        <v>0</v>
      </c>
      <c r="AT5" s="86">
        <v>0</v>
      </c>
      <c r="AU5" s="86">
        <v>50.855494938397499</v>
      </c>
      <c r="AV5" s="86">
        <v>0</v>
      </c>
      <c r="AW5" s="86">
        <v>0</v>
      </c>
      <c r="AX5" s="86">
        <v>111.389700259913</v>
      </c>
      <c r="AY5" s="86">
        <v>1.8131978024695701</v>
      </c>
      <c r="AZ5" s="86">
        <v>0</v>
      </c>
      <c r="BA5" s="86">
        <v>0</v>
      </c>
      <c r="BB5" s="86">
        <v>0</v>
      </c>
      <c r="BC5" s="86">
        <v>0</v>
      </c>
      <c r="BD5" s="86">
        <v>0</v>
      </c>
    </row>
    <row r="6" spans="1:56" ht="11.25" customHeight="1" x14ac:dyDescent="0.25">
      <c r="A6" s="134"/>
      <c r="B6" s="134"/>
      <c r="C6" s="134"/>
      <c r="D6" s="134"/>
      <c r="E6" s="134"/>
      <c r="F6" s="134"/>
      <c r="G6" s="21" t="s">
        <v>78</v>
      </c>
      <c r="H6" s="21" t="s">
        <v>76</v>
      </c>
      <c r="I6" s="21">
        <f>'MERCADO TUSD'!$U$3</f>
        <v>1095</v>
      </c>
      <c r="J6" s="17"/>
      <c r="L6" s="86">
        <f>('TUSD BE'!$L$6+'TUSD BF'!$L$6+'TUSD CVA'!$L$6)*1</f>
        <v>0</v>
      </c>
      <c r="M6" s="86">
        <f>('TUSD BE'!$M$6+'TUSD BF'!$M$6+'TUSD CVA'!$M$6)*1</f>
        <v>0</v>
      </c>
      <c r="N6" s="86">
        <f ca="1">('TUSD BE'!$N$6+'TUSD BF'!$N$6+'TUSD CVA'!$N$6)*1</f>
        <v>0</v>
      </c>
      <c r="O6" s="86">
        <f>('TUSD BE'!$O$6+'TUSD BF'!$O$6+'TUSD CVA'!$O$6)*1</f>
        <v>0</v>
      </c>
      <c r="P6" s="86">
        <f>('TUSD BE'!$P$6+'TUSD BF'!$P$6+'TUSD CVA'!$P$6)*1</f>
        <v>0</v>
      </c>
      <c r="Q6" s="86">
        <f>('TUSD BE'!$Q$6+'TUSD BF'!$Q$6+'TUSD CVA'!$Q$6)*1</f>
        <v>0</v>
      </c>
      <c r="R6" s="86">
        <f>('TUSD BE'!$R$6+'TUSD BF'!$R$6+'TUSD CVA'!$R$6)*1</f>
        <v>0</v>
      </c>
      <c r="S6" s="86">
        <f>('TUSD BE'!$S$6+'TUSD BF'!$S$6+'TUSD CVA'!$S$6)*1</f>
        <v>0</v>
      </c>
      <c r="T6" s="86">
        <f>('TUSD BE'!$U$6+'TUSD BF'!$U$6+'TUSD CVA'!$U$6)*1</f>
        <v>0</v>
      </c>
      <c r="U6" s="86">
        <f>('TUSD BE'!$V$6+'TUSD BF'!$V$6+'TUSD CVA'!$V$6)*1</f>
        <v>0</v>
      </c>
      <c r="V6" s="86">
        <f>('TUSD BE'!$W$6+'TUSD BF'!$W$6+'TUSD CVA'!$W$6)*1</f>
        <v>0</v>
      </c>
      <c r="W6" s="86">
        <f>('TUSD BE'!$X$6+'TUSD BF'!$X$6+'TUSD CVA'!$X$6)*1</f>
        <v>0</v>
      </c>
      <c r="X6" s="86">
        <f>('TUSD BE'!$Y$6+'TUSD BF'!$Y$6+'TUSD CVA'!$Y$6)*1</f>
        <v>36.182236191574297</v>
      </c>
      <c r="Y6" s="86">
        <f>('TUSD BE'!$Z$6+'TUSD BF'!$Z$6+'TUSD CVA'!$Z$6)*1</f>
        <v>0</v>
      </c>
      <c r="Z6" s="86">
        <f>('TUSD BE'!$AA$6+'TUSD BF'!$AA$6+'TUSD CVA'!$AA$6)*1</f>
        <v>0</v>
      </c>
      <c r="AA6" s="86">
        <f>('TUSD BE'!$AC$6+'TUSD BF'!$AC$6+'TUSD CVA'!$AC$6)*1</f>
        <v>41.787820555286487</v>
      </c>
      <c r="AB6" s="86">
        <f ca="1">('TUSD BE'!$AE$6+'TUSD BF'!$AE$6+'TUSD CVA'!$AE$6)*1</f>
        <v>0</v>
      </c>
      <c r="AC6" s="86">
        <f ca="1">('TUSD BE'!$AF$6+'TUSD BF'!$AF$6+'TUSD CVA'!$AF$6)*1</f>
        <v>0</v>
      </c>
      <c r="AD6" s="86">
        <f>('TUSD BE'!$AH$6+'TUSD BF'!$AH$6+'TUSD CVA'!$AH$6)*1</f>
        <v>0</v>
      </c>
      <c r="AE6" s="86">
        <f>('TUSD BE'!$AI$6+'TUSD BF'!$AI$6+'TUSD CVA'!$AI$6)*1</f>
        <v>0</v>
      </c>
      <c r="AF6" s="86">
        <f ca="1">('TUSD BE'!$AJ$6+'TUSD BF'!$AJ$6+'TUSD CVA'!$AJ$6)*1</f>
        <v>0</v>
      </c>
      <c r="AG6" s="86">
        <f ca="1">('TUSD BE'!$AK$6+'TUSD BF'!$AK$6+'TUSD CVA'!$AK$6)*1</f>
        <v>0</v>
      </c>
      <c r="AI6" s="86">
        <v>0</v>
      </c>
      <c r="AJ6" s="86">
        <v>0</v>
      </c>
      <c r="AK6" s="86">
        <v>0</v>
      </c>
      <c r="AL6" s="86">
        <v>0</v>
      </c>
      <c r="AM6" s="86">
        <v>0</v>
      </c>
      <c r="AN6" s="86">
        <v>0</v>
      </c>
      <c r="AO6" s="86">
        <v>0</v>
      </c>
      <c r="AP6" s="86">
        <v>0</v>
      </c>
      <c r="AQ6" s="86">
        <v>0</v>
      </c>
      <c r="AR6" s="86">
        <v>0</v>
      </c>
      <c r="AS6" s="86">
        <v>0</v>
      </c>
      <c r="AT6" s="86">
        <v>0</v>
      </c>
      <c r="AU6" s="86">
        <v>27.607909198429098</v>
      </c>
      <c r="AV6" s="86">
        <v>0</v>
      </c>
      <c r="AW6" s="86">
        <v>0</v>
      </c>
      <c r="AX6" s="86">
        <v>35.533641826843898</v>
      </c>
      <c r="AY6" s="86">
        <v>0.68560924101293896</v>
      </c>
      <c r="AZ6" s="86">
        <v>0</v>
      </c>
      <c r="BA6" s="86">
        <v>0</v>
      </c>
      <c r="BB6" s="86">
        <v>0</v>
      </c>
      <c r="BC6" s="86">
        <v>0</v>
      </c>
      <c r="BD6" s="86">
        <v>0</v>
      </c>
    </row>
    <row r="7" spans="1:56" ht="11.25" customHeight="1" x14ac:dyDescent="0.25">
      <c r="A7" s="134"/>
      <c r="B7" s="134"/>
      <c r="C7" s="134"/>
      <c r="D7" s="134"/>
      <c r="E7" s="134"/>
      <c r="F7" s="134"/>
      <c r="G7" s="21" t="s">
        <v>75</v>
      </c>
      <c r="H7" s="21" t="s">
        <v>71</v>
      </c>
      <c r="I7" s="21">
        <f>'MERCADO TUSD'!$U$4</f>
        <v>680.02800000000002</v>
      </c>
      <c r="J7" s="17"/>
      <c r="L7" s="86">
        <f>('TUSD BE'!$L$7+'TUSD BF'!$L$7+'TUSD CVA'!$L$7)*1</f>
        <v>19.888161566657029</v>
      </c>
      <c r="M7" s="86">
        <f>('TUSD BE'!$M$7+'TUSD BF'!$M$7+'TUSD CVA'!$M$7)*1</f>
        <v>1.6778632853872388</v>
      </c>
      <c r="N7" s="86">
        <f ca="1">('TUSD BE'!$N$7+'TUSD BF'!$N$7+'TUSD CVA'!$N$7)*1</f>
        <v>0</v>
      </c>
      <c r="O7" s="86">
        <f>('TUSD BE'!$O$7+'TUSD BF'!$O$7+'TUSD CVA'!$O$7)*1</f>
        <v>0</v>
      </c>
      <c r="P7" s="86">
        <f>('TUSD BE'!$P$7+'TUSD BF'!$P$7+'TUSD CVA'!$P$7)*1</f>
        <v>0</v>
      </c>
      <c r="Q7" s="86">
        <f>('TUSD BE'!$Q$7+'TUSD BF'!$Q$7+'TUSD CVA'!$Q$7)*1</f>
        <v>78.036650904725292</v>
      </c>
      <c r="R7" s="86">
        <f>('TUSD BE'!$R$7+'TUSD BF'!$R$7+'TUSD CVA'!$R$7)*1</f>
        <v>15.148197729489443</v>
      </c>
      <c r="S7" s="86">
        <f>('TUSD BE'!$S$7+'TUSD BF'!$S$7+'TUSD CVA'!$S$7)*1</f>
        <v>0</v>
      </c>
      <c r="T7" s="86">
        <f>('TUSD BE'!$U$7+'TUSD BF'!$U$7+'TUSD CVA'!$U$7)*1</f>
        <v>0</v>
      </c>
      <c r="U7" s="86">
        <f>('TUSD BE'!$V$7+'TUSD BF'!$V$7+'TUSD CVA'!$V$7)*1</f>
        <v>0</v>
      </c>
      <c r="V7" s="86">
        <f>('TUSD BE'!$W$7+'TUSD BF'!$W$7+'TUSD CVA'!$W$7)*1</f>
        <v>0</v>
      </c>
      <c r="W7" s="86">
        <f>('TUSD BE'!$X$7+'TUSD BF'!$X$7+'TUSD CVA'!$X$7)*1</f>
        <v>0</v>
      </c>
      <c r="X7" s="86">
        <f>('TUSD BE'!$Y$7+'TUSD BF'!$Y$7+'TUSD CVA'!$Y$7)*1</f>
        <v>0</v>
      </c>
      <c r="Y7" s="86">
        <f>('TUSD BE'!$Z$7+'TUSD BF'!$Z$7+'TUSD CVA'!$Z$7)*1</f>
        <v>0</v>
      </c>
      <c r="Z7" s="86">
        <f>('TUSD BE'!$AA$7+'TUSD BF'!$AA$7+'TUSD CVA'!$AA$7)*1</f>
        <v>0</v>
      </c>
      <c r="AA7" s="86">
        <f>('TUSD BE'!$AC$7+'TUSD BF'!$AC$7+'TUSD CVA'!$AC$7)*1</f>
        <v>0</v>
      </c>
      <c r="AB7" s="86">
        <f ca="1">('TUSD BE'!$AE$7+'TUSD BF'!$AE$7+'TUSD CVA'!$AE$7)*1</f>
        <v>0</v>
      </c>
      <c r="AC7" s="86">
        <f ca="1">('TUSD BE'!$AF$7+'TUSD BF'!$AF$7+'TUSD CVA'!$AF$7)*1</f>
        <v>0</v>
      </c>
      <c r="AD7" s="86">
        <f>('TUSD BE'!$AH$7+'TUSD BF'!$AH$7+'TUSD CVA'!$AH$7)*1</f>
        <v>19.366265449486527</v>
      </c>
      <c r="AE7" s="86">
        <f>('TUSD BE'!$AI$7+'TUSD BF'!$AI$7+'TUSD CVA'!$AI$7)*1</f>
        <v>0</v>
      </c>
      <c r="AF7" s="86">
        <f ca="1">('TUSD BE'!$AJ$7+'TUSD BF'!$AJ$7+'TUSD CVA'!$AJ$7)*1</f>
        <v>2.7408515838265086</v>
      </c>
      <c r="AG7" s="86">
        <f ca="1">('TUSD BE'!$AK$7+'TUSD BF'!$AK$7+'TUSD CVA'!$AK$7)*1</f>
        <v>0</v>
      </c>
      <c r="AI7" s="86">
        <v>0</v>
      </c>
      <c r="AJ7" s="86">
        <v>1.3582380015772799</v>
      </c>
      <c r="AK7" s="86">
        <v>7.9642900061998495E-11</v>
      </c>
      <c r="AL7" s="86">
        <v>0</v>
      </c>
      <c r="AM7" s="86">
        <v>0</v>
      </c>
      <c r="AN7" s="86">
        <v>71.651119069004096</v>
      </c>
      <c r="AO7" s="86">
        <v>9.22411180197515</v>
      </c>
      <c r="AP7" s="86">
        <v>0</v>
      </c>
      <c r="AQ7" s="86">
        <v>0</v>
      </c>
      <c r="AR7" s="86">
        <v>0</v>
      </c>
      <c r="AS7" s="86">
        <v>0</v>
      </c>
      <c r="AT7" s="86">
        <v>0</v>
      </c>
      <c r="AU7" s="86">
        <v>0</v>
      </c>
      <c r="AV7" s="86">
        <v>0</v>
      </c>
      <c r="AW7" s="86">
        <v>0</v>
      </c>
      <c r="AX7" s="86">
        <v>0</v>
      </c>
      <c r="AY7" s="86">
        <v>0.97035890148082604</v>
      </c>
      <c r="AZ7" s="86">
        <v>0</v>
      </c>
      <c r="BA7" s="86">
        <v>16.705698007111302</v>
      </c>
      <c r="BB7" s="86">
        <v>0</v>
      </c>
      <c r="BC7" s="86">
        <v>3.3530167712345</v>
      </c>
      <c r="BD7" s="86">
        <v>0</v>
      </c>
    </row>
    <row r="8" spans="1:56" ht="11.25" customHeight="1" x14ac:dyDescent="0.25">
      <c r="A8" s="134"/>
      <c r="B8" s="134"/>
      <c r="C8" s="134"/>
      <c r="D8" s="134"/>
      <c r="E8" s="88" t="s">
        <v>79</v>
      </c>
      <c r="F8" s="88" t="s">
        <v>25</v>
      </c>
      <c r="G8" s="21" t="s">
        <v>75</v>
      </c>
      <c r="H8" s="21" t="s">
        <v>71</v>
      </c>
      <c r="I8" s="21">
        <f>'MERCADO TUSD'!$U$5</f>
        <v>0</v>
      </c>
      <c r="J8" s="17"/>
      <c r="L8" s="86">
        <f>('TUSD BE'!$L$8+'TUSD BF'!$L$8+'TUSD CVA'!$L$8)*1</f>
        <v>0</v>
      </c>
      <c r="M8" s="86">
        <f>('TUSD BE'!$M$8+'TUSD BF'!$M$8+'TUSD CVA'!$M$8)*1</f>
        <v>1.6778632853872388</v>
      </c>
      <c r="N8" s="86">
        <f ca="1">('TUSD BE'!$N$8+'TUSD BF'!$N$8+'TUSD CVA'!$N$8)*1</f>
        <v>0</v>
      </c>
      <c r="O8" s="86">
        <f>('TUSD BE'!$O$8+'TUSD BF'!$O$8+'TUSD CVA'!$O$8)*1</f>
        <v>0</v>
      </c>
      <c r="P8" s="86">
        <f>('TUSD BE'!$P$8+'TUSD BF'!$P$8+'TUSD CVA'!$P$8)*1</f>
        <v>0</v>
      </c>
      <c r="Q8" s="86">
        <f>('TUSD BE'!$Q$8+'TUSD BF'!$Q$8+'TUSD CVA'!$Q$8)*1</f>
        <v>0</v>
      </c>
      <c r="R8" s="86">
        <f>('TUSD BE'!$R$8+'TUSD BF'!$R$8+'TUSD CVA'!$R$8)*1</f>
        <v>0</v>
      </c>
      <c r="S8" s="86">
        <f>('TUSD BE'!$S$8+'TUSD BF'!$S$8+'TUSD CVA'!$S$8)*1</f>
        <v>0</v>
      </c>
      <c r="T8" s="86">
        <f>('TUSD BE'!$U$8+'TUSD BF'!$U$8+'TUSD CVA'!$U$8)*1</f>
        <v>0</v>
      </c>
      <c r="U8" s="86">
        <f>('TUSD BE'!$V$8+'TUSD BF'!$V$8+'TUSD CVA'!$V$8)*1</f>
        <v>0</v>
      </c>
      <c r="V8" s="86">
        <f>('TUSD BE'!$W$8+'TUSD BF'!$W$8+'TUSD CVA'!$W$8)*1</f>
        <v>0</v>
      </c>
      <c r="W8" s="86">
        <f>('TUSD BE'!$X$8+'TUSD BF'!$X$8+'TUSD CVA'!$X$8)*1</f>
        <v>0</v>
      </c>
      <c r="X8" s="86">
        <f>('TUSD BE'!$Y$8+'TUSD BF'!$Y$8+'TUSD CVA'!$Y$8)*1</f>
        <v>0</v>
      </c>
      <c r="Y8" s="86">
        <f>('TUSD BE'!$Z$8+'TUSD BF'!$Z$8+'TUSD CVA'!$Z$8)*1</f>
        <v>0</v>
      </c>
      <c r="Z8" s="86">
        <f>('TUSD BE'!$AA$8+'TUSD BF'!$AA$8+'TUSD CVA'!$AA$8)*1</f>
        <v>0</v>
      </c>
      <c r="AA8" s="86">
        <f>('TUSD BE'!$AC$8+'TUSD BF'!$AC$8+'TUSD CVA'!$AC$8)*1</f>
        <v>0</v>
      </c>
      <c r="AB8" s="86">
        <f ca="1">('TUSD BE'!$AE$8+'TUSD BF'!$AE$8+'TUSD CVA'!$AE$8)*1</f>
        <v>0</v>
      </c>
      <c r="AC8" s="86">
        <f ca="1">('TUSD BE'!$AF$8+'TUSD BF'!$AF$8+'TUSD CVA'!$AF$8)*1</f>
        <v>0</v>
      </c>
      <c r="AD8" s="86">
        <f>('TUSD BE'!$AH$8+'TUSD BF'!$AH$8+'TUSD CVA'!$AH$8)*1</f>
        <v>19.366265449486527</v>
      </c>
      <c r="AE8" s="86">
        <f>('TUSD BE'!$AI$8+'TUSD BF'!$AI$8+'TUSD CVA'!$AI$8)*1</f>
        <v>0</v>
      </c>
      <c r="AF8" s="86">
        <f ca="1">('TUSD BE'!$AJ$8+'TUSD BF'!$AJ$8+'TUSD CVA'!$AJ$8)*1</f>
        <v>2.7408515838265086</v>
      </c>
      <c r="AG8" s="86">
        <f ca="1">('TUSD BE'!$AK$8+'TUSD BF'!$AK$8+'TUSD CVA'!$AK$8)*1</f>
        <v>0</v>
      </c>
      <c r="AI8" s="86">
        <v>0</v>
      </c>
      <c r="AJ8" s="86">
        <v>1.3582380015772799</v>
      </c>
      <c r="AK8" s="86">
        <v>7.6283684845428399E-11</v>
      </c>
      <c r="AL8" s="86">
        <v>0</v>
      </c>
      <c r="AM8" s="86">
        <v>0</v>
      </c>
      <c r="AN8" s="86">
        <v>0</v>
      </c>
      <c r="AO8" s="86">
        <v>0</v>
      </c>
      <c r="AP8" s="86">
        <v>0</v>
      </c>
      <c r="AQ8" s="86">
        <v>0</v>
      </c>
      <c r="AR8" s="86">
        <v>0</v>
      </c>
      <c r="AS8" s="86">
        <v>0</v>
      </c>
      <c r="AT8" s="86">
        <v>0</v>
      </c>
      <c r="AU8" s="86">
        <v>0</v>
      </c>
      <c r="AV8" s="86">
        <v>0</v>
      </c>
      <c r="AW8" s="86">
        <v>0</v>
      </c>
      <c r="AX8" s="86">
        <v>0</v>
      </c>
      <c r="AY8" s="86">
        <v>0.15685946808782</v>
      </c>
      <c r="AZ8" s="86">
        <v>0</v>
      </c>
      <c r="BA8" s="86">
        <v>16.705698007111302</v>
      </c>
      <c r="BB8" s="86">
        <v>0</v>
      </c>
      <c r="BC8" s="86">
        <v>3.3530167712345</v>
      </c>
      <c r="BD8" s="86">
        <v>0</v>
      </c>
    </row>
    <row r="9" spans="1:56" ht="11.25" customHeight="1" x14ac:dyDescent="0.25">
      <c r="A9" s="134"/>
      <c r="B9" s="88" t="s">
        <v>80</v>
      </c>
      <c r="C9" s="88" t="s">
        <v>25</v>
      </c>
      <c r="D9" s="88" t="s">
        <v>25</v>
      </c>
      <c r="E9" s="88" t="s">
        <v>25</v>
      </c>
      <c r="F9" s="88" t="s">
        <v>25</v>
      </c>
      <c r="G9" s="21" t="s">
        <v>9</v>
      </c>
      <c r="H9" s="21" t="s">
        <v>76</v>
      </c>
      <c r="I9" s="21">
        <f>'MERCADO TUSD'!$U$6</f>
        <v>0</v>
      </c>
      <c r="J9" s="17"/>
      <c r="L9" s="86">
        <f>('TUSD BE'!$L$9+'TUSD BF'!$L$9+'TUSD CVA'!$L$9)*1</f>
        <v>0</v>
      </c>
      <c r="M9" s="86">
        <f>('TUSD BE'!$M$9+'TUSD BF'!$M$9+'TUSD CVA'!$M$9)*1</f>
        <v>2.8774804382664488E-2</v>
      </c>
      <c r="N9" s="86">
        <f ca="1">('TUSD BE'!$N$9+'TUSD BF'!$N$9+'TUSD CVA'!$N$9)*1</f>
        <v>0</v>
      </c>
      <c r="O9" s="86">
        <f>('TUSD BE'!$O$9+'TUSD BF'!$O$9+'TUSD CVA'!$O$9)*1</f>
        <v>0</v>
      </c>
      <c r="P9" s="86">
        <f>('TUSD BE'!$P$9+'TUSD BF'!$P$9+'TUSD CVA'!$P$9)*1</f>
        <v>0</v>
      </c>
      <c r="Q9" s="86">
        <f>('TUSD BE'!$Q$9+'TUSD BF'!$Q$9+'TUSD CVA'!$Q$9)*1</f>
        <v>0</v>
      </c>
      <c r="R9" s="86">
        <f>('TUSD BE'!$R$9+'TUSD BF'!$R$9+'TUSD CVA'!$R$9)*1</f>
        <v>0</v>
      </c>
      <c r="S9" s="86">
        <f>('TUSD BE'!$S$9+'TUSD BF'!$S$9+'TUSD CVA'!$S$9)*1</f>
        <v>0</v>
      </c>
      <c r="T9" s="86">
        <f>('TUSD BE'!$U$9+'TUSD BF'!$U$9+'TUSD CVA'!$U$9)*1</f>
        <v>0</v>
      </c>
      <c r="U9" s="86">
        <f>('TUSD BE'!$V$9+'TUSD BF'!$V$9+'TUSD CVA'!$V$9)*1</f>
        <v>0</v>
      </c>
      <c r="V9" s="86">
        <f>('TUSD BE'!$W$9+'TUSD BF'!$W$9+'TUSD CVA'!$W$9)*1</f>
        <v>0</v>
      </c>
      <c r="W9" s="86">
        <f>('TUSD BE'!$X$9+'TUSD BF'!$X$9+'TUSD CVA'!$X$9)*1</f>
        <v>0</v>
      </c>
      <c r="X9" s="86">
        <f>('TUSD BE'!$Y$9+'TUSD BF'!$Y$9+'TUSD CVA'!$Y$9)*1</f>
        <v>0</v>
      </c>
      <c r="Y9" s="86">
        <f>('TUSD BE'!$Z$9+'TUSD BF'!$Z$9+'TUSD CVA'!$Z$9)*1</f>
        <v>0</v>
      </c>
      <c r="Z9" s="86">
        <f>('TUSD BE'!$AA$9+'TUSD BF'!$AA$9+'TUSD CVA'!$AA$9)*1</f>
        <v>0</v>
      </c>
      <c r="AA9" s="86">
        <f>('TUSD BE'!$AC$9+'TUSD BF'!$AC$9+'TUSD CVA'!$AC$9)*1</f>
        <v>18.088396066980891</v>
      </c>
      <c r="AB9" s="86">
        <f ca="1">('TUSD BE'!$AE$9+'TUSD BF'!$AE$9+'TUSD CVA'!$AE$9)*1</f>
        <v>0</v>
      </c>
      <c r="AC9" s="86">
        <f ca="1">('TUSD BE'!$AF$9+'TUSD BF'!$AF$9+'TUSD CVA'!$AF$9)*1</f>
        <v>0</v>
      </c>
      <c r="AD9" s="86">
        <f>('TUSD BE'!$AH$9+'TUSD BF'!$AH$9+'TUSD CVA'!$AH$9)*1</f>
        <v>0</v>
      </c>
      <c r="AE9" s="86">
        <f>('TUSD BE'!$AI$9+'TUSD BF'!$AI$9+'TUSD CVA'!$AI$9)*1</f>
        <v>0</v>
      </c>
      <c r="AF9" s="86">
        <f ca="1">('TUSD BE'!$AJ$9+'TUSD BF'!$AJ$9+'TUSD CVA'!$AJ$9)*1</f>
        <v>0</v>
      </c>
      <c r="AG9" s="86">
        <f ca="1">('TUSD BE'!$AK$9+'TUSD BF'!$AK$9+'TUSD CVA'!$AK$9)*1</f>
        <v>0</v>
      </c>
      <c r="AI9" s="86">
        <v>0</v>
      </c>
      <c r="AJ9" s="86">
        <v>0</v>
      </c>
      <c r="AK9" s="86">
        <v>0</v>
      </c>
      <c r="AL9" s="86">
        <v>0</v>
      </c>
      <c r="AM9" s="86">
        <v>0</v>
      </c>
      <c r="AN9" s="86">
        <v>0</v>
      </c>
      <c r="AO9" s="86">
        <v>0</v>
      </c>
      <c r="AP9" s="86">
        <v>0</v>
      </c>
      <c r="AQ9" s="86">
        <v>0</v>
      </c>
      <c r="AR9" s="86">
        <v>0</v>
      </c>
      <c r="AS9" s="86">
        <v>0</v>
      </c>
      <c r="AT9" s="86">
        <v>0</v>
      </c>
      <c r="AU9" s="86">
        <v>0</v>
      </c>
      <c r="AV9" s="86">
        <v>0</v>
      </c>
      <c r="AW9" s="86">
        <v>0</v>
      </c>
      <c r="AX9" s="86">
        <v>11.5590262771629</v>
      </c>
      <c r="AY9" s="86">
        <v>0.141520955766893</v>
      </c>
      <c r="AZ9" s="86">
        <v>0</v>
      </c>
      <c r="BA9" s="86">
        <v>0.42858557534865899</v>
      </c>
      <c r="BB9" s="86">
        <v>0</v>
      </c>
      <c r="BC9" s="86">
        <v>0</v>
      </c>
      <c r="BD9" s="86">
        <v>0</v>
      </c>
    </row>
    <row r="10" spans="1:56" ht="11.25" customHeight="1" x14ac:dyDescent="0.25">
      <c r="A10" s="134"/>
      <c r="B10" s="134" t="s">
        <v>34</v>
      </c>
      <c r="C10" s="134" t="s">
        <v>25</v>
      </c>
      <c r="D10" s="134" t="s">
        <v>25</v>
      </c>
      <c r="E10" s="134" t="s">
        <v>25</v>
      </c>
      <c r="F10" s="134" t="s">
        <v>25</v>
      </c>
      <c r="G10" s="21" t="s">
        <v>9</v>
      </c>
      <c r="H10" s="21" t="s">
        <v>76</v>
      </c>
      <c r="I10" s="21">
        <f>'MERCADO TUSD'!$U$7</f>
        <v>17227</v>
      </c>
      <c r="J10" s="17"/>
      <c r="L10" s="86">
        <f>('TUSD BE'!$L$10+'TUSD BF'!$L$10+'TUSD CVA'!$L$10)*1</f>
        <v>0</v>
      </c>
      <c r="M10" s="86">
        <f>('TUSD BE'!$M$10+'TUSD BF'!$M$10+'TUSD CVA'!$M$10)*1</f>
        <v>0</v>
      </c>
      <c r="N10" s="86">
        <f ca="1">('TUSD BE'!$N$10+'TUSD BF'!$N$10+'TUSD CVA'!$N$10)*1</f>
        <v>0</v>
      </c>
      <c r="O10" s="86">
        <f>('TUSD BE'!$O$10+'TUSD BF'!$O$10+'TUSD CVA'!$O$10)*1</f>
        <v>0</v>
      </c>
      <c r="P10" s="86">
        <f>('TUSD BE'!$P$10+'TUSD BF'!$P$10+'TUSD CVA'!$P$10)*1</f>
        <v>0</v>
      </c>
      <c r="Q10" s="86">
        <f>('TUSD BE'!$Q$10+'TUSD BF'!$Q$10+'TUSD CVA'!$Q$10)*1</f>
        <v>0</v>
      </c>
      <c r="R10" s="86">
        <f>('TUSD BE'!$R$10+'TUSD BF'!$R$10+'TUSD CVA'!$R$10)*1</f>
        <v>0</v>
      </c>
      <c r="S10" s="86">
        <f>('TUSD BE'!$S$10+'TUSD BF'!$S$10+'TUSD CVA'!$S$10)*1</f>
        <v>0</v>
      </c>
      <c r="T10" s="86">
        <f>('TUSD BE'!$U$10+'TUSD BF'!$U$10+'TUSD CVA'!$U$10)*1</f>
        <v>0</v>
      </c>
      <c r="U10" s="86">
        <f>('TUSD BE'!$V$10+'TUSD BF'!$V$10+'TUSD CVA'!$V$10)*1</f>
        <v>0</v>
      </c>
      <c r="V10" s="86">
        <f>('TUSD BE'!$W$10+'TUSD BF'!$W$10+'TUSD CVA'!$W$10)*1</f>
        <v>0</v>
      </c>
      <c r="W10" s="86">
        <f>('TUSD BE'!$X$10+'TUSD BF'!$X$10+'TUSD CVA'!$X$10)*1</f>
        <v>0</v>
      </c>
      <c r="X10" s="86">
        <f>('TUSD BE'!$Y$10+'TUSD BF'!$Y$10+'TUSD CVA'!$Y$10)*1</f>
        <v>36.182236191574297</v>
      </c>
      <c r="Y10" s="86">
        <f>('TUSD BE'!$Z$10+'TUSD BF'!$Z$10+'TUSD CVA'!$Z$10)*1</f>
        <v>0</v>
      </c>
      <c r="Z10" s="86">
        <f>('TUSD BE'!$AA$10+'TUSD BF'!$AA$10+'TUSD CVA'!$AA$10)*1</f>
        <v>0</v>
      </c>
      <c r="AA10" s="86">
        <f>('TUSD BE'!$AC$10+'TUSD BF'!$AC$10+'TUSD CVA'!$AC$10)*1</f>
        <v>41.787820555286487</v>
      </c>
      <c r="AB10" s="86">
        <f ca="1">('TUSD BE'!$AE$10+'TUSD BF'!$AE$10+'TUSD CVA'!$AE$10)*1</f>
        <v>0</v>
      </c>
      <c r="AC10" s="86">
        <f ca="1">('TUSD BE'!$AF$10+'TUSD BF'!$AF$10+'TUSD CVA'!$AF$10)*1</f>
        <v>0</v>
      </c>
      <c r="AD10" s="86">
        <f>('TUSD BE'!$AH$10+'TUSD BF'!$AH$10+'TUSD CVA'!$AH$10)*1</f>
        <v>0</v>
      </c>
      <c r="AE10" s="86">
        <f>('TUSD BE'!$AI$10+'TUSD BF'!$AI$10+'TUSD CVA'!$AI$10)*1</f>
        <v>0</v>
      </c>
      <c r="AF10" s="86">
        <f ca="1">('TUSD BE'!$AJ$10+'TUSD BF'!$AJ$10+'TUSD CVA'!$AJ$10)*1</f>
        <v>0</v>
      </c>
      <c r="AG10" s="86">
        <f ca="1">('TUSD BE'!$AK$10+'TUSD BF'!$AK$10+'TUSD CVA'!$AK$10)*1</f>
        <v>0</v>
      </c>
      <c r="AI10" s="86">
        <v>0</v>
      </c>
      <c r="AJ10" s="86">
        <v>0</v>
      </c>
      <c r="AK10" s="86">
        <v>0</v>
      </c>
      <c r="AL10" s="86">
        <v>0</v>
      </c>
      <c r="AM10" s="86">
        <v>0</v>
      </c>
      <c r="AN10" s="86">
        <v>0</v>
      </c>
      <c r="AO10" s="86">
        <v>0</v>
      </c>
      <c r="AP10" s="86">
        <v>0</v>
      </c>
      <c r="AQ10" s="86">
        <v>0</v>
      </c>
      <c r="AR10" s="86">
        <v>0</v>
      </c>
      <c r="AS10" s="86">
        <v>0</v>
      </c>
      <c r="AT10" s="86">
        <v>0</v>
      </c>
      <c r="AU10" s="86">
        <v>27.607909198429098</v>
      </c>
      <c r="AV10" s="86">
        <v>0</v>
      </c>
      <c r="AW10" s="86">
        <v>0</v>
      </c>
      <c r="AX10" s="86">
        <v>35.533641826843898</v>
      </c>
      <c r="AY10" s="86">
        <v>0.68560924101293896</v>
      </c>
      <c r="AZ10" s="86">
        <v>0</v>
      </c>
      <c r="BA10" s="86">
        <v>0</v>
      </c>
      <c r="BB10" s="86">
        <v>0</v>
      </c>
      <c r="BC10" s="86">
        <v>0</v>
      </c>
      <c r="BD10" s="86">
        <v>0</v>
      </c>
    </row>
    <row r="11" spans="1:56" ht="11.25" customHeight="1" x14ac:dyDescent="0.25">
      <c r="A11" s="134"/>
      <c r="B11" s="134"/>
      <c r="C11" s="134"/>
      <c r="D11" s="134"/>
      <c r="E11" s="134"/>
      <c r="F11" s="134"/>
      <c r="G11" s="21" t="s">
        <v>72</v>
      </c>
      <c r="H11" s="21" t="s">
        <v>71</v>
      </c>
      <c r="I11" s="21">
        <f>'MERCADO TUSD'!$U$8</f>
        <v>96.685999999999993</v>
      </c>
      <c r="J11" s="17"/>
      <c r="L11" s="86">
        <f>('TUSD BE'!$L$11+'TUSD BF'!$L$11+'TUSD CVA'!$L$11)*1</f>
        <v>19.888161566657029</v>
      </c>
      <c r="M11" s="86">
        <f>('TUSD BE'!$M$11+'TUSD BF'!$M$11+'TUSD CVA'!$M$11)*1</f>
        <v>1.6778632853872388</v>
      </c>
      <c r="N11" s="86">
        <f ca="1">('TUSD BE'!$N$11+'TUSD BF'!$N$11+'TUSD CVA'!$N$11)*1</f>
        <v>0</v>
      </c>
      <c r="O11" s="86">
        <f>('TUSD BE'!$O$11+'TUSD BF'!$O$11+'TUSD CVA'!$O$11)*1</f>
        <v>0</v>
      </c>
      <c r="P11" s="86">
        <f>('TUSD BE'!$P$11+'TUSD BF'!$P$11+'TUSD CVA'!$P$11)*1</f>
        <v>0</v>
      </c>
      <c r="Q11" s="86">
        <f>('TUSD BE'!$Q$11+'TUSD BF'!$Q$11+'TUSD CVA'!$Q$11)*1</f>
        <v>78.036650904725292</v>
      </c>
      <c r="R11" s="86">
        <f>('TUSD BE'!$R$11+'TUSD BF'!$R$11+'TUSD CVA'!$R$11)*1</f>
        <v>15.148197729489443</v>
      </c>
      <c r="S11" s="86">
        <f>('TUSD BE'!$S$11+'TUSD BF'!$S$11+'TUSD CVA'!$S$11)*1</f>
        <v>0</v>
      </c>
      <c r="T11" s="86">
        <f>('TUSD BE'!$U$11+'TUSD BF'!$U$11+'TUSD CVA'!$U$11)*1</f>
        <v>0</v>
      </c>
      <c r="U11" s="86">
        <f>('TUSD BE'!$V$11+'TUSD BF'!$V$11+'TUSD CVA'!$V$11)*1</f>
        <v>0</v>
      </c>
      <c r="V11" s="86">
        <f>('TUSD BE'!$W$11+'TUSD BF'!$W$11+'TUSD CVA'!$W$11)*1</f>
        <v>0</v>
      </c>
      <c r="W11" s="86">
        <f>('TUSD BE'!$X$11+'TUSD BF'!$X$11+'TUSD CVA'!$X$11)*1</f>
        <v>0</v>
      </c>
      <c r="X11" s="86">
        <f>('TUSD BE'!$Y$11+'TUSD BF'!$Y$11+'TUSD CVA'!$Y$11)*1</f>
        <v>1602.9738125131701</v>
      </c>
      <c r="Y11" s="86">
        <f>('TUSD BE'!$Z$11+'TUSD BF'!$Z$11+'TUSD CVA'!$Z$11)*1</f>
        <v>0</v>
      </c>
      <c r="Z11" s="86">
        <f>('TUSD BE'!$AA$11+'TUSD BF'!$AA$11+'TUSD CVA'!$AA$11)*1</f>
        <v>0</v>
      </c>
      <c r="AA11" s="86">
        <f>('TUSD BE'!$AC$11+'TUSD BF'!$AC$11+'TUSD CVA'!$AC$11)*1</f>
        <v>3150.4301116418901</v>
      </c>
      <c r="AB11" s="86">
        <f ca="1">('TUSD BE'!$AE$11+'TUSD BF'!$AE$11+'TUSD CVA'!$AE$11)*1</f>
        <v>0</v>
      </c>
      <c r="AC11" s="86">
        <f ca="1">('TUSD BE'!$AF$11+'TUSD BF'!$AF$11+'TUSD CVA'!$AF$11)*1</f>
        <v>0</v>
      </c>
      <c r="AD11" s="86">
        <f>('TUSD BE'!$AH$11+'TUSD BF'!$AH$11+'TUSD CVA'!$AH$11)*1</f>
        <v>19.366265449486527</v>
      </c>
      <c r="AE11" s="86">
        <f>('TUSD BE'!$AI$11+'TUSD BF'!$AI$11+'TUSD CVA'!$AI$11)*1</f>
        <v>0</v>
      </c>
      <c r="AF11" s="86">
        <f ca="1">('TUSD BE'!$AJ$11+'TUSD BF'!$AJ$11+'TUSD CVA'!$AJ$11)*1</f>
        <v>2.7408515838265086</v>
      </c>
      <c r="AG11" s="86">
        <f ca="1">('TUSD BE'!$AK$11+'TUSD BF'!$AK$11+'TUSD CVA'!$AK$11)*1</f>
        <v>0</v>
      </c>
      <c r="AI11" s="86">
        <v>0</v>
      </c>
      <c r="AJ11" s="86">
        <v>1.3582380015772799</v>
      </c>
      <c r="AK11" s="86">
        <v>1.4040858450044E-8</v>
      </c>
      <c r="AL11" s="86">
        <v>0</v>
      </c>
      <c r="AM11" s="86">
        <v>0</v>
      </c>
      <c r="AN11" s="86">
        <v>71.651119069004096</v>
      </c>
      <c r="AO11" s="86">
        <v>9.22411180197515</v>
      </c>
      <c r="AP11" s="86">
        <v>0</v>
      </c>
      <c r="AQ11" s="86">
        <v>0</v>
      </c>
      <c r="AR11" s="86">
        <v>0</v>
      </c>
      <c r="AS11" s="86">
        <v>0</v>
      </c>
      <c r="AT11" s="86">
        <v>0</v>
      </c>
      <c r="AU11" s="86">
        <v>1223.0733635515801</v>
      </c>
      <c r="AV11" s="86">
        <v>0</v>
      </c>
      <c r="AW11" s="86">
        <v>0</v>
      </c>
      <c r="AX11" s="86">
        <v>2678.9266057965501</v>
      </c>
      <c r="AY11" s="86">
        <v>44.577805592897597</v>
      </c>
      <c r="AZ11" s="86">
        <v>0</v>
      </c>
      <c r="BA11" s="86">
        <v>16.705698007111302</v>
      </c>
      <c r="BB11" s="86">
        <v>0</v>
      </c>
      <c r="BC11" s="86">
        <v>3.3530167712345</v>
      </c>
      <c r="BD11" s="86">
        <v>0</v>
      </c>
    </row>
    <row r="12" spans="1:56" ht="11.25" customHeight="1" x14ac:dyDescent="0.25">
      <c r="A12" s="134"/>
      <c r="B12" s="134"/>
      <c r="C12" s="134"/>
      <c r="D12" s="134"/>
      <c r="E12" s="134"/>
      <c r="F12" s="134"/>
      <c r="G12" s="21" t="s">
        <v>73</v>
      </c>
      <c r="H12" s="21" t="s">
        <v>71</v>
      </c>
      <c r="I12" s="21">
        <f>'MERCADO TUSD'!$U$9</f>
        <v>3244.7709999999997</v>
      </c>
      <c r="J12" s="17"/>
      <c r="L12" s="86">
        <f>('TUSD BE'!$L$12+'TUSD BF'!$L$12+'TUSD CVA'!$L$12)*1</f>
        <v>19.888161566657029</v>
      </c>
      <c r="M12" s="86">
        <f>('TUSD BE'!$M$12+'TUSD BF'!$M$12+'TUSD CVA'!$M$12)*1</f>
        <v>1.6778632853872388</v>
      </c>
      <c r="N12" s="86">
        <f ca="1">('TUSD BE'!$N$12+'TUSD BF'!$N$12+'TUSD CVA'!$N$12)*1</f>
        <v>0</v>
      </c>
      <c r="O12" s="86">
        <f>('TUSD BE'!$O$12+'TUSD BF'!$O$12+'TUSD CVA'!$O$12)*1</f>
        <v>0</v>
      </c>
      <c r="P12" s="86">
        <f>('TUSD BE'!$P$12+'TUSD BF'!$P$12+'TUSD CVA'!$P$12)*1</f>
        <v>0</v>
      </c>
      <c r="Q12" s="86">
        <f>('TUSD BE'!$Q$12+'TUSD BF'!$Q$12+'TUSD CVA'!$Q$12)*1</f>
        <v>78.036650904725292</v>
      </c>
      <c r="R12" s="86">
        <f>('TUSD BE'!$R$12+'TUSD BF'!$R$12+'TUSD CVA'!$R$12)*1</f>
        <v>15.148197729489443</v>
      </c>
      <c r="S12" s="86">
        <f>('TUSD BE'!$S$12+'TUSD BF'!$S$12+'TUSD CVA'!$S$12)*1</f>
        <v>0</v>
      </c>
      <c r="T12" s="86">
        <f>('TUSD BE'!$U$12+'TUSD BF'!$U$12+'TUSD CVA'!$U$12)*1</f>
        <v>0</v>
      </c>
      <c r="U12" s="86">
        <f>('TUSD BE'!$V$12+'TUSD BF'!$V$12+'TUSD CVA'!$V$12)*1</f>
        <v>0</v>
      </c>
      <c r="V12" s="86">
        <f>('TUSD BE'!$W$12+'TUSD BF'!$W$12+'TUSD CVA'!$W$12)*1</f>
        <v>0</v>
      </c>
      <c r="W12" s="86">
        <f>('TUSD BE'!$X$12+'TUSD BF'!$X$12+'TUSD CVA'!$X$12)*1</f>
        <v>0</v>
      </c>
      <c r="X12" s="86">
        <f>('TUSD BE'!$Y$12+'TUSD BF'!$Y$12+'TUSD CVA'!$Y$12)*1</f>
        <v>0</v>
      </c>
      <c r="Y12" s="86">
        <f>('TUSD BE'!$Z$12+'TUSD BF'!$Z$12+'TUSD CVA'!$Z$12)*1</f>
        <v>0</v>
      </c>
      <c r="Z12" s="86">
        <f>('TUSD BE'!$AA$12+'TUSD BF'!$AA$12+'TUSD CVA'!$AA$12)*1</f>
        <v>0</v>
      </c>
      <c r="AA12" s="86">
        <f>('TUSD BE'!$AC$12+'TUSD BF'!$AC$12+'TUSD CVA'!$AC$12)*1</f>
        <v>0</v>
      </c>
      <c r="AB12" s="86">
        <f ca="1">('TUSD BE'!$AE$12+'TUSD BF'!$AE$12+'TUSD CVA'!$AE$12)*1</f>
        <v>0</v>
      </c>
      <c r="AC12" s="86">
        <f ca="1">('TUSD BE'!$AF$12+'TUSD BF'!$AF$12+'TUSD CVA'!$AF$12)*1</f>
        <v>0</v>
      </c>
      <c r="AD12" s="86">
        <f>('TUSD BE'!$AH$12+'TUSD BF'!$AH$12+'TUSD CVA'!$AH$12)*1</f>
        <v>19.366265449486527</v>
      </c>
      <c r="AE12" s="86">
        <f>('TUSD BE'!$AI$12+'TUSD BF'!$AI$12+'TUSD CVA'!$AI$12)*1</f>
        <v>0</v>
      </c>
      <c r="AF12" s="86">
        <f ca="1">('TUSD BE'!$AJ$12+'TUSD BF'!$AJ$12+'TUSD CVA'!$AJ$12)*1</f>
        <v>2.7408515838265086</v>
      </c>
      <c r="AG12" s="86">
        <f ca="1">('TUSD BE'!$AK$12+'TUSD BF'!$AK$12+'TUSD CVA'!$AK$12)*1</f>
        <v>0</v>
      </c>
      <c r="AI12" s="86">
        <v>0</v>
      </c>
      <c r="AJ12" s="86">
        <v>1.3582380015772799</v>
      </c>
      <c r="AK12" s="86">
        <v>7.9642900061998495E-11</v>
      </c>
      <c r="AL12" s="86">
        <v>0</v>
      </c>
      <c r="AM12" s="86">
        <v>0</v>
      </c>
      <c r="AN12" s="86">
        <v>71.651119069004096</v>
      </c>
      <c r="AO12" s="86">
        <v>9.22411180197515</v>
      </c>
      <c r="AP12" s="86">
        <v>0</v>
      </c>
      <c r="AQ12" s="86">
        <v>0</v>
      </c>
      <c r="AR12" s="86">
        <v>0</v>
      </c>
      <c r="AS12" s="86">
        <v>0</v>
      </c>
      <c r="AT12" s="86">
        <v>0</v>
      </c>
      <c r="AU12" s="86">
        <v>0</v>
      </c>
      <c r="AV12" s="86">
        <v>0</v>
      </c>
      <c r="AW12" s="86">
        <v>0</v>
      </c>
      <c r="AX12" s="86">
        <v>0</v>
      </c>
      <c r="AY12" s="86">
        <v>0.97035890148082604</v>
      </c>
      <c r="AZ12" s="86">
        <v>0</v>
      </c>
      <c r="BA12" s="86">
        <v>16.705698007111302</v>
      </c>
      <c r="BB12" s="86">
        <v>0</v>
      </c>
      <c r="BC12" s="86">
        <v>3.3530167712345</v>
      </c>
      <c r="BD12" s="86">
        <v>0</v>
      </c>
    </row>
    <row r="13" spans="1:56" ht="11.25" customHeight="1" x14ac:dyDescent="0.25">
      <c r="A13" s="134"/>
      <c r="B13" s="134"/>
      <c r="C13" s="134"/>
      <c r="D13" s="134"/>
      <c r="E13" s="134" t="s">
        <v>79</v>
      </c>
      <c r="F13" s="134" t="s">
        <v>25</v>
      </c>
      <c r="G13" s="21" t="s">
        <v>72</v>
      </c>
      <c r="H13" s="21" t="s">
        <v>71</v>
      </c>
      <c r="I13" s="21">
        <f>'MERCADO TUSD'!$U$10</f>
        <v>0</v>
      </c>
      <c r="J13" s="17"/>
      <c r="L13" s="86">
        <f>('TUSD BE'!$L$13+'TUSD BF'!$L$13+'TUSD CVA'!$L$13)*1</f>
        <v>0</v>
      </c>
      <c r="M13" s="86">
        <f>('TUSD BE'!$M$13+'TUSD BF'!$M$13+'TUSD CVA'!$M$13)*1</f>
        <v>1.6778632853872388</v>
      </c>
      <c r="N13" s="86">
        <f ca="1">('TUSD BE'!$N$13+'TUSD BF'!$N$13+'TUSD CVA'!$N$13)*1</f>
        <v>0</v>
      </c>
      <c r="O13" s="86">
        <f>('TUSD BE'!$O$13+'TUSD BF'!$O$13+'TUSD CVA'!$O$13)*1</f>
        <v>0</v>
      </c>
      <c r="P13" s="86">
        <f>('TUSD BE'!$P$13+'TUSD BF'!$P$13+'TUSD CVA'!$P$13)*1</f>
        <v>0</v>
      </c>
      <c r="Q13" s="86">
        <f>('TUSD BE'!$Q$13+'TUSD BF'!$Q$13+'TUSD CVA'!$Q$13)*1</f>
        <v>0</v>
      </c>
      <c r="R13" s="86">
        <f>('TUSD BE'!$R$13+'TUSD BF'!$R$13+'TUSD CVA'!$R$13)*1</f>
        <v>0</v>
      </c>
      <c r="S13" s="86">
        <f>('TUSD BE'!$S$13+'TUSD BF'!$S$13+'TUSD CVA'!$S$13)*1</f>
        <v>0</v>
      </c>
      <c r="T13" s="86">
        <f>('TUSD BE'!$U$13+'TUSD BF'!$U$13+'TUSD CVA'!$U$13)*1</f>
        <v>0</v>
      </c>
      <c r="U13" s="86">
        <f>('TUSD BE'!$V$13+'TUSD BF'!$V$13+'TUSD CVA'!$V$13)*1</f>
        <v>0</v>
      </c>
      <c r="V13" s="86">
        <f>('TUSD BE'!$W$13+'TUSD BF'!$W$13+'TUSD CVA'!$W$13)*1</f>
        <v>0</v>
      </c>
      <c r="W13" s="86">
        <f>('TUSD BE'!$X$13+'TUSD BF'!$X$13+'TUSD CVA'!$X$13)*1</f>
        <v>0</v>
      </c>
      <c r="X13" s="86">
        <f>('TUSD BE'!$Y$13+'TUSD BF'!$Y$13+'TUSD CVA'!$Y$13)*1</f>
        <v>1602.9738125131701</v>
      </c>
      <c r="Y13" s="86">
        <f>('TUSD BE'!$Z$13+'TUSD BF'!$Z$13+'TUSD CVA'!$Z$13)*1</f>
        <v>0</v>
      </c>
      <c r="Z13" s="86">
        <f>('TUSD BE'!$AA$13+'TUSD BF'!$AA$13+'TUSD CVA'!$AA$13)*1</f>
        <v>0</v>
      </c>
      <c r="AA13" s="86">
        <f>('TUSD BE'!$AC$13+'TUSD BF'!$AC$13+'TUSD CVA'!$AC$13)*1</f>
        <v>3150.4301116418901</v>
      </c>
      <c r="AB13" s="86">
        <f ca="1">('TUSD BE'!$AE$13+'TUSD BF'!$AE$13+'TUSD CVA'!$AE$13)*1</f>
        <v>0</v>
      </c>
      <c r="AC13" s="86">
        <f ca="1">('TUSD BE'!$AF$13+'TUSD BF'!$AF$13+'TUSD CVA'!$AF$13)*1</f>
        <v>0</v>
      </c>
      <c r="AD13" s="86">
        <f>('TUSD BE'!$AH$13+'TUSD BF'!$AH$13+'TUSD CVA'!$AH$13)*1</f>
        <v>19.366265449486527</v>
      </c>
      <c r="AE13" s="86">
        <f>('TUSD BE'!$AI$13+'TUSD BF'!$AI$13+'TUSD CVA'!$AI$13)*1</f>
        <v>0</v>
      </c>
      <c r="AF13" s="86">
        <f ca="1">('TUSD BE'!$AJ$13+'TUSD BF'!$AJ$13+'TUSD CVA'!$AJ$13)*1</f>
        <v>2.7408515838265086</v>
      </c>
      <c r="AG13" s="86">
        <f ca="1">('TUSD BE'!$AK$13+'TUSD BF'!$AK$13+'TUSD CVA'!$AK$13)*1</f>
        <v>0</v>
      </c>
      <c r="AI13" s="86">
        <v>0</v>
      </c>
      <c r="AJ13" s="86">
        <v>1.3582380015772799</v>
      </c>
      <c r="AK13" s="86">
        <v>1.40374992348274E-8</v>
      </c>
      <c r="AL13" s="86">
        <v>0</v>
      </c>
      <c r="AM13" s="86">
        <v>0</v>
      </c>
      <c r="AN13" s="86">
        <v>0</v>
      </c>
      <c r="AO13" s="86">
        <v>0</v>
      </c>
      <c r="AP13" s="86">
        <v>0</v>
      </c>
      <c r="AQ13" s="86">
        <v>0</v>
      </c>
      <c r="AR13" s="86">
        <v>0</v>
      </c>
      <c r="AS13" s="86">
        <v>0</v>
      </c>
      <c r="AT13" s="86">
        <v>0</v>
      </c>
      <c r="AU13" s="86">
        <v>1223.0733635515801</v>
      </c>
      <c r="AV13" s="86">
        <v>0</v>
      </c>
      <c r="AW13" s="86">
        <v>0</v>
      </c>
      <c r="AX13" s="86">
        <v>2678.9266057965501</v>
      </c>
      <c r="AY13" s="86">
        <v>43.764306159504599</v>
      </c>
      <c r="AZ13" s="86">
        <v>0</v>
      </c>
      <c r="BA13" s="86">
        <v>16.705698007111302</v>
      </c>
      <c r="BB13" s="86">
        <v>0</v>
      </c>
      <c r="BC13" s="86">
        <v>3.3530167712345</v>
      </c>
      <c r="BD13" s="86">
        <v>0</v>
      </c>
    </row>
    <row r="14" spans="1:56" ht="11.25" customHeight="1" x14ac:dyDescent="0.25">
      <c r="A14" s="134"/>
      <c r="B14" s="134"/>
      <c r="C14" s="134"/>
      <c r="D14" s="134"/>
      <c r="E14" s="134"/>
      <c r="F14" s="134"/>
      <c r="G14" s="21" t="s">
        <v>73</v>
      </c>
      <c r="H14" s="21" t="s">
        <v>71</v>
      </c>
      <c r="I14" s="21">
        <f>'MERCADO TUSD'!$U$11</f>
        <v>0</v>
      </c>
      <c r="J14" s="17"/>
      <c r="L14" s="86">
        <f>('TUSD BE'!$L$14+'TUSD BF'!$L$14+'TUSD CVA'!$L$14)*1</f>
        <v>0</v>
      </c>
      <c r="M14" s="86">
        <f>('TUSD BE'!$M$14+'TUSD BF'!$M$14+'TUSD CVA'!$M$14)*1</f>
        <v>1.6778632853872388</v>
      </c>
      <c r="N14" s="86">
        <f ca="1">('TUSD BE'!$N$14+'TUSD BF'!$N$14+'TUSD CVA'!$N$14)*1</f>
        <v>0</v>
      </c>
      <c r="O14" s="86">
        <f>('TUSD BE'!$O$14+'TUSD BF'!$O$14+'TUSD CVA'!$O$14)*1</f>
        <v>0</v>
      </c>
      <c r="P14" s="86">
        <f>('TUSD BE'!$P$14+'TUSD BF'!$P$14+'TUSD CVA'!$P$14)*1</f>
        <v>0</v>
      </c>
      <c r="Q14" s="86">
        <f>('TUSD BE'!$Q$14+'TUSD BF'!$Q$14+'TUSD CVA'!$Q$14)*1</f>
        <v>0</v>
      </c>
      <c r="R14" s="86">
        <f>('TUSD BE'!$R$14+'TUSD BF'!$R$14+'TUSD CVA'!$R$14)*1</f>
        <v>0</v>
      </c>
      <c r="S14" s="86">
        <f>('TUSD BE'!$S$14+'TUSD BF'!$S$14+'TUSD CVA'!$S$14)*1</f>
        <v>0</v>
      </c>
      <c r="T14" s="86">
        <f>('TUSD BE'!$U$14+'TUSD BF'!$U$14+'TUSD CVA'!$U$14)*1</f>
        <v>0</v>
      </c>
      <c r="U14" s="86">
        <f>('TUSD BE'!$V$14+'TUSD BF'!$V$14+'TUSD CVA'!$V$14)*1</f>
        <v>0</v>
      </c>
      <c r="V14" s="86">
        <f>('TUSD BE'!$W$14+'TUSD BF'!$W$14+'TUSD CVA'!$W$14)*1</f>
        <v>0</v>
      </c>
      <c r="W14" s="86">
        <f>('TUSD BE'!$X$14+'TUSD BF'!$X$14+'TUSD CVA'!$X$14)*1</f>
        <v>0</v>
      </c>
      <c r="X14" s="86">
        <f>('TUSD BE'!$Y$14+'TUSD BF'!$Y$14+'TUSD CVA'!$Y$14)*1</f>
        <v>0</v>
      </c>
      <c r="Y14" s="86">
        <f>('TUSD BE'!$Z$14+'TUSD BF'!$Z$14+'TUSD CVA'!$Z$14)*1</f>
        <v>0</v>
      </c>
      <c r="Z14" s="86">
        <f>('TUSD BE'!$AA$14+'TUSD BF'!$AA$14+'TUSD CVA'!$AA$14)*1</f>
        <v>0</v>
      </c>
      <c r="AA14" s="86">
        <f>('TUSD BE'!$AC$14+'TUSD BF'!$AC$14+'TUSD CVA'!$AC$14)*1</f>
        <v>0</v>
      </c>
      <c r="AB14" s="86">
        <f ca="1">('TUSD BE'!$AE$14+'TUSD BF'!$AE$14+'TUSD CVA'!$AE$14)*1</f>
        <v>0</v>
      </c>
      <c r="AC14" s="86">
        <f ca="1">('TUSD BE'!$AF$14+'TUSD BF'!$AF$14+'TUSD CVA'!$AF$14)*1</f>
        <v>0</v>
      </c>
      <c r="AD14" s="86">
        <f>('TUSD BE'!$AH$14+'TUSD BF'!$AH$14+'TUSD CVA'!$AH$14)*1</f>
        <v>19.366265449486527</v>
      </c>
      <c r="AE14" s="86">
        <f>('TUSD BE'!$AI$14+'TUSD BF'!$AI$14+'TUSD CVA'!$AI$14)*1</f>
        <v>0</v>
      </c>
      <c r="AF14" s="86">
        <f ca="1">('TUSD BE'!$AJ$14+'TUSD BF'!$AJ$14+'TUSD CVA'!$AJ$14)*1</f>
        <v>2.7408515838265086</v>
      </c>
      <c r="AG14" s="86">
        <f ca="1">('TUSD BE'!$AK$14+'TUSD BF'!$AK$14+'TUSD CVA'!$AK$14)*1</f>
        <v>0</v>
      </c>
      <c r="AI14" s="86">
        <v>0</v>
      </c>
      <c r="AJ14" s="86">
        <v>1.3582380015772799</v>
      </c>
      <c r="AK14" s="86">
        <v>7.6283684845428399E-11</v>
      </c>
      <c r="AL14" s="86">
        <v>0</v>
      </c>
      <c r="AM14" s="86">
        <v>0</v>
      </c>
      <c r="AN14" s="86">
        <v>0</v>
      </c>
      <c r="AO14" s="86">
        <v>0</v>
      </c>
      <c r="AP14" s="86">
        <v>0</v>
      </c>
      <c r="AQ14" s="86">
        <v>0</v>
      </c>
      <c r="AR14" s="86">
        <v>0</v>
      </c>
      <c r="AS14" s="86">
        <v>0</v>
      </c>
      <c r="AT14" s="86">
        <v>0</v>
      </c>
      <c r="AU14" s="86">
        <v>0</v>
      </c>
      <c r="AV14" s="86">
        <v>0</v>
      </c>
      <c r="AW14" s="86">
        <v>0</v>
      </c>
      <c r="AX14" s="86">
        <v>0</v>
      </c>
      <c r="AY14" s="86">
        <v>0.15685946808782</v>
      </c>
      <c r="AZ14" s="86">
        <v>0</v>
      </c>
      <c r="BA14" s="86">
        <v>16.705698007111302</v>
      </c>
      <c r="BB14" s="86">
        <v>0</v>
      </c>
      <c r="BC14" s="86">
        <v>3.3530167712345</v>
      </c>
      <c r="BD14" s="86">
        <v>0</v>
      </c>
    </row>
    <row r="15" spans="1:56" ht="11.25" customHeight="1" x14ac:dyDescent="0.25">
      <c r="A15" s="134" t="s">
        <v>81</v>
      </c>
      <c r="B15" s="134" t="s">
        <v>80</v>
      </c>
      <c r="C15" s="134" t="s">
        <v>25</v>
      </c>
      <c r="D15" s="134" t="s">
        <v>25</v>
      </c>
      <c r="E15" s="88" t="s">
        <v>82</v>
      </c>
      <c r="F15" s="88" t="s">
        <v>25</v>
      </c>
      <c r="G15" s="21" t="s">
        <v>9</v>
      </c>
      <c r="H15" s="21" t="s">
        <v>76</v>
      </c>
      <c r="I15" s="21">
        <f>'MERCADO TUSD'!$U$12+0.00000001</f>
        <v>1E-8</v>
      </c>
      <c r="J15" s="17"/>
      <c r="L15" s="86">
        <f>('TUSD BE'!$L$15+'TUSD BF'!$L$15+'TUSD CVA'!$L$15)*1</f>
        <v>0</v>
      </c>
      <c r="M15" s="86">
        <f>('TUSD BE'!$M$15+'TUSD BF'!$M$15+'TUSD CVA'!$M$15)*1</f>
        <v>1.1466651370535473E-2</v>
      </c>
      <c r="N15" s="86">
        <f ca="1">('TUSD BE'!$N$15+'TUSD BF'!$N$15+'TUSD CVA'!$N$15)*1</f>
        <v>0</v>
      </c>
      <c r="O15" s="86">
        <f>('TUSD BE'!$O$15+'TUSD BF'!$O$15+'TUSD CVA'!$O$15)*1</f>
        <v>0</v>
      </c>
      <c r="P15" s="86">
        <f>('TUSD BE'!$P$15+'TUSD BF'!$P$15+'TUSD CVA'!$P$15)*1</f>
        <v>0</v>
      </c>
      <c r="Q15" s="86">
        <f>('TUSD BE'!$Q$15+'TUSD BF'!$Q$15+'TUSD CVA'!$Q$15)*1</f>
        <v>0</v>
      </c>
      <c r="R15" s="86">
        <f>('TUSD BE'!$R$15+'TUSD BF'!$R$15+'TUSD CVA'!$R$15)*1</f>
        <v>0</v>
      </c>
      <c r="S15" s="86">
        <f>('TUSD BE'!$S$15+'TUSD BF'!$S$15+'TUSD CVA'!$S$15)*1</f>
        <v>0</v>
      </c>
      <c r="T15" s="86">
        <f>('TUSD BE'!$U$15+'TUSD BF'!$U$15+'TUSD CVA'!$U$15)*1</f>
        <v>0</v>
      </c>
      <c r="U15" s="86">
        <f>('TUSD BE'!$V$15+'TUSD BF'!$V$15+'TUSD CVA'!$V$15)*1</f>
        <v>0</v>
      </c>
      <c r="V15" s="86">
        <f>('TUSD BE'!$W$15+'TUSD BF'!$W$15+'TUSD CVA'!$W$15)*1</f>
        <v>0</v>
      </c>
      <c r="W15" s="86">
        <f>('TUSD BE'!$X$15+'TUSD BF'!$X$15+'TUSD CVA'!$X$15)*1</f>
        <v>0</v>
      </c>
      <c r="X15" s="86">
        <f>('TUSD BE'!$Y$15+'TUSD BF'!$Y$15+'TUSD CVA'!$Y$15)*1</f>
        <v>0</v>
      </c>
      <c r="Y15" s="86">
        <f>('TUSD BE'!$Z$15+'TUSD BF'!$Z$15+'TUSD CVA'!$Z$15)*1</f>
        <v>0</v>
      </c>
      <c r="Z15" s="86">
        <f>('TUSD BE'!$AA$15+'TUSD BF'!$AA$15+'TUSD CVA'!$AA$15)*1</f>
        <v>0</v>
      </c>
      <c r="AA15" s="86">
        <f>('TUSD BE'!$AC$15+'TUSD BF'!$AC$15+'TUSD CVA'!$AC$15)*1</f>
        <v>7.1361643437985052</v>
      </c>
      <c r="AB15" s="86">
        <f ca="1">('TUSD BE'!$AE$15+'TUSD BF'!$AE$15+'TUSD CVA'!$AE$15)*1</f>
        <v>0</v>
      </c>
      <c r="AC15" s="86">
        <f ca="1">('TUSD BE'!$AF$15+'TUSD BF'!$AF$15+'TUSD CVA'!$AF$15)*1</f>
        <v>0</v>
      </c>
      <c r="AD15" s="86">
        <f>('TUSD BE'!$AH$15+'TUSD BF'!$AH$15+'TUSD CVA'!$AH$15)*1</f>
        <v>0</v>
      </c>
      <c r="AE15" s="86">
        <f>('TUSD BE'!$AI$15+'TUSD BF'!$AI$15+'TUSD CVA'!$AI$15)*1</f>
        <v>0</v>
      </c>
      <c r="AF15" s="86">
        <f ca="1">('TUSD BE'!$AJ$15+'TUSD BF'!$AJ$15+'TUSD CVA'!$AJ$15)*1</f>
        <v>0</v>
      </c>
      <c r="AG15" s="86">
        <f ca="1">('TUSD BE'!$AK$15+'TUSD BF'!$AK$15+'TUSD CVA'!$AK$15)*1</f>
        <v>0</v>
      </c>
      <c r="AI15" s="86">
        <v>0</v>
      </c>
      <c r="AJ15" s="86">
        <v>1.1253713190614001E-2</v>
      </c>
      <c r="AK15" s="86">
        <v>0</v>
      </c>
      <c r="AL15" s="86">
        <v>0</v>
      </c>
      <c r="AM15" s="86">
        <v>0</v>
      </c>
      <c r="AN15" s="86">
        <v>0</v>
      </c>
      <c r="AO15" s="86">
        <v>0</v>
      </c>
      <c r="AP15" s="86">
        <v>0</v>
      </c>
      <c r="AQ15" s="86">
        <v>0</v>
      </c>
      <c r="AR15" s="86">
        <v>0</v>
      </c>
      <c r="AS15" s="86">
        <v>0</v>
      </c>
      <c r="AT15" s="86">
        <v>0</v>
      </c>
      <c r="AU15" s="86">
        <v>0</v>
      </c>
      <c r="AV15" s="86">
        <v>0</v>
      </c>
      <c r="AW15" s="86">
        <v>0</v>
      </c>
      <c r="AX15" s="86">
        <v>6.0682209392866504</v>
      </c>
      <c r="AY15" s="86">
        <v>7.2809101039197993E-2</v>
      </c>
      <c r="AZ15" s="86">
        <v>0</v>
      </c>
      <c r="BA15" s="86">
        <v>0</v>
      </c>
      <c r="BB15" s="86">
        <v>0</v>
      </c>
      <c r="BC15" s="86">
        <v>0</v>
      </c>
      <c r="BD15" s="86">
        <v>0</v>
      </c>
    </row>
    <row r="16" spans="1:56" ht="11.25" customHeight="1" x14ac:dyDescent="0.25">
      <c r="A16" s="134"/>
      <c r="B16" s="134"/>
      <c r="C16" s="134"/>
      <c r="D16" s="134"/>
      <c r="E16" s="88" t="s">
        <v>83</v>
      </c>
      <c r="F16" s="88" t="s">
        <v>25</v>
      </c>
      <c r="G16" s="21" t="s">
        <v>9</v>
      </c>
      <c r="H16" s="21" t="s">
        <v>76</v>
      </c>
      <c r="I16" s="21">
        <f>'MERCADO TUSD'!$U$13+0.00000001</f>
        <v>1E-8</v>
      </c>
      <c r="J16" s="17"/>
      <c r="L16" s="86">
        <f>('TUSD BE'!$L$16+'TUSD BF'!$L$16+'TUSD CVA'!$L$16)*1</f>
        <v>0</v>
      </c>
      <c r="M16" s="86">
        <f>('TUSD BE'!$M$16+'TUSD BF'!$M$16+'TUSD CVA'!$M$16)*1</f>
        <v>1.1466651370535473E-2</v>
      </c>
      <c r="N16" s="86">
        <f ca="1">('TUSD BE'!$N$16+'TUSD BF'!$N$16+'TUSD CVA'!$N$16)*1</f>
        <v>0</v>
      </c>
      <c r="O16" s="86">
        <f>('TUSD BE'!$O$16+'TUSD BF'!$O$16+'TUSD CVA'!$O$16)*1</f>
        <v>0</v>
      </c>
      <c r="P16" s="86">
        <f>('TUSD BE'!$P$16+'TUSD BF'!$P$16+'TUSD CVA'!$P$16)*1</f>
        <v>0</v>
      </c>
      <c r="Q16" s="86">
        <f>('TUSD BE'!$Q$16+'TUSD BF'!$Q$16+'TUSD CVA'!$Q$16)*1</f>
        <v>0</v>
      </c>
      <c r="R16" s="86">
        <f>('TUSD BE'!$R$16+'TUSD BF'!$R$16+'TUSD CVA'!$R$16)*1</f>
        <v>0</v>
      </c>
      <c r="S16" s="86">
        <f>('TUSD BE'!$S$16+'TUSD BF'!$S$16+'TUSD CVA'!$S$16)*1</f>
        <v>0</v>
      </c>
      <c r="T16" s="86">
        <f>('TUSD BE'!$U$16+'TUSD BF'!$U$16+'TUSD CVA'!$U$16)*1</f>
        <v>0</v>
      </c>
      <c r="U16" s="86">
        <f>('TUSD BE'!$V$16+'TUSD BF'!$V$16+'TUSD CVA'!$V$16)*1</f>
        <v>0</v>
      </c>
      <c r="V16" s="86">
        <f>('TUSD BE'!$W$16+'TUSD BF'!$W$16+'TUSD CVA'!$W$16)*1</f>
        <v>0</v>
      </c>
      <c r="W16" s="86">
        <f>('TUSD BE'!$X$16+'TUSD BF'!$X$16+'TUSD CVA'!$X$16)*1</f>
        <v>0</v>
      </c>
      <c r="X16" s="86">
        <f>('TUSD BE'!$Y$16+'TUSD BF'!$Y$16+'TUSD CVA'!$Y$16)*1</f>
        <v>0</v>
      </c>
      <c r="Y16" s="86">
        <f>('TUSD BE'!$Z$16+'TUSD BF'!$Z$16+'TUSD CVA'!$Z$16)*1</f>
        <v>0</v>
      </c>
      <c r="Z16" s="86">
        <f>('TUSD BE'!$AA$16+'TUSD BF'!$AA$16+'TUSD CVA'!$AA$16)*1</f>
        <v>0</v>
      </c>
      <c r="AA16" s="86">
        <f>('TUSD BE'!$AC$16+'TUSD BF'!$AC$16+'TUSD CVA'!$AC$16)*1</f>
        <v>22.999901790229639</v>
      </c>
      <c r="AB16" s="86">
        <f ca="1">('TUSD BE'!$AE$16+'TUSD BF'!$AE$16+'TUSD CVA'!$AE$16)*1</f>
        <v>0</v>
      </c>
      <c r="AC16" s="86">
        <f ca="1">('TUSD BE'!$AF$16+'TUSD BF'!$AF$16+'TUSD CVA'!$AF$16)*1</f>
        <v>0</v>
      </c>
      <c r="AD16" s="86">
        <f>('TUSD BE'!$AH$16+'TUSD BF'!$AH$16+'TUSD CVA'!$AH$16)*1</f>
        <v>0</v>
      </c>
      <c r="AE16" s="86">
        <f>('TUSD BE'!$AI$16+'TUSD BF'!$AI$16+'TUSD CVA'!$AI$16)*1</f>
        <v>0</v>
      </c>
      <c r="AF16" s="86">
        <f ca="1">('TUSD BE'!$AJ$16+'TUSD BF'!$AJ$16+'TUSD CVA'!$AJ$16)*1</f>
        <v>0</v>
      </c>
      <c r="AG16" s="86">
        <f ca="1">('TUSD BE'!$AK$16+'TUSD BF'!$AK$16+'TUSD CVA'!$AK$16)*1</f>
        <v>0</v>
      </c>
      <c r="AI16" s="86">
        <v>0</v>
      </c>
      <c r="AJ16" s="86">
        <v>1.1253713190614001E-2</v>
      </c>
      <c r="AK16" s="86">
        <v>0</v>
      </c>
      <c r="AL16" s="86">
        <v>0</v>
      </c>
      <c r="AM16" s="86">
        <v>0</v>
      </c>
      <c r="AN16" s="86">
        <v>0</v>
      </c>
      <c r="AO16" s="86">
        <v>0</v>
      </c>
      <c r="AP16" s="86">
        <v>0</v>
      </c>
      <c r="AQ16" s="86">
        <v>0</v>
      </c>
      <c r="AR16" s="86">
        <v>0</v>
      </c>
      <c r="AS16" s="86">
        <v>0</v>
      </c>
      <c r="AT16" s="86">
        <v>0</v>
      </c>
      <c r="AU16" s="86">
        <v>0</v>
      </c>
      <c r="AV16" s="86">
        <v>0</v>
      </c>
      <c r="AW16" s="86">
        <v>0</v>
      </c>
      <c r="AX16" s="86">
        <v>19.557707626360401</v>
      </c>
      <c r="AY16" s="86">
        <v>0.234403542630266</v>
      </c>
      <c r="AZ16" s="86">
        <v>0</v>
      </c>
      <c r="BA16" s="86">
        <v>0</v>
      </c>
      <c r="BB16" s="86">
        <v>0</v>
      </c>
      <c r="BC16" s="86">
        <v>0</v>
      </c>
      <c r="BD16" s="86">
        <v>0</v>
      </c>
    </row>
    <row r="17" spans="1:56" ht="11.25" customHeight="1" x14ac:dyDescent="0.25">
      <c r="A17" s="134" t="s">
        <v>22</v>
      </c>
      <c r="B17" s="134" t="s">
        <v>37</v>
      </c>
      <c r="C17" s="134" t="s">
        <v>24</v>
      </c>
      <c r="D17" s="134" t="s">
        <v>24</v>
      </c>
      <c r="E17" s="134" t="s">
        <v>25</v>
      </c>
      <c r="F17" s="134" t="s">
        <v>25</v>
      </c>
      <c r="G17" s="21" t="s">
        <v>72</v>
      </c>
      <c r="H17" s="21" t="s">
        <v>71</v>
      </c>
      <c r="I17" s="21">
        <f>'MERCADO TUSD'!$U$14</f>
        <v>2.3139999999999996</v>
      </c>
      <c r="J17" s="17"/>
      <c r="L17" s="86">
        <f>('TUSD BE'!$L$17+'TUSD BF'!$L$17+'TUSD CVA'!$L$17)*1</f>
        <v>23.676382817448843</v>
      </c>
      <c r="M17" s="86">
        <f>('TUSD BE'!$M$17+'TUSD BF'!$M$17+'TUSD CVA'!$M$17)*1</f>
        <v>3.2299154897781186</v>
      </c>
      <c r="N17" s="86">
        <f ca="1">('TUSD BE'!$N$17+'TUSD BF'!$N$17+'TUSD CVA'!$N$17)*1</f>
        <v>0</v>
      </c>
      <c r="O17" s="86">
        <f>('TUSD BE'!$O$17+'TUSD BF'!$O$17+'TUSD CVA'!$O$17)*1</f>
        <v>0</v>
      </c>
      <c r="P17" s="86">
        <f>('TUSD BE'!$P$17+'TUSD BF'!$P$17+'TUSD CVA'!$P$17)*1</f>
        <v>0</v>
      </c>
      <c r="Q17" s="86">
        <f>('TUSD BE'!$Q$17+'TUSD BF'!$Q$17+'TUSD CVA'!$Q$17)*1</f>
        <v>92.900774886577736</v>
      </c>
      <c r="R17" s="86">
        <f>('TUSD BE'!$R$17+'TUSD BF'!$R$17+'TUSD CVA'!$R$17)*1</f>
        <v>15.148197729489443</v>
      </c>
      <c r="S17" s="86">
        <f>('TUSD BE'!$S$17+'TUSD BF'!$S$17+'TUSD CVA'!$S$17)*1</f>
        <v>0</v>
      </c>
      <c r="T17" s="86">
        <f>('TUSD BE'!$U$17+'TUSD BF'!$U$17+'TUSD CVA'!$U$17)*1</f>
        <v>0</v>
      </c>
      <c r="U17" s="86">
        <f>('TUSD BE'!$V$17+'TUSD BF'!$V$17+'TUSD CVA'!$V$17)*1</f>
        <v>0</v>
      </c>
      <c r="V17" s="86">
        <f>('TUSD BE'!$W$17+'TUSD BF'!$W$17+'TUSD CVA'!$W$17)*1</f>
        <v>0</v>
      </c>
      <c r="W17" s="86">
        <f>('TUSD BE'!$X$17+'TUSD BF'!$X$17+'TUSD CVA'!$X$17)*1</f>
        <v>0</v>
      </c>
      <c r="X17" s="86">
        <f>('TUSD BE'!$Y$17+'TUSD BF'!$Y$17+'TUSD CVA'!$Y$17)*1</f>
        <v>670.878374779777</v>
      </c>
      <c r="Y17" s="86">
        <f>('TUSD BE'!$Z$17+'TUSD BF'!$Z$17+'TUSD CVA'!$Z$17)*1</f>
        <v>0</v>
      </c>
      <c r="Z17" s="86">
        <f>('TUSD BE'!$AA$17+'TUSD BF'!$AA$17+'TUSD CVA'!$AA$17)*1</f>
        <v>0</v>
      </c>
      <c r="AA17" s="86">
        <f>('TUSD BE'!$AC$17+'TUSD BF'!$AC$17+'TUSD CVA'!$AC$17)*1</f>
        <v>1448.3319451070506</v>
      </c>
      <c r="AB17" s="86">
        <f ca="1">('TUSD BE'!$AE$17+'TUSD BF'!$AE$17+'TUSD CVA'!$AE$17)*1</f>
        <v>0</v>
      </c>
      <c r="AC17" s="86">
        <f ca="1">('TUSD BE'!$AF$17+'TUSD BF'!$AF$17+'TUSD CVA'!$AF$17)*1</f>
        <v>0</v>
      </c>
      <c r="AD17" s="86">
        <f>('TUSD BE'!$AH$17+'TUSD BF'!$AH$17+'TUSD CVA'!$AH$17)*1</f>
        <v>45.445672929566683</v>
      </c>
      <c r="AE17" s="86">
        <f>('TUSD BE'!$AI$17+'TUSD BF'!$AI$17+'TUSD CVA'!$AI$17)*1</f>
        <v>0</v>
      </c>
      <c r="AF17" s="86">
        <f ca="1">('TUSD BE'!$AJ$17+'TUSD BF'!$AJ$17+'TUSD CVA'!$AJ$17)*1</f>
        <v>4.2282514992179054</v>
      </c>
      <c r="AG17" s="86">
        <f ca="1">('TUSD BE'!$AK$17+'TUSD BF'!$AK$17+'TUSD CVA'!$AK$17)*1</f>
        <v>0</v>
      </c>
      <c r="AI17" s="86">
        <v>0</v>
      </c>
      <c r="AJ17" s="86">
        <v>2.46793683156461</v>
      </c>
      <c r="AK17" s="86">
        <v>6.4542756516538703E-9</v>
      </c>
      <c r="AL17" s="86">
        <v>0</v>
      </c>
      <c r="AM17" s="86">
        <v>0</v>
      </c>
      <c r="AN17" s="86">
        <v>82.357608125292003</v>
      </c>
      <c r="AO17" s="86">
        <v>9.22411180197515</v>
      </c>
      <c r="AP17" s="86">
        <v>0</v>
      </c>
      <c r="AQ17" s="86">
        <v>0</v>
      </c>
      <c r="AR17" s="86">
        <v>0</v>
      </c>
      <c r="AS17" s="86">
        <v>0</v>
      </c>
      <c r="AT17" s="86">
        <v>0</v>
      </c>
      <c r="AU17" s="86">
        <v>511.88255399315102</v>
      </c>
      <c r="AV17" s="86">
        <v>0</v>
      </c>
      <c r="AW17" s="86">
        <v>0</v>
      </c>
      <c r="AX17" s="86">
        <v>1231.57003295044</v>
      </c>
      <c r="AY17" s="86">
        <v>20.833813480904201</v>
      </c>
      <c r="AZ17" s="86">
        <v>0</v>
      </c>
      <c r="BA17" s="86">
        <v>39.202247326704502</v>
      </c>
      <c r="BB17" s="86">
        <v>0</v>
      </c>
      <c r="BC17" s="86">
        <v>4.9296673030807403</v>
      </c>
      <c r="BD17" s="86">
        <v>0</v>
      </c>
    </row>
    <row r="18" spans="1:56" ht="11.25" customHeight="1" x14ac:dyDescent="0.25">
      <c r="A18" s="134"/>
      <c r="B18" s="134"/>
      <c r="C18" s="134"/>
      <c r="D18" s="134"/>
      <c r="E18" s="134"/>
      <c r="F18" s="134"/>
      <c r="G18" s="21" t="s">
        <v>84</v>
      </c>
      <c r="H18" s="21" t="s">
        <v>71</v>
      </c>
      <c r="I18" s="21">
        <f>'MERCADO TUSD'!$U$15</f>
        <v>1.2229999999999999</v>
      </c>
      <c r="J18" s="17"/>
      <c r="L18" s="86">
        <f>('TUSD BE'!$L$18+'TUSD BF'!$L$18+'TUSD CVA'!$L$18)*1</f>
        <v>23.676382817448843</v>
      </c>
      <c r="M18" s="86">
        <f>('TUSD BE'!$M$18+'TUSD BF'!$M$18+'TUSD CVA'!$M$18)*1</f>
        <v>3.2299154897781186</v>
      </c>
      <c r="N18" s="86">
        <f ca="1">('TUSD BE'!$N$18+'TUSD BF'!$N$18+'TUSD CVA'!$N$18)*1</f>
        <v>0</v>
      </c>
      <c r="O18" s="86">
        <f>('TUSD BE'!$O$18+'TUSD BF'!$O$18+'TUSD CVA'!$O$18)*1</f>
        <v>0</v>
      </c>
      <c r="P18" s="86">
        <f>('TUSD BE'!$P$18+'TUSD BF'!$P$18+'TUSD CVA'!$P$18)*1</f>
        <v>0</v>
      </c>
      <c r="Q18" s="86">
        <f>('TUSD BE'!$Q$18+'TUSD BF'!$Q$18+'TUSD CVA'!$Q$18)*1</f>
        <v>92.900774886577736</v>
      </c>
      <c r="R18" s="86">
        <f>('TUSD BE'!$R$18+'TUSD BF'!$R$18+'TUSD CVA'!$R$18)*1</f>
        <v>15.148197729489443</v>
      </c>
      <c r="S18" s="86">
        <f>('TUSD BE'!$S$18+'TUSD BF'!$S$18+'TUSD CVA'!$S$18)*1</f>
        <v>0</v>
      </c>
      <c r="T18" s="86">
        <f>('TUSD BE'!$U$18+'TUSD BF'!$U$18+'TUSD CVA'!$U$18)*1</f>
        <v>0</v>
      </c>
      <c r="U18" s="86">
        <f>('TUSD BE'!$V$18+'TUSD BF'!$V$18+'TUSD CVA'!$V$18)*1</f>
        <v>0</v>
      </c>
      <c r="V18" s="86">
        <f>('TUSD BE'!$W$18+'TUSD BF'!$W$18+'TUSD CVA'!$W$18)*1</f>
        <v>0</v>
      </c>
      <c r="W18" s="86">
        <f>('TUSD BE'!$X$18+'TUSD BF'!$X$18+'TUSD CVA'!$X$18)*1</f>
        <v>0</v>
      </c>
      <c r="X18" s="86">
        <f>('TUSD BE'!$Y$18+'TUSD BF'!$Y$18+'TUSD CVA'!$Y$18)*1</f>
        <v>402.5270248678662</v>
      </c>
      <c r="Y18" s="86">
        <f>('TUSD BE'!$Z$18+'TUSD BF'!$Z$18+'TUSD CVA'!$Z$18)*1</f>
        <v>0</v>
      </c>
      <c r="Z18" s="86">
        <f>('TUSD BE'!$AA$18+'TUSD BF'!$AA$18+'TUSD CVA'!$AA$18)*1</f>
        <v>0</v>
      </c>
      <c r="AA18" s="86">
        <f>('TUSD BE'!$AC$18+'TUSD BF'!$AC$18+'TUSD CVA'!$AC$18)*1</f>
        <v>868.99933920146759</v>
      </c>
      <c r="AB18" s="86">
        <f ca="1">('TUSD BE'!$AE$18+'TUSD BF'!$AE$18+'TUSD CVA'!$AE$18)*1</f>
        <v>0</v>
      </c>
      <c r="AC18" s="86">
        <f ca="1">('TUSD BE'!$AF$18+'TUSD BF'!$AF$18+'TUSD CVA'!$AF$18)*1</f>
        <v>0</v>
      </c>
      <c r="AD18" s="86">
        <f>('TUSD BE'!$AH$18+'TUSD BF'!$AH$18+'TUSD CVA'!$AH$18)*1</f>
        <v>45.445672929566683</v>
      </c>
      <c r="AE18" s="86">
        <f>('TUSD BE'!$AI$18+'TUSD BF'!$AI$18+'TUSD CVA'!$AI$18)*1</f>
        <v>0</v>
      </c>
      <c r="AF18" s="86">
        <f ca="1">('TUSD BE'!$AJ$18+'TUSD BF'!$AJ$18+'TUSD CVA'!$AJ$18)*1</f>
        <v>4.2282514992179054</v>
      </c>
      <c r="AG18" s="86">
        <f ca="1">('TUSD BE'!$AK$18+'TUSD BF'!$AK$18+'TUSD CVA'!$AK$18)*1</f>
        <v>0</v>
      </c>
      <c r="AI18" s="86">
        <v>0</v>
      </c>
      <c r="AJ18" s="86">
        <v>2.46793683156461</v>
      </c>
      <c r="AK18" s="86">
        <v>3.9370850164059303E-9</v>
      </c>
      <c r="AL18" s="86">
        <v>0</v>
      </c>
      <c r="AM18" s="86">
        <v>0</v>
      </c>
      <c r="AN18" s="86">
        <v>82.357608125292003</v>
      </c>
      <c r="AO18" s="86">
        <v>9.22411180197515</v>
      </c>
      <c r="AP18" s="86">
        <v>0</v>
      </c>
      <c r="AQ18" s="86">
        <v>0</v>
      </c>
      <c r="AR18" s="86">
        <v>0</v>
      </c>
      <c r="AS18" s="86">
        <v>0</v>
      </c>
      <c r="AT18" s="86">
        <v>0</v>
      </c>
      <c r="AU18" s="86">
        <v>307.12858705367199</v>
      </c>
      <c r="AV18" s="86">
        <v>0</v>
      </c>
      <c r="AW18" s="86">
        <v>0</v>
      </c>
      <c r="AX18" s="86">
        <v>738.94188790258704</v>
      </c>
      <c r="AY18" s="86">
        <v>13.004623769151401</v>
      </c>
      <c r="AZ18" s="86">
        <v>0</v>
      </c>
      <c r="BA18" s="86">
        <v>39.202247326704502</v>
      </c>
      <c r="BB18" s="86">
        <v>0</v>
      </c>
      <c r="BC18" s="86">
        <v>4.9296673030807403</v>
      </c>
      <c r="BD18" s="86">
        <v>0</v>
      </c>
    </row>
    <row r="19" spans="1:56" ht="11.25" customHeight="1" x14ac:dyDescent="0.25">
      <c r="A19" s="134"/>
      <c r="B19" s="134"/>
      <c r="C19" s="134"/>
      <c r="D19" s="134"/>
      <c r="E19" s="134"/>
      <c r="F19" s="134"/>
      <c r="G19" s="21" t="s">
        <v>73</v>
      </c>
      <c r="H19" s="21" t="s">
        <v>71</v>
      </c>
      <c r="I19" s="21">
        <f>'MERCADO TUSD'!$U$16</f>
        <v>15.786</v>
      </c>
      <c r="J19" s="17"/>
      <c r="L19" s="86">
        <f>('TUSD BE'!$L$19+'TUSD BF'!$L$19+'TUSD CVA'!$L$19)*1</f>
        <v>23.676382817448843</v>
      </c>
      <c r="M19" s="86">
        <f>('TUSD BE'!$M$19+'TUSD BF'!$M$19+'TUSD CVA'!$M$19)*1</f>
        <v>3.2299154897781186</v>
      </c>
      <c r="N19" s="86">
        <f ca="1">('TUSD BE'!$N$19+'TUSD BF'!$N$19+'TUSD CVA'!$N$19)*1</f>
        <v>0</v>
      </c>
      <c r="O19" s="86">
        <f>('TUSD BE'!$O$19+'TUSD BF'!$O$19+'TUSD CVA'!$O$19)*1</f>
        <v>0</v>
      </c>
      <c r="P19" s="86">
        <f>('TUSD BE'!$P$19+'TUSD BF'!$P$19+'TUSD CVA'!$P$19)*1</f>
        <v>0</v>
      </c>
      <c r="Q19" s="86">
        <f>('TUSD BE'!$Q$19+'TUSD BF'!$Q$19+'TUSD CVA'!$Q$19)*1</f>
        <v>92.900774886577736</v>
      </c>
      <c r="R19" s="86">
        <f>('TUSD BE'!$R$19+'TUSD BF'!$R$19+'TUSD CVA'!$R$19)*1</f>
        <v>15.148197729489443</v>
      </c>
      <c r="S19" s="86">
        <f>('TUSD BE'!$S$19+'TUSD BF'!$S$19+'TUSD CVA'!$S$19)*1</f>
        <v>0</v>
      </c>
      <c r="T19" s="86">
        <f>('TUSD BE'!$U$19+'TUSD BF'!$U$19+'TUSD CVA'!$U$19)*1</f>
        <v>0</v>
      </c>
      <c r="U19" s="86">
        <f>('TUSD BE'!$V$19+'TUSD BF'!$V$19+'TUSD CVA'!$V$19)*1</f>
        <v>0</v>
      </c>
      <c r="V19" s="86">
        <f>('TUSD BE'!$W$19+'TUSD BF'!$W$19+'TUSD CVA'!$W$19)*1</f>
        <v>0</v>
      </c>
      <c r="W19" s="86">
        <f>('TUSD BE'!$X$19+'TUSD BF'!$X$19+'TUSD CVA'!$X$19)*1</f>
        <v>0</v>
      </c>
      <c r="X19" s="86">
        <f>('TUSD BE'!$Y$19+'TUSD BF'!$Y$19+'TUSD CVA'!$Y$19)*1</f>
        <v>134.17708600954685</v>
      </c>
      <c r="Y19" s="86">
        <f>('TUSD BE'!$Z$19+'TUSD BF'!$Z$19+'TUSD CVA'!$Z$19)*1</f>
        <v>0</v>
      </c>
      <c r="Z19" s="86">
        <f>('TUSD BE'!$AA$19+'TUSD BF'!$AA$19+'TUSD CVA'!$AA$19)*1</f>
        <v>0</v>
      </c>
      <c r="AA19" s="86">
        <f>('TUSD BE'!$AC$19+'TUSD BF'!$AC$19+'TUSD CVA'!$AC$19)*1</f>
        <v>289.66630295279151</v>
      </c>
      <c r="AB19" s="86">
        <f ca="1">('TUSD BE'!$AE$19+'TUSD BF'!$AE$19+'TUSD CVA'!$AE$19)*1</f>
        <v>0</v>
      </c>
      <c r="AC19" s="86">
        <f ca="1">('TUSD BE'!$AF$19+'TUSD BF'!$AF$19+'TUSD CVA'!$AF$19)*1</f>
        <v>0</v>
      </c>
      <c r="AD19" s="86">
        <f>('TUSD BE'!$AH$19+'TUSD BF'!$AH$19+'TUSD CVA'!$AH$19)*1</f>
        <v>45.445672929566683</v>
      </c>
      <c r="AE19" s="86">
        <f>('TUSD BE'!$AI$19+'TUSD BF'!$AI$19+'TUSD CVA'!$AI$19)*1</f>
        <v>0</v>
      </c>
      <c r="AF19" s="86">
        <f ca="1">('TUSD BE'!$AJ$19+'TUSD BF'!$AJ$19+'TUSD CVA'!$AJ$19)*1</f>
        <v>4.2282514992179054</v>
      </c>
      <c r="AG19" s="86">
        <f ca="1">('TUSD BE'!$AK$19+'TUSD BF'!$AK$19+'TUSD CVA'!$AK$19)*1</f>
        <v>0</v>
      </c>
      <c r="AI19" s="86">
        <v>0</v>
      </c>
      <c r="AJ19" s="86">
        <v>2.46793683156461</v>
      </c>
      <c r="AK19" s="86">
        <v>1.4198990840593E-9</v>
      </c>
      <c r="AL19" s="86">
        <v>0</v>
      </c>
      <c r="AM19" s="86">
        <v>0</v>
      </c>
      <c r="AN19" s="86">
        <v>82.357608125292003</v>
      </c>
      <c r="AO19" s="86">
        <v>9.22411180197515</v>
      </c>
      <c r="AP19" s="86">
        <v>0</v>
      </c>
      <c r="AQ19" s="86">
        <v>0</v>
      </c>
      <c r="AR19" s="86">
        <v>0</v>
      </c>
      <c r="AS19" s="86">
        <v>0</v>
      </c>
      <c r="AT19" s="86">
        <v>0</v>
      </c>
      <c r="AU19" s="86">
        <v>102.376240700853</v>
      </c>
      <c r="AV19" s="86">
        <v>0</v>
      </c>
      <c r="AW19" s="86">
        <v>0</v>
      </c>
      <c r="AX19" s="86">
        <v>246.313907689329</v>
      </c>
      <c r="AY19" s="86">
        <v>5.17545129058949</v>
      </c>
      <c r="AZ19" s="86">
        <v>0</v>
      </c>
      <c r="BA19" s="86">
        <v>39.202247326704502</v>
      </c>
      <c r="BB19" s="86">
        <v>0</v>
      </c>
      <c r="BC19" s="86">
        <v>4.9296673030807403</v>
      </c>
      <c r="BD19" s="86">
        <v>0</v>
      </c>
    </row>
    <row r="20" spans="1:56" ht="11.25" customHeight="1" x14ac:dyDescent="0.25">
      <c r="A20" s="134"/>
      <c r="B20" s="134" t="s">
        <v>23</v>
      </c>
      <c r="C20" s="134" t="s">
        <v>24</v>
      </c>
      <c r="D20" s="88" t="s">
        <v>24</v>
      </c>
      <c r="E20" s="88" t="s">
        <v>25</v>
      </c>
      <c r="F20" s="88" t="s">
        <v>25</v>
      </c>
      <c r="G20" s="21" t="s">
        <v>75</v>
      </c>
      <c r="H20" s="21" t="s">
        <v>71</v>
      </c>
      <c r="I20" s="21">
        <f>'MERCADO TUSD'!$U$17</f>
        <v>26510.091</v>
      </c>
      <c r="J20" s="17"/>
      <c r="L20" s="86">
        <f>('TUSD BE'!$L$20+'TUSD BF'!$L$20+'TUSD CVA'!$L$20)*1</f>
        <v>23.676382817448843</v>
      </c>
      <c r="M20" s="86">
        <f>('TUSD BE'!$M$20+'TUSD BF'!$M$20+'TUSD CVA'!$M$20)*1</f>
        <v>3.2299154897781186</v>
      </c>
      <c r="N20" s="86">
        <f ca="1">('TUSD BE'!$N$20+'TUSD BF'!$N$20+'TUSD CVA'!$N$20)*1</f>
        <v>0</v>
      </c>
      <c r="O20" s="86">
        <f>('TUSD BE'!$O$20+'TUSD BF'!$O$20+'TUSD CVA'!$O$20)*1</f>
        <v>0</v>
      </c>
      <c r="P20" s="86">
        <f>('TUSD BE'!$P$20+'TUSD BF'!$P$20+'TUSD CVA'!$P$20)*1</f>
        <v>0</v>
      </c>
      <c r="Q20" s="86">
        <f>('TUSD BE'!$Q$20+'TUSD BF'!$Q$20+'TUSD CVA'!$Q$20)*1</f>
        <v>92.900774886577736</v>
      </c>
      <c r="R20" s="86">
        <f>('TUSD BE'!$R$20+'TUSD BF'!$R$20+'TUSD CVA'!$R$20)*1</f>
        <v>15.148197729489443</v>
      </c>
      <c r="S20" s="86">
        <f>('TUSD BE'!$S$20+'TUSD BF'!$S$20+'TUSD CVA'!$S$20)*1</f>
        <v>0</v>
      </c>
      <c r="T20" s="86">
        <f>('TUSD BE'!$U$20+'TUSD BF'!$U$20+'TUSD CVA'!$U$20)*1</f>
        <v>0</v>
      </c>
      <c r="U20" s="86">
        <f>('TUSD BE'!$V$20+'TUSD BF'!$V$20+'TUSD CVA'!$V$20)*1</f>
        <v>0</v>
      </c>
      <c r="V20" s="86">
        <f>('TUSD BE'!$W$20+'TUSD BF'!$W$20+'TUSD CVA'!$W$20)*1</f>
        <v>0</v>
      </c>
      <c r="W20" s="86">
        <f>('TUSD BE'!$X$20+'TUSD BF'!$X$20+'TUSD CVA'!$X$20)*1</f>
        <v>0</v>
      </c>
      <c r="X20" s="86">
        <f>('TUSD BE'!$Y$20+'TUSD BF'!$Y$20+'TUSD CVA'!$Y$20)*1</f>
        <v>248.47383796936705</v>
      </c>
      <c r="Y20" s="86">
        <f>('TUSD BE'!$Z$20+'TUSD BF'!$Z$20+'TUSD CVA'!$Z$20)*1</f>
        <v>0</v>
      </c>
      <c r="Z20" s="86">
        <f>('TUSD BE'!$AA$20+'TUSD BF'!$AA$20+'TUSD CVA'!$AA$20)*1</f>
        <v>0</v>
      </c>
      <c r="AA20" s="86">
        <f>('TUSD BE'!$AC$20+'TUSD BF'!$AC$20+'TUSD CVA'!$AC$20)*1</f>
        <v>536.41943816145078</v>
      </c>
      <c r="AB20" s="86">
        <f ca="1">('TUSD BE'!$AE$20+'TUSD BF'!$AE$20+'TUSD CVA'!$AE$20)*1</f>
        <v>0</v>
      </c>
      <c r="AC20" s="86">
        <f ca="1">('TUSD BE'!$AF$20+'TUSD BF'!$AF$20+'TUSD CVA'!$AF$20)*1</f>
        <v>0</v>
      </c>
      <c r="AD20" s="86">
        <f>('TUSD BE'!$AH$20+'TUSD BF'!$AH$20+'TUSD CVA'!$AH$20)*1</f>
        <v>45.445672929566683</v>
      </c>
      <c r="AE20" s="86">
        <f>('TUSD BE'!$AI$20+'TUSD BF'!$AI$20+'TUSD CVA'!$AI$20)*1</f>
        <v>0</v>
      </c>
      <c r="AF20" s="86">
        <f ca="1">('TUSD BE'!$AJ$20+'TUSD BF'!$AJ$20+'TUSD CVA'!$AJ$20)*1</f>
        <v>4.2282514992179054</v>
      </c>
      <c r="AG20" s="86">
        <f ca="1">('TUSD BE'!$AK$20+'TUSD BF'!$AK$20+'TUSD CVA'!$AK$20)*1</f>
        <v>0</v>
      </c>
      <c r="AI20" s="86">
        <v>0</v>
      </c>
      <c r="AJ20" s="86">
        <v>2.46793683156461</v>
      </c>
      <c r="AK20" s="86">
        <v>2.4920356183824301E-9</v>
      </c>
      <c r="AL20" s="86">
        <v>0</v>
      </c>
      <c r="AM20" s="86">
        <v>0</v>
      </c>
      <c r="AN20" s="86">
        <v>82.357608125292003</v>
      </c>
      <c r="AO20" s="86">
        <v>9.22411180197515</v>
      </c>
      <c r="AP20" s="86">
        <v>0</v>
      </c>
      <c r="AQ20" s="86">
        <v>0</v>
      </c>
      <c r="AR20" s="86">
        <v>0</v>
      </c>
      <c r="AS20" s="86">
        <v>0</v>
      </c>
      <c r="AT20" s="86">
        <v>0</v>
      </c>
      <c r="AU20" s="86">
        <v>189.58595104339</v>
      </c>
      <c r="AV20" s="86">
        <v>0</v>
      </c>
      <c r="AW20" s="86">
        <v>0</v>
      </c>
      <c r="AX20" s="86">
        <v>456.13714386817497</v>
      </c>
      <c r="AY20" s="86">
        <v>8.5101048699176403</v>
      </c>
      <c r="AZ20" s="86">
        <v>0</v>
      </c>
      <c r="BA20" s="86">
        <v>39.202247326704502</v>
      </c>
      <c r="BB20" s="86">
        <v>0</v>
      </c>
      <c r="BC20" s="86">
        <v>4.9296673030807403</v>
      </c>
      <c r="BD20" s="86">
        <v>0</v>
      </c>
    </row>
    <row r="21" spans="1:56" ht="11.25" customHeight="1" x14ac:dyDescent="0.25">
      <c r="A21" s="134"/>
      <c r="B21" s="134"/>
      <c r="C21" s="134"/>
      <c r="D21" s="88" t="s">
        <v>29</v>
      </c>
      <c r="E21" s="88" t="s">
        <v>25</v>
      </c>
      <c r="F21" s="88" t="s">
        <v>25</v>
      </c>
      <c r="G21" s="21" t="s">
        <v>75</v>
      </c>
      <c r="H21" s="21" t="s">
        <v>71</v>
      </c>
      <c r="I21" s="21">
        <f>'MERCADO TUSD'!$U$18</f>
        <v>224.727</v>
      </c>
      <c r="J21" s="17"/>
      <c r="L21" s="86">
        <f>('TUSD BE'!$L$21+'TUSD BF'!$L$21+'TUSD CVA'!$L$21)*(1 - 0.65)</f>
        <v>0</v>
      </c>
      <c r="M21" s="86">
        <f>('TUSD BE'!$M$21+'TUSD BF'!$M$21+'TUSD CVA'!$M$21)*(1 - 0.65)</f>
        <v>1.1304704214223413</v>
      </c>
      <c r="N21" s="86">
        <f ca="1">('TUSD BE'!$N$21+'TUSD BF'!$N$21+'TUSD CVA'!$N$21)*(1 - 0.65)</f>
        <v>0</v>
      </c>
      <c r="O21" s="86">
        <f>('TUSD BE'!$O$21+'TUSD BF'!$O$21+'TUSD CVA'!$O$21)*(1 - 0.65)</f>
        <v>0</v>
      </c>
      <c r="P21" s="86">
        <v>0</v>
      </c>
      <c r="Q21" s="86">
        <f>('TUSD BE'!$Q$21+'TUSD BF'!$Q$21+'TUSD CVA'!$Q$21)*(1 - 0.65)</f>
        <v>0</v>
      </c>
      <c r="R21" s="86">
        <v>0</v>
      </c>
      <c r="S21" s="86">
        <f>('TUSD BE'!$S$21+'TUSD BF'!$S$21+'TUSD CVA'!$S$21)*(1 - 0.65)</f>
        <v>0</v>
      </c>
      <c r="T21" s="86">
        <f>('TUSD BE'!$U$21+'TUSD BF'!$U$21+'TUSD CVA'!$U$21)*(1 - 0.65)</f>
        <v>0</v>
      </c>
      <c r="U21" s="86">
        <f>('TUSD BE'!$V$21+'TUSD BF'!$V$21+'TUSD CVA'!$V$21)*(1 - 0.65)</f>
        <v>0</v>
      </c>
      <c r="V21" s="86">
        <f>('TUSD BE'!$W$21+'TUSD BF'!$W$21+'TUSD CVA'!$W$21)*(1 - 0.65)</f>
        <v>0</v>
      </c>
      <c r="W21" s="86">
        <f>('TUSD BE'!$X$21+'TUSD BF'!$X$21+'TUSD CVA'!$X$21)*(1 - 0.65)</f>
        <v>0</v>
      </c>
      <c r="X21" s="86">
        <f>('TUSD BE'!$Y$21+'TUSD BF'!$Y$21+'TUSD CVA'!$Y$21)*(1 - 0.65)</f>
        <v>86.965843289278467</v>
      </c>
      <c r="Y21" s="86">
        <f>('TUSD BE'!$Z$21+'TUSD BF'!$Z$21+'TUSD CVA'!$Z$21)*(1 - 0.65)</f>
        <v>0</v>
      </c>
      <c r="Z21" s="86">
        <f>('TUSD BE'!$AA$21+'TUSD BF'!$AA$21+'TUSD CVA'!$AA$21)*(1 - 0.65)</f>
        <v>0</v>
      </c>
      <c r="AA21" s="86">
        <f>('TUSD BE'!$AC$21+'TUSD BF'!$AC$21+'TUSD CVA'!$AC$21)*(1 - 0.65)</f>
        <v>187.74680335650777</v>
      </c>
      <c r="AB21" s="86">
        <f ca="1">('TUSD BE'!$AE$21+'TUSD BF'!$AE$21+'TUSD CVA'!$AE$21)*(1 - 0.65)</f>
        <v>0</v>
      </c>
      <c r="AC21" s="86">
        <f ca="1">('TUSD BE'!$AF$21+'TUSD BF'!$AF$21+'TUSD CVA'!$AF$21)*(1 - 0.65)</f>
        <v>0</v>
      </c>
      <c r="AD21" s="86">
        <f>('TUSD BE'!$AH$21+'TUSD BF'!$AH$21+'TUSD CVA'!$AH$21)*(1 - 0.65)</f>
        <v>15.905985525348338</v>
      </c>
      <c r="AE21" s="86">
        <f>('TUSD BE'!$AI$21+'TUSD BF'!$AI$21+'TUSD CVA'!$AI$21)*(1 - 0.65)</f>
        <v>0</v>
      </c>
      <c r="AF21" s="86">
        <f ca="1">('TUSD BE'!$AJ$21+'TUSD BF'!$AJ$21+'TUSD CVA'!$AJ$21)*(1 - 0.65)</f>
        <v>1.4798880247262669</v>
      </c>
      <c r="AG21" s="86">
        <f ca="1">('TUSD BE'!$AK$21+'TUSD BF'!$AK$21+'TUSD CVA'!$AK$21)*(1 - 0.65)</f>
        <v>0</v>
      </c>
      <c r="AI21" s="86">
        <v>0</v>
      </c>
      <c r="AJ21" s="86">
        <v>0.86377789104761504</v>
      </c>
      <c r="AK21" s="86">
        <v>8.7103674110805204E-10</v>
      </c>
      <c r="AL21" s="86">
        <v>0</v>
      </c>
      <c r="AM21" s="86">
        <v>0</v>
      </c>
      <c r="AN21" s="86">
        <v>0</v>
      </c>
      <c r="AO21" s="86">
        <v>0</v>
      </c>
      <c r="AP21" s="86">
        <v>0</v>
      </c>
      <c r="AQ21" s="86">
        <v>0</v>
      </c>
      <c r="AR21" s="86">
        <v>0</v>
      </c>
      <c r="AS21" s="86">
        <v>0</v>
      </c>
      <c r="AT21" s="86">
        <v>0</v>
      </c>
      <c r="AU21" s="86">
        <v>66.355082865186503</v>
      </c>
      <c r="AV21" s="86">
        <v>0</v>
      </c>
      <c r="AW21" s="86">
        <v>0</v>
      </c>
      <c r="AX21" s="86">
        <v>159.64800035386099</v>
      </c>
      <c r="AY21" s="86">
        <v>2.6561435493563401</v>
      </c>
      <c r="AZ21" s="86">
        <v>0</v>
      </c>
      <c r="BA21" s="86">
        <v>13.7207865643466</v>
      </c>
      <c r="BB21" s="86">
        <v>0</v>
      </c>
      <c r="BC21" s="86">
        <v>1.72538355607826</v>
      </c>
      <c r="BD21" s="86">
        <v>0</v>
      </c>
    </row>
    <row r="22" spans="1:56" ht="11.25" customHeight="1" x14ac:dyDescent="0.25">
      <c r="A22" s="134"/>
      <c r="B22" s="134"/>
      <c r="C22" s="134"/>
      <c r="D22" s="88" t="s">
        <v>30</v>
      </c>
      <c r="E22" s="88" t="s">
        <v>25</v>
      </c>
      <c r="F22" s="88" t="s">
        <v>25</v>
      </c>
      <c r="G22" s="21" t="s">
        <v>75</v>
      </c>
      <c r="H22" s="21" t="s">
        <v>71</v>
      </c>
      <c r="I22" s="21">
        <f>'MERCADO TUSD'!$U$19</f>
        <v>457.44400000000002</v>
      </c>
      <c r="J22" s="17"/>
      <c r="L22" s="86">
        <f>('TUSD BE'!$L$22+'TUSD BF'!$L$22+'TUSD CVA'!$L$22)*(1 - 0.4)</f>
        <v>0</v>
      </c>
      <c r="M22" s="86">
        <f>('TUSD BE'!$M$22+'TUSD BF'!$M$22+'TUSD CVA'!$M$22)*(1 - 0.4)</f>
        <v>1.937949293866871</v>
      </c>
      <c r="N22" s="86">
        <f ca="1">('TUSD BE'!$N$22+'TUSD BF'!$N$22+'TUSD CVA'!$N$22)*(1 - 0.4)</f>
        <v>0</v>
      </c>
      <c r="O22" s="86">
        <f>('TUSD BE'!$O$22+'TUSD BF'!$O$22+'TUSD CVA'!$O$22)*(1 - 0.4)</f>
        <v>0</v>
      </c>
      <c r="P22" s="86">
        <v>0</v>
      </c>
      <c r="Q22" s="86">
        <f>('TUSD BE'!$Q$22+'TUSD BF'!$Q$22+'TUSD CVA'!$Q$22)*(1 - 0.4)</f>
        <v>0</v>
      </c>
      <c r="R22" s="86">
        <v>0</v>
      </c>
      <c r="S22" s="86">
        <f>('TUSD BE'!$S$22+'TUSD BF'!$S$22+'TUSD CVA'!$S$22)*(1 - 0.4)</f>
        <v>0</v>
      </c>
      <c r="T22" s="86">
        <f>('TUSD BE'!$U$22+'TUSD BF'!$U$22+'TUSD CVA'!$U$22)*(1 - 0.4)</f>
        <v>0</v>
      </c>
      <c r="U22" s="86">
        <f>('TUSD BE'!$V$22+'TUSD BF'!$V$22+'TUSD CVA'!$V$22)*(1 - 0.4)</f>
        <v>0</v>
      </c>
      <c r="V22" s="86">
        <f>('TUSD BE'!$W$22+'TUSD BF'!$W$22+'TUSD CVA'!$W$22)*(1 - 0.4)</f>
        <v>0</v>
      </c>
      <c r="W22" s="86">
        <f>('TUSD BE'!$X$22+'TUSD BF'!$X$22+'TUSD CVA'!$X$22)*(1 - 0.4)</f>
        <v>0</v>
      </c>
      <c r="X22" s="86">
        <f>('TUSD BE'!$Y$22+'TUSD BF'!$Y$22+'TUSD CVA'!$Y$22)*(1 - 0.4)</f>
        <v>149.08430278162024</v>
      </c>
      <c r="Y22" s="86">
        <f>('TUSD BE'!$Z$22+'TUSD BF'!$Z$22+'TUSD CVA'!$Z$22)*(1 - 0.4)</f>
        <v>0</v>
      </c>
      <c r="Z22" s="86">
        <f>('TUSD BE'!$AA$22+'TUSD BF'!$AA$22+'TUSD CVA'!$AA$22)*(1 - 0.4)</f>
        <v>0</v>
      </c>
      <c r="AA22" s="86">
        <f>('TUSD BE'!$AC$22+'TUSD BF'!$AC$22+'TUSD CVA'!$AC$22)*(1 - 0.4)</f>
        <v>321.85166289687044</v>
      </c>
      <c r="AB22" s="86">
        <f ca="1">('TUSD BE'!$AE$22+'TUSD BF'!$AE$22+'TUSD CVA'!$AE$22)*(1 - 0.4)</f>
        <v>0</v>
      </c>
      <c r="AC22" s="86">
        <f ca="1">('TUSD BE'!$AF$22+'TUSD BF'!$AF$22+'TUSD CVA'!$AF$22)*(1 - 0.4)</f>
        <v>0</v>
      </c>
      <c r="AD22" s="86">
        <f>('TUSD BE'!$AH$22+'TUSD BF'!$AH$22+'TUSD CVA'!$AH$22)*(1 - 0.4)</f>
        <v>27.267403757740009</v>
      </c>
      <c r="AE22" s="86">
        <f>('TUSD BE'!$AI$22+'TUSD BF'!$AI$22+'TUSD CVA'!$AI$22)*(1 - 0.4)</f>
        <v>0</v>
      </c>
      <c r="AF22" s="86">
        <f ca="1">('TUSD BE'!$AJ$22+'TUSD BF'!$AJ$22+'TUSD CVA'!$AJ$22)*(1 - 0.4)</f>
        <v>2.5369508995307433</v>
      </c>
      <c r="AG22" s="86">
        <f ca="1">('TUSD BE'!$AK$22+'TUSD BF'!$AK$22+'TUSD CVA'!$AK$22)*(1 - 0.4)</f>
        <v>0</v>
      </c>
      <c r="AI22" s="86">
        <v>0</v>
      </c>
      <c r="AJ22" s="86">
        <v>1.48076209893877</v>
      </c>
      <c r="AK22" s="86">
        <v>1.4932058418995199E-9</v>
      </c>
      <c r="AL22" s="86">
        <v>0</v>
      </c>
      <c r="AM22" s="86">
        <v>0</v>
      </c>
      <c r="AN22" s="86">
        <v>0</v>
      </c>
      <c r="AO22" s="86">
        <v>0</v>
      </c>
      <c r="AP22" s="86">
        <v>0</v>
      </c>
      <c r="AQ22" s="86">
        <v>0</v>
      </c>
      <c r="AR22" s="86">
        <v>0</v>
      </c>
      <c r="AS22" s="86">
        <v>0</v>
      </c>
      <c r="AT22" s="86">
        <v>0</v>
      </c>
      <c r="AU22" s="86">
        <v>113.751570626034</v>
      </c>
      <c r="AV22" s="86">
        <v>0</v>
      </c>
      <c r="AW22" s="86">
        <v>0</v>
      </c>
      <c r="AX22" s="86">
        <v>273.68228632090501</v>
      </c>
      <c r="AY22" s="86">
        <v>4.5533889417537203</v>
      </c>
      <c r="AZ22" s="86">
        <v>0</v>
      </c>
      <c r="BA22" s="86">
        <v>23.521348396022699</v>
      </c>
      <c r="BB22" s="86">
        <v>0</v>
      </c>
      <c r="BC22" s="86">
        <v>2.9578003818484402</v>
      </c>
      <c r="BD22" s="86">
        <v>0</v>
      </c>
    </row>
    <row r="23" spans="1:56" ht="11.25" customHeight="1" x14ac:dyDescent="0.25">
      <c r="A23" s="134"/>
      <c r="B23" s="134"/>
      <c r="C23" s="134"/>
      <c r="D23" s="88" t="s">
        <v>31</v>
      </c>
      <c r="E23" s="88" t="s">
        <v>25</v>
      </c>
      <c r="F23" s="88" t="s">
        <v>25</v>
      </c>
      <c r="G23" s="21" t="s">
        <v>75</v>
      </c>
      <c r="H23" s="21" t="s">
        <v>71</v>
      </c>
      <c r="I23" s="21">
        <f>'MERCADO TUSD'!$U$20</f>
        <v>365.92600000000004</v>
      </c>
      <c r="J23" s="17"/>
      <c r="L23" s="86">
        <f>('TUSD BE'!$L$23+'TUSD BF'!$L$23+'TUSD CVA'!$L$23)*(1 - 0.1)</f>
        <v>0</v>
      </c>
      <c r="M23" s="86">
        <f>('TUSD BE'!$M$23+'TUSD BF'!$M$23+'TUSD CVA'!$M$23)*(1 - 0.1)</f>
        <v>2.9069239408003069</v>
      </c>
      <c r="N23" s="86">
        <f ca="1">('TUSD BE'!$N$23+'TUSD BF'!$N$23+'TUSD CVA'!$N$23)*(1 - 0.1)</f>
        <v>0</v>
      </c>
      <c r="O23" s="86">
        <f>('TUSD BE'!$O$23+'TUSD BF'!$O$23+'TUSD CVA'!$O$23)*(1 - 0.1)</f>
        <v>0</v>
      </c>
      <c r="P23" s="86">
        <v>0</v>
      </c>
      <c r="Q23" s="86">
        <f>('TUSD BE'!$Q$23+'TUSD BF'!$Q$23+'TUSD CVA'!$Q$23)*(1 - 0.1)</f>
        <v>0</v>
      </c>
      <c r="R23" s="86">
        <v>0</v>
      </c>
      <c r="S23" s="86">
        <f>('TUSD BE'!$S$23+'TUSD BF'!$S$23+'TUSD CVA'!$S$23)*(1 - 0.1)</f>
        <v>0</v>
      </c>
      <c r="T23" s="86">
        <f>('TUSD BE'!$U$23+'TUSD BF'!$U$23+'TUSD CVA'!$U$23)*(1 - 0.1)</f>
        <v>0</v>
      </c>
      <c r="U23" s="86">
        <f>('TUSD BE'!$V$23+'TUSD BF'!$V$23+'TUSD CVA'!$V$23)*(1 - 0.1)</f>
        <v>0</v>
      </c>
      <c r="V23" s="86">
        <f>('TUSD BE'!$W$23+'TUSD BF'!$W$23+'TUSD CVA'!$W$23)*(1 - 0.1)</f>
        <v>0</v>
      </c>
      <c r="W23" s="86">
        <f>('TUSD BE'!$X$23+'TUSD BF'!$X$23+'TUSD CVA'!$X$23)*(1 - 0.1)</f>
        <v>0</v>
      </c>
      <c r="X23" s="86">
        <f>('TUSD BE'!$Y$23+'TUSD BF'!$Y$23+'TUSD CVA'!$Y$23)*(1 - 0.1)</f>
        <v>223.62645417243036</v>
      </c>
      <c r="Y23" s="86">
        <f>('TUSD BE'!$Z$23+'TUSD BF'!$Z$23+'TUSD CVA'!$Z$23)*(1 - 0.1)</f>
        <v>0</v>
      </c>
      <c r="Z23" s="86">
        <f>('TUSD BE'!$AA$23+'TUSD BF'!$AA$23+'TUSD CVA'!$AA$23)*(1 - 0.1)</f>
        <v>0</v>
      </c>
      <c r="AA23" s="86">
        <f>('TUSD BE'!$AC$23+'TUSD BF'!$AC$23+'TUSD CVA'!$AC$23)*(1 - 0.1)</f>
        <v>482.77749434530574</v>
      </c>
      <c r="AB23" s="86">
        <f ca="1">('TUSD BE'!$AE$23+'TUSD BF'!$AE$23+'TUSD CVA'!$AE$23)*(1 - 0.1)</f>
        <v>0</v>
      </c>
      <c r="AC23" s="86">
        <f ca="1">('TUSD BE'!$AF$23+'TUSD BF'!$AF$23+'TUSD CVA'!$AF$23)*(1 - 0.1)</f>
        <v>0</v>
      </c>
      <c r="AD23" s="86">
        <f>('TUSD BE'!$AH$23+'TUSD BF'!$AH$23+'TUSD CVA'!$AH$23)*(1 - 0.1)</f>
        <v>40.901105636610019</v>
      </c>
      <c r="AE23" s="86">
        <f>('TUSD BE'!$AI$23+'TUSD BF'!$AI$23+'TUSD CVA'!$AI$23)*(1 - 0.1)</f>
        <v>0</v>
      </c>
      <c r="AF23" s="86">
        <f ca="1">('TUSD BE'!$AJ$23+'TUSD BF'!$AJ$23+'TUSD CVA'!$AJ$23)*(1 - 0.1)</f>
        <v>3.8054263492961149</v>
      </c>
      <c r="AG23" s="86">
        <f ca="1">('TUSD BE'!$AK$23+'TUSD BF'!$AK$23+'TUSD CVA'!$AK$23)*(1 - 0.1)</f>
        <v>0</v>
      </c>
      <c r="AI23" s="86">
        <v>0</v>
      </c>
      <c r="AJ23" s="86">
        <v>2.2211431484081499</v>
      </c>
      <c r="AK23" s="86">
        <v>2.2398087628492801E-9</v>
      </c>
      <c r="AL23" s="86">
        <v>0</v>
      </c>
      <c r="AM23" s="86">
        <v>0</v>
      </c>
      <c r="AN23" s="86">
        <v>0</v>
      </c>
      <c r="AO23" s="86">
        <v>0</v>
      </c>
      <c r="AP23" s="86">
        <v>0</v>
      </c>
      <c r="AQ23" s="86">
        <v>0</v>
      </c>
      <c r="AR23" s="86">
        <v>0</v>
      </c>
      <c r="AS23" s="86">
        <v>0</v>
      </c>
      <c r="AT23" s="86">
        <v>0</v>
      </c>
      <c r="AU23" s="86">
        <v>170.627355939051</v>
      </c>
      <c r="AV23" s="86">
        <v>0</v>
      </c>
      <c r="AW23" s="86">
        <v>0</v>
      </c>
      <c r="AX23" s="86">
        <v>410.52342948135799</v>
      </c>
      <c r="AY23" s="86">
        <v>6.8300834126305903</v>
      </c>
      <c r="AZ23" s="86">
        <v>0</v>
      </c>
      <c r="BA23" s="86">
        <v>35.282022594034103</v>
      </c>
      <c r="BB23" s="86">
        <v>0</v>
      </c>
      <c r="BC23" s="86">
        <v>4.4367005727726703</v>
      </c>
      <c r="BD23" s="86">
        <v>0</v>
      </c>
    </row>
    <row r="24" spans="1:56" ht="11.25" customHeight="1" x14ac:dyDescent="0.25">
      <c r="A24" s="134"/>
      <c r="B24" s="134"/>
      <c r="C24" s="134"/>
      <c r="D24" s="88" t="s">
        <v>32</v>
      </c>
      <c r="E24" s="88" t="s">
        <v>25</v>
      </c>
      <c r="F24" s="88" t="s">
        <v>25</v>
      </c>
      <c r="G24" s="21" t="s">
        <v>75</v>
      </c>
      <c r="H24" s="21" t="s">
        <v>71</v>
      </c>
      <c r="I24" s="21">
        <f>'MERCADO TUSD'!$U$21</f>
        <v>81.745999999999995</v>
      </c>
      <c r="J24" s="17"/>
      <c r="L24" s="86">
        <f>('TUSD BE'!$L$24+'TUSD BF'!$L$24+'TUSD CVA'!$L$24)*1</f>
        <v>0</v>
      </c>
      <c r="M24" s="86">
        <f>('TUSD BE'!$M$24+'TUSD BF'!$M$24+'TUSD CVA'!$M$24)*1</f>
        <v>3.2299154897781186</v>
      </c>
      <c r="N24" s="86">
        <f ca="1">('TUSD BE'!$N$24+'TUSD BF'!$N$24+'TUSD CVA'!$N$24)*1</f>
        <v>0</v>
      </c>
      <c r="O24" s="86">
        <f>('TUSD BE'!$O$24+'TUSD BF'!$O$24+'TUSD CVA'!$O$24)*1</f>
        <v>0</v>
      </c>
      <c r="P24" s="86">
        <v>0</v>
      </c>
      <c r="Q24" s="86">
        <f>('TUSD BE'!$Q$24+'TUSD BF'!$Q$24+'TUSD CVA'!$Q$24)*1</f>
        <v>0</v>
      </c>
      <c r="R24" s="86">
        <v>0</v>
      </c>
      <c r="S24" s="86">
        <f>('TUSD BE'!$S$24+'TUSD BF'!$S$24+'TUSD CVA'!$S$24)*1</f>
        <v>0</v>
      </c>
      <c r="T24" s="86">
        <f>('TUSD BE'!$U$24+'TUSD BF'!$U$24+'TUSD CVA'!$U$24)*1</f>
        <v>0</v>
      </c>
      <c r="U24" s="86">
        <f>('TUSD BE'!$V$24+'TUSD BF'!$V$24+'TUSD CVA'!$V$24)*1</f>
        <v>0</v>
      </c>
      <c r="V24" s="86">
        <f>('TUSD BE'!$W$24+'TUSD BF'!$W$24+'TUSD CVA'!$W$24)*1</f>
        <v>0</v>
      </c>
      <c r="W24" s="86">
        <f>('TUSD BE'!$X$24+'TUSD BF'!$X$24+'TUSD CVA'!$X$24)*1</f>
        <v>0</v>
      </c>
      <c r="X24" s="86">
        <f>('TUSD BE'!$Y$24+'TUSD BF'!$Y$24+'TUSD CVA'!$Y$24)*1</f>
        <v>248.47383796936705</v>
      </c>
      <c r="Y24" s="86">
        <f>('TUSD BE'!$Z$24+'TUSD BF'!$Z$24+'TUSD CVA'!$Z$24)*1</f>
        <v>0</v>
      </c>
      <c r="Z24" s="86">
        <f>('TUSD BE'!$AA$24+'TUSD BF'!$AA$24+'TUSD CVA'!$AA$24)*1</f>
        <v>0</v>
      </c>
      <c r="AA24" s="86">
        <f>('TUSD BE'!$AC$24+'TUSD BF'!$AC$24+'TUSD CVA'!$AC$24)*1</f>
        <v>536.41943816145078</v>
      </c>
      <c r="AB24" s="86">
        <f ca="1">('TUSD BE'!$AE$24+'TUSD BF'!$AE$24+'TUSD CVA'!$AE$24)*1</f>
        <v>0</v>
      </c>
      <c r="AC24" s="86">
        <f ca="1">('TUSD BE'!$AF$24+'TUSD BF'!$AF$24+'TUSD CVA'!$AF$24)*1</f>
        <v>0</v>
      </c>
      <c r="AD24" s="86">
        <f>('TUSD BE'!$AH$24+'TUSD BF'!$AH$24+'TUSD CVA'!$AH$24)*1</f>
        <v>45.445672929566683</v>
      </c>
      <c r="AE24" s="86">
        <f>('TUSD BE'!$AI$24+'TUSD BF'!$AI$24+'TUSD CVA'!$AI$24)*1</f>
        <v>0</v>
      </c>
      <c r="AF24" s="86">
        <f ca="1">('TUSD BE'!$AJ$24+'TUSD BF'!$AJ$24+'TUSD CVA'!$AJ$24)*1</f>
        <v>4.2282514992179054</v>
      </c>
      <c r="AG24" s="86">
        <f ca="1">('TUSD BE'!$AK$24+'TUSD BF'!$AK$24+'TUSD CVA'!$AK$24)*1</f>
        <v>0</v>
      </c>
      <c r="AI24" s="86">
        <v>0</v>
      </c>
      <c r="AJ24" s="86">
        <v>2.46793683156461</v>
      </c>
      <c r="AK24" s="86">
        <v>2.4886764031658599E-9</v>
      </c>
      <c r="AL24" s="86">
        <v>0</v>
      </c>
      <c r="AM24" s="86">
        <v>0</v>
      </c>
      <c r="AN24" s="86">
        <v>0</v>
      </c>
      <c r="AO24" s="86">
        <v>0</v>
      </c>
      <c r="AP24" s="86">
        <v>0</v>
      </c>
      <c r="AQ24" s="86">
        <v>0</v>
      </c>
      <c r="AR24" s="86">
        <v>0</v>
      </c>
      <c r="AS24" s="86">
        <v>0</v>
      </c>
      <c r="AT24" s="86">
        <v>0</v>
      </c>
      <c r="AU24" s="86">
        <v>189.58595104339</v>
      </c>
      <c r="AV24" s="86">
        <v>0</v>
      </c>
      <c r="AW24" s="86">
        <v>0</v>
      </c>
      <c r="AX24" s="86">
        <v>456.13714386817497</v>
      </c>
      <c r="AY24" s="86">
        <v>7.5889815695895404</v>
      </c>
      <c r="AZ24" s="86">
        <v>0</v>
      </c>
      <c r="BA24" s="86">
        <v>39.202247326704502</v>
      </c>
      <c r="BB24" s="86">
        <v>0</v>
      </c>
      <c r="BC24" s="86">
        <v>4.9296673030807403</v>
      </c>
      <c r="BD24" s="86">
        <v>0</v>
      </c>
    </row>
    <row r="25" spans="1:56" ht="11.25" customHeight="1" x14ac:dyDescent="0.25">
      <c r="A25" s="134"/>
      <c r="B25" s="134" t="s">
        <v>86</v>
      </c>
      <c r="C25" s="134" t="s">
        <v>24</v>
      </c>
      <c r="D25" s="88" t="s">
        <v>24</v>
      </c>
      <c r="E25" s="88" t="s">
        <v>25</v>
      </c>
      <c r="F25" s="88" t="s">
        <v>25</v>
      </c>
      <c r="G25" s="21" t="s">
        <v>75</v>
      </c>
      <c r="H25" s="21" t="s">
        <v>71</v>
      </c>
      <c r="I25" s="21">
        <f>'MERCADO TUSD'!$U$22</f>
        <v>0</v>
      </c>
      <c r="J25" s="17"/>
      <c r="L25" s="86">
        <f>('TUSD BE'!$L$25+'TUSD BF'!$L$25+'TUSD CVA'!$L$25)*1</f>
        <v>23.676382817448843</v>
      </c>
      <c r="M25" s="86">
        <f>('TUSD BE'!$M$25+'TUSD BF'!$M$25+'TUSD CVA'!$M$25)*1</f>
        <v>3.2299154897781186</v>
      </c>
      <c r="N25" s="86">
        <f ca="1">('TUSD BE'!$N$25+'TUSD BF'!$N$25+'TUSD CVA'!$N$25)*1</f>
        <v>0</v>
      </c>
      <c r="O25" s="86">
        <f>('TUSD BE'!$O$25+'TUSD BF'!$O$25+'TUSD CVA'!$O$25)*1</f>
        <v>0</v>
      </c>
      <c r="P25" s="86">
        <f>('TUSD BE'!$P$25+'TUSD BF'!$P$25+'TUSD CVA'!$P$25)*1</f>
        <v>0</v>
      </c>
      <c r="Q25" s="86">
        <f>('TUSD BE'!$Q$25+'TUSD BF'!$Q$25+'TUSD CVA'!$Q$25)*1</f>
        <v>92.900774886577736</v>
      </c>
      <c r="R25" s="86">
        <f>('TUSD BE'!$R$25+'TUSD BF'!$R$25+'TUSD CVA'!$R$25)*1</f>
        <v>15.148197729489443</v>
      </c>
      <c r="S25" s="86">
        <f>('TUSD BE'!$S$25+'TUSD BF'!$S$25+'TUSD CVA'!$S$25)*1</f>
        <v>0</v>
      </c>
      <c r="T25" s="86">
        <f>('TUSD BE'!$U$25+'TUSD BF'!$U$25+'TUSD CVA'!$U$25)*1</f>
        <v>0</v>
      </c>
      <c r="U25" s="86">
        <f>('TUSD BE'!$V$25+'TUSD BF'!$V$25+'TUSD CVA'!$V$25)*1</f>
        <v>0</v>
      </c>
      <c r="V25" s="86">
        <f>('TUSD BE'!$W$25+'TUSD BF'!$W$25+'TUSD CVA'!$W$25)*1</f>
        <v>0</v>
      </c>
      <c r="W25" s="86">
        <f>('TUSD BE'!$X$25+'TUSD BF'!$X$25+'TUSD CVA'!$X$25)*1</f>
        <v>0</v>
      </c>
      <c r="X25" s="86">
        <f>('TUSD BE'!$Y$25+'TUSD BF'!$Y$25+'TUSD CVA'!$Y$25)*1</f>
        <v>248.47383796936705</v>
      </c>
      <c r="Y25" s="86">
        <f>('TUSD BE'!$Z$25+'TUSD BF'!$Z$25+'TUSD CVA'!$Z$25)*1</f>
        <v>0</v>
      </c>
      <c r="Z25" s="86">
        <f>('TUSD BE'!$AA$25+'TUSD BF'!$AA$25+'TUSD CVA'!$AA$25)*1</f>
        <v>0</v>
      </c>
      <c r="AA25" s="86">
        <f>('TUSD BE'!$AC$25+'TUSD BF'!$AC$25+'TUSD CVA'!$AC$25)*1</f>
        <v>536.41943816145078</v>
      </c>
      <c r="AB25" s="86">
        <f ca="1">('TUSD BE'!$AE$25+'TUSD BF'!$AE$25+'TUSD CVA'!$AE$25)*1</f>
        <v>0</v>
      </c>
      <c r="AC25" s="86">
        <f ca="1">('TUSD BE'!$AF$25+'TUSD BF'!$AF$25+'TUSD CVA'!$AF$25)*1</f>
        <v>0</v>
      </c>
      <c r="AD25" s="86">
        <f>('TUSD BE'!$AH$25+'TUSD BF'!$AH$25+'TUSD CVA'!$AH$25)*1</f>
        <v>45.445672929566683</v>
      </c>
      <c r="AE25" s="86">
        <f>('TUSD BE'!$AI$25+'TUSD BF'!$AI$25+'TUSD CVA'!$AI$25)*1</f>
        <v>0</v>
      </c>
      <c r="AF25" s="86">
        <f ca="1">('TUSD BE'!$AJ$25+'TUSD BF'!$AJ$25+'TUSD CVA'!$AJ$25)*1</f>
        <v>4.2282514992179054</v>
      </c>
      <c r="AG25" s="86">
        <f ca="1">('TUSD BE'!$AK$25+'TUSD BF'!$AK$25+'TUSD CVA'!$AK$25)*1</f>
        <v>0</v>
      </c>
      <c r="AI25" s="86">
        <v>0</v>
      </c>
      <c r="AJ25" s="86">
        <v>2.46793683156461</v>
      </c>
      <c r="AK25" s="86">
        <v>2.4920356183824301E-9</v>
      </c>
      <c r="AL25" s="86">
        <v>0</v>
      </c>
      <c r="AM25" s="86">
        <v>0</v>
      </c>
      <c r="AN25" s="86">
        <v>82.357608125292003</v>
      </c>
      <c r="AO25" s="86">
        <v>9.22411180197515</v>
      </c>
      <c r="AP25" s="86">
        <v>0</v>
      </c>
      <c r="AQ25" s="86">
        <v>0</v>
      </c>
      <c r="AR25" s="86">
        <v>0</v>
      </c>
      <c r="AS25" s="86">
        <v>0</v>
      </c>
      <c r="AT25" s="86">
        <v>0</v>
      </c>
      <c r="AU25" s="86">
        <v>189.58595104339</v>
      </c>
      <c r="AV25" s="86">
        <v>0</v>
      </c>
      <c r="AW25" s="86">
        <v>0</v>
      </c>
      <c r="AX25" s="86">
        <v>456.13714386817497</v>
      </c>
      <c r="AY25" s="86">
        <v>8.5101048699176403</v>
      </c>
      <c r="AZ25" s="86">
        <v>0</v>
      </c>
      <c r="BA25" s="86">
        <v>39.202247326704502</v>
      </c>
      <c r="BB25" s="86">
        <v>0</v>
      </c>
      <c r="BC25" s="86">
        <v>4.9296673030807403</v>
      </c>
      <c r="BD25" s="86">
        <v>0</v>
      </c>
    </row>
    <row r="26" spans="1:56" ht="11.25" customHeight="1" x14ac:dyDescent="0.25">
      <c r="A26" s="134"/>
      <c r="B26" s="134"/>
      <c r="C26" s="134"/>
      <c r="D26" s="88" t="s">
        <v>29</v>
      </c>
      <c r="E26" s="88" t="s">
        <v>25</v>
      </c>
      <c r="F26" s="88" t="s">
        <v>25</v>
      </c>
      <c r="G26" s="21" t="s">
        <v>75</v>
      </c>
      <c r="H26" s="21" t="s">
        <v>71</v>
      </c>
      <c r="I26" s="21">
        <f>'MERCADO TUSD'!$U$23</f>
        <v>0</v>
      </c>
      <c r="J26" s="17"/>
      <c r="L26" s="86">
        <f>('TUSD BE'!$L$26+'TUSD BF'!$L$26+'TUSD CVA'!$L$26)*(1 - 0.65)</f>
        <v>0</v>
      </c>
      <c r="M26" s="86">
        <f>('TUSD BE'!$M$26+'TUSD BF'!$M$26+'TUSD CVA'!$M$26)*(1 - 0.65)</f>
        <v>1.1304704214223413</v>
      </c>
      <c r="N26" s="86">
        <f ca="1">('TUSD BE'!$N$26+'TUSD BF'!$N$26+'TUSD CVA'!$N$26)*(1 - 0.65)</f>
        <v>0</v>
      </c>
      <c r="O26" s="86">
        <f>('TUSD BE'!$O$26+'TUSD BF'!$O$26+'TUSD CVA'!$O$26)*(1 - 0.65)</f>
        <v>0</v>
      </c>
      <c r="P26" s="86">
        <v>0</v>
      </c>
      <c r="Q26" s="86">
        <f>('TUSD BE'!$Q$26+'TUSD BF'!$Q$26+'TUSD CVA'!$Q$26)*(1 - 0.65)</f>
        <v>0</v>
      </c>
      <c r="R26" s="86">
        <v>0</v>
      </c>
      <c r="S26" s="86">
        <f>('TUSD BE'!$S$26+'TUSD BF'!$S$26+'TUSD CVA'!$S$26)*(1 - 0.65)</f>
        <v>0</v>
      </c>
      <c r="T26" s="86">
        <f>('TUSD BE'!$U$26+'TUSD BF'!$U$26+'TUSD CVA'!$U$26)*(1 - 0.65)</f>
        <v>0</v>
      </c>
      <c r="U26" s="86">
        <f>('TUSD BE'!$V$26+'TUSD BF'!$V$26+'TUSD CVA'!$V$26)*(1 - 0.65)</f>
        <v>0</v>
      </c>
      <c r="V26" s="86">
        <f>('TUSD BE'!$W$26+'TUSD BF'!$W$26+'TUSD CVA'!$W$26)*(1 - 0.65)</f>
        <v>0</v>
      </c>
      <c r="W26" s="86">
        <f>('TUSD BE'!$X$26+'TUSD BF'!$X$26+'TUSD CVA'!$X$26)*(1 - 0.65)</f>
        <v>0</v>
      </c>
      <c r="X26" s="86">
        <f>('TUSD BE'!$Y$26+'TUSD BF'!$Y$26+'TUSD CVA'!$Y$26)*(1 - 0.65)</f>
        <v>86.965843289278467</v>
      </c>
      <c r="Y26" s="86">
        <f>('TUSD BE'!$Z$26+'TUSD BF'!$Z$26+'TUSD CVA'!$Z$26)*(1 - 0.65)</f>
        <v>0</v>
      </c>
      <c r="Z26" s="86">
        <f>('TUSD BE'!$AA$26+'TUSD BF'!$AA$26+'TUSD CVA'!$AA$26)*(1 - 0.65)</f>
        <v>0</v>
      </c>
      <c r="AA26" s="86">
        <f>('TUSD BE'!$AC$26+'TUSD BF'!$AC$26+'TUSD CVA'!$AC$26)*(1 - 0.65)</f>
        <v>187.74680335650777</v>
      </c>
      <c r="AB26" s="86">
        <f ca="1">('TUSD BE'!$AE$26+'TUSD BF'!$AE$26+'TUSD CVA'!$AE$26)*(1 - 0.65)</f>
        <v>0</v>
      </c>
      <c r="AC26" s="86">
        <f ca="1">('TUSD BE'!$AF$26+'TUSD BF'!$AF$26+'TUSD CVA'!$AF$26)*(1 - 0.65)</f>
        <v>0</v>
      </c>
      <c r="AD26" s="86">
        <f>('TUSD BE'!$AH$26+'TUSD BF'!$AH$26+'TUSD CVA'!$AH$26)*(1 - 0.65)</f>
        <v>15.905985525348338</v>
      </c>
      <c r="AE26" s="86">
        <f>('TUSD BE'!$AI$26+'TUSD BF'!$AI$26+'TUSD CVA'!$AI$26)*(1 - 0.65)</f>
        <v>0</v>
      </c>
      <c r="AF26" s="86">
        <f ca="1">('TUSD BE'!$AJ$26+'TUSD BF'!$AJ$26+'TUSD CVA'!$AJ$26)*(1 - 0.65)</f>
        <v>1.4798880247262669</v>
      </c>
      <c r="AG26" s="86">
        <f ca="1">('TUSD BE'!$AK$26+'TUSD BF'!$AK$26+'TUSD CVA'!$AK$26)*(1 - 0.65)</f>
        <v>0</v>
      </c>
      <c r="AI26" s="86">
        <v>0</v>
      </c>
      <c r="AJ26" s="86">
        <v>0.86377789104761504</v>
      </c>
      <c r="AK26" s="86">
        <v>8.7103674110805204E-10</v>
      </c>
      <c r="AL26" s="86">
        <v>0</v>
      </c>
      <c r="AM26" s="86">
        <v>0</v>
      </c>
      <c r="AN26" s="86">
        <v>0</v>
      </c>
      <c r="AO26" s="86">
        <v>0</v>
      </c>
      <c r="AP26" s="86">
        <v>0</v>
      </c>
      <c r="AQ26" s="86">
        <v>0</v>
      </c>
      <c r="AR26" s="86">
        <v>0</v>
      </c>
      <c r="AS26" s="86">
        <v>0</v>
      </c>
      <c r="AT26" s="86">
        <v>0</v>
      </c>
      <c r="AU26" s="86">
        <v>66.355082865186503</v>
      </c>
      <c r="AV26" s="86">
        <v>0</v>
      </c>
      <c r="AW26" s="86">
        <v>0</v>
      </c>
      <c r="AX26" s="86">
        <v>159.64800035386099</v>
      </c>
      <c r="AY26" s="86">
        <v>2.6561435493563401</v>
      </c>
      <c r="AZ26" s="86">
        <v>0</v>
      </c>
      <c r="BA26" s="86">
        <v>13.7207865643466</v>
      </c>
      <c r="BB26" s="86">
        <v>0</v>
      </c>
      <c r="BC26" s="86">
        <v>1.72538355607826</v>
      </c>
      <c r="BD26" s="86">
        <v>0</v>
      </c>
    </row>
    <row r="27" spans="1:56" ht="11.25" customHeight="1" x14ac:dyDescent="0.25">
      <c r="A27" s="134"/>
      <c r="B27" s="134"/>
      <c r="C27" s="134"/>
      <c r="D27" s="88" t="s">
        <v>30</v>
      </c>
      <c r="E27" s="88" t="s">
        <v>25</v>
      </c>
      <c r="F27" s="88" t="s">
        <v>25</v>
      </c>
      <c r="G27" s="21" t="s">
        <v>75</v>
      </c>
      <c r="H27" s="21" t="s">
        <v>71</v>
      </c>
      <c r="I27" s="21">
        <f>'MERCADO TUSD'!$U$24</f>
        <v>0</v>
      </c>
      <c r="J27" s="17"/>
      <c r="L27" s="86">
        <f>('TUSD BE'!$L$27+'TUSD BF'!$L$27+'TUSD CVA'!$L$27)*(1 - 0.4)</f>
        <v>0</v>
      </c>
      <c r="M27" s="86">
        <f>('TUSD BE'!$M$27+'TUSD BF'!$M$27+'TUSD CVA'!$M$27)*(1 - 0.4)</f>
        <v>1.937949293866871</v>
      </c>
      <c r="N27" s="86">
        <f ca="1">('TUSD BE'!$N$27+'TUSD BF'!$N$27+'TUSD CVA'!$N$27)*(1 - 0.4)</f>
        <v>0</v>
      </c>
      <c r="O27" s="86">
        <f>('TUSD BE'!$O$27+'TUSD BF'!$O$27+'TUSD CVA'!$O$27)*(1 - 0.4)</f>
        <v>0</v>
      </c>
      <c r="P27" s="86">
        <v>0</v>
      </c>
      <c r="Q27" s="86">
        <f>('TUSD BE'!$Q$27+'TUSD BF'!$Q$27+'TUSD CVA'!$Q$27)*(1 - 0.4)</f>
        <v>0</v>
      </c>
      <c r="R27" s="86">
        <v>0</v>
      </c>
      <c r="S27" s="86">
        <f>('TUSD BE'!$S$27+'TUSD BF'!$S$27+'TUSD CVA'!$S$27)*(1 - 0.4)</f>
        <v>0</v>
      </c>
      <c r="T27" s="86">
        <f>('TUSD BE'!$U$27+'TUSD BF'!$U$27+'TUSD CVA'!$U$27)*(1 - 0.4)</f>
        <v>0</v>
      </c>
      <c r="U27" s="86">
        <f>('TUSD BE'!$V$27+'TUSD BF'!$V$27+'TUSD CVA'!$V$27)*(1 - 0.4)</f>
        <v>0</v>
      </c>
      <c r="V27" s="86">
        <f>('TUSD BE'!$W$27+'TUSD BF'!$W$27+'TUSD CVA'!$W$27)*(1 - 0.4)</f>
        <v>0</v>
      </c>
      <c r="W27" s="86">
        <f>('TUSD BE'!$X$27+'TUSD BF'!$X$27+'TUSD CVA'!$X$27)*(1 - 0.4)</f>
        <v>0</v>
      </c>
      <c r="X27" s="86">
        <f>('TUSD BE'!$Y$27+'TUSD BF'!$Y$27+'TUSD CVA'!$Y$27)*(1 - 0.4)</f>
        <v>149.08430278162024</v>
      </c>
      <c r="Y27" s="86">
        <f>('TUSD BE'!$Z$27+'TUSD BF'!$Z$27+'TUSD CVA'!$Z$27)*(1 - 0.4)</f>
        <v>0</v>
      </c>
      <c r="Z27" s="86">
        <f>('TUSD BE'!$AA$27+'TUSD BF'!$AA$27+'TUSD CVA'!$AA$27)*(1 - 0.4)</f>
        <v>0</v>
      </c>
      <c r="AA27" s="86">
        <f>('TUSD BE'!$AC$27+'TUSD BF'!$AC$27+'TUSD CVA'!$AC$27)*(1 - 0.4)</f>
        <v>321.85166289687044</v>
      </c>
      <c r="AB27" s="86">
        <f ca="1">('TUSD BE'!$AE$27+'TUSD BF'!$AE$27+'TUSD CVA'!$AE$27)*(1 - 0.4)</f>
        <v>0</v>
      </c>
      <c r="AC27" s="86">
        <f ca="1">('TUSD BE'!$AF$27+'TUSD BF'!$AF$27+'TUSD CVA'!$AF$27)*(1 - 0.4)</f>
        <v>0</v>
      </c>
      <c r="AD27" s="86">
        <f>('TUSD BE'!$AH$27+'TUSD BF'!$AH$27+'TUSD CVA'!$AH$27)*(1 - 0.4)</f>
        <v>27.267403757740009</v>
      </c>
      <c r="AE27" s="86">
        <f>('TUSD BE'!$AI$27+'TUSD BF'!$AI$27+'TUSD CVA'!$AI$27)*(1 - 0.4)</f>
        <v>0</v>
      </c>
      <c r="AF27" s="86">
        <f ca="1">('TUSD BE'!$AJ$27+'TUSD BF'!$AJ$27+'TUSD CVA'!$AJ$27)*(1 - 0.4)</f>
        <v>2.5369508995307433</v>
      </c>
      <c r="AG27" s="86">
        <f ca="1">('TUSD BE'!$AK$27+'TUSD BF'!$AK$27+'TUSD CVA'!$AK$27)*(1 - 0.4)</f>
        <v>0</v>
      </c>
      <c r="AI27" s="86">
        <v>0</v>
      </c>
      <c r="AJ27" s="86">
        <v>1.48076209893877</v>
      </c>
      <c r="AK27" s="86">
        <v>1.4932058418995199E-9</v>
      </c>
      <c r="AL27" s="86">
        <v>0</v>
      </c>
      <c r="AM27" s="86">
        <v>0</v>
      </c>
      <c r="AN27" s="86">
        <v>0</v>
      </c>
      <c r="AO27" s="86">
        <v>0</v>
      </c>
      <c r="AP27" s="86">
        <v>0</v>
      </c>
      <c r="AQ27" s="86">
        <v>0</v>
      </c>
      <c r="AR27" s="86">
        <v>0</v>
      </c>
      <c r="AS27" s="86">
        <v>0</v>
      </c>
      <c r="AT27" s="86">
        <v>0</v>
      </c>
      <c r="AU27" s="86">
        <v>113.751570626034</v>
      </c>
      <c r="AV27" s="86">
        <v>0</v>
      </c>
      <c r="AW27" s="86">
        <v>0</v>
      </c>
      <c r="AX27" s="86">
        <v>273.68228632090501</v>
      </c>
      <c r="AY27" s="86">
        <v>4.5533889417537203</v>
      </c>
      <c r="AZ27" s="86">
        <v>0</v>
      </c>
      <c r="BA27" s="86">
        <v>23.521348396022699</v>
      </c>
      <c r="BB27" s="86">
        <v>0</v>
      </c>
      <c r="BC27" s="86">
        <v>2.9578003818484402</v>
      </c>
      <c r="BD27" s="86">
        <v>0</v>
      </c>
    </row>
    <row r="28" spans="1:56" ht="11.25" customHeight="1" x14ac:dyDescent="0.25">
      <c r="A28" s="134"/>
      <c r="B28" s="134"/>
      <c r="C28" s="134"/>
      <c r="D28" s="88" t="s">
        <v>31</v>
      </c>
      <c r="E28" s="88" t="s">
        <v>25</v>
      </c>
      <c r="F28" s="88" t="s">
        <v>25</v>
      </c>
      <c r="G28" s="21" t="s">
        <v>75</v>
      </c>
      <c r="H28" s="21" t="s">
        <v>71</v>
      </c>
      <c r="I28" s="21">
        <f>'MERCADO TUSD'!$U$25</f>
        <v>0</v>
      </c>
      <c r="J28" s="17"/>
      <c r="L28" s="86">
        <f>('TUSD BE'!$L$28+'TUSD BF'!$L$28+'TUSD CVA'!$L$28)*(1 - 0.1)</f>
        <v>0</v>
      </c>
      <c r="M28" s="86">
        <f>('TUSD BE'!$M$28+'TUSD BF'!$M$28+'TUSD CVA'!$M$28)*(1 - 0.1)</f>
        <v>2.9069239408003069</v>
      </c>
      <c r="N28" s="86">
        <f ca="1">('TUSD BE'!$N$28+'TUSD BF'!$N$28+'TUSD CVA'!$N$28)*(1 - 0.1)</f>
        <v>0</v>
      </c>
      <c r="O28" s="86">
        <f>('TUSD BE'!$O$28+'TUSD BF'!$O$28+'TUSD CVA'!$O$28)*(1 - 0.1)</f>
        <v>0</v>
      </c>
      <c r="P28" s="86">
        <v>0</v>
      </c>
      <c r="Q28" s="86">
        <f>('TUSD BE'!$Q$28+'TUSD BF'!$Q$28+'TUSD CVA'!$Q$28)*(1 - 0.1)</f>
        <v>0</v>
      </c>
      <c r="R28" s="86">
        <v>0</v>
      </c>
      <c r="S28" s="86">
        <f>('TUSD BE'!$S$28+'TUSD BF'!$S$28+'TUSD CVA'!$S$28)*(1 - 0.1)</f>
        <v>0</v>
      </c>
      <c r="T28" s="86">
        <f>('TUSD BE'!$U$28+'TUSD BF'!$U$28+'TUSD CVA'!$U$28)*(1 - 0.1)</f>
        <v>0</v>
      </c>
      <c r="U28" s="86">
        <f>('TUSD BE'!$V$28+'TUSD BF'!$V$28+'TUSD CVA'!$V$28)*(1 - 0.1)</f>
        <v>0</v>
      </c>
      <c r="V28" s="86">
        <f>('TUSD BE'!$W$28+'TUSD BF'!$W$28+'TUSD CVA'!$W$28)*(1 - 0.1)</f>
        <v>0</v>
      </c>
      <c r="W28" s="86">
        <f>('TUSD BE'!$X$28+'TUSD BF'!$X$28+'TUSD CVA'!$X$28)*(1 - 0.1)</f>
        <v>0</v>
      </c>
      <c r="X28" s="86">
        <f>('TUSD BE'!$Y$28+'TUSD BF'!$Y$28+'TUSD CVA'!$Y$28)*(1 - 0.1)</f>
        <v>223.62645417243036</v>
      </c>
      <c r="Y28" s="86">
        <f>('TUSD BE'!$Z$28+'TUSD BF'!$Z$28+'TUSD CVA'!$Z$28)*(1 - 0.1)</f>
        <v>0</v>
      </c>
      <c r="Z28" s="86">
        <f>('TUSD BE'!$AA$28+'TUSD BF'!$AA$28+'TUSD CVA'!$AA$28)*(1 - 0.1)</f>
        <v>0</v>
      </c>
      <c r="AA28" s="86">
        <f>('TUSD BE'!$AC$28+'TUSD BF'!$AC$28+'TUSD CVA'!$AC$28)*(1 - 0.1)</f>
        <v>482.77749434530574</v>
      </c>
      <c r="AB28" s="86">
        <f ca="1">('TUSD BE'!$AE$28+'TUSD BF'!$AE$28+'TUSD CVA'!$AE$28)*(1 - 0.1)</f>
        <v>0</v>
      </c>
      <c r="AC28" s="86">
        <f ca="1">('TUSD BE'!$AF$28+'TUSD BF'!$AF$28+'TUSD CVA'!$AF$28)*(1 - 0.1)</f>
        <v>0</v>
      </c>
      <c r="AD28" s="86">
        <f>('TUSD BE'!$AH$28+'TUSD BF'!$AH$28+'TUSD CVA'!$AH$28)*(1 - 0.1)</f>
        <v>40.901105636610019</v>
      </c>
      <c r="AE28" s="86">
        <f>('TUSD BE'!$AI$28+'TUSD BF'!$AI$28+'TUSD CVA'!$AI$28)*(1 - 0.1)</f>
        <v>0</v>
      </c>
      <c r="AF28" s="86">
        <f ca="1">('TUSD BE'!$AJ$28+'TUSD BF'!$AJ$28+'TUSD CVA'!$AJ$28)*(1 - 0.1)</f>
        <v>3.8054263492961149</v>
      </c>
      <c r="AG28" s="86">
        <f ca="1">('TUSD BE'!$AK$28+'TUSD BF'!$AK$28+'TUSD CVA'!$AK$28)*(1 - 0.1)</f>
        <v>0</v>
      </c>
      <c r="AI28" s="86">
        <v>0</v>
      </c>
      <c r="AJ28" s="86">
        <v>2.2211431484081499</v>
      </c>
      <c r="AK28" s="86">
        <v>2.2398087628492801E-9</v>
      </c>
      <c r="AL28" s="86">
        <v>0</v>
      </c>
      <c r="AM28" s="86">
        <v>0</v>
      </c>
      <c r="AN28" s="86">
        <v>0</v>
      </c>
      <c r="AO28" s="86">
        <v>0</v>
      </c>
      <c r="AP28" s="86">
        <v>0</v>
      </c>
      <c r="AQ28" s="86">
        <v>0</v>
      </c>
      <c r="AR28" s="86">
        <v>0</v>
      </c>
      <c r="AS28" s="86">
        <v>0</v>
      </c>
      <c r="AT28" s="86">
        <v>0</v>
      </c>
      <c r="AU28" s="86">
        <v>170.627355939051</v>
      </c>
      <c r="AV28" s="86">
        <v>0</v>
      </c>
      <c r="AW28" s="86">
        <v>0</v>
      </c>
      <c r="AX28" s="86">
        <v>410.52342948135799</v>
      </c>
      <c r="AY28" s="86">
        <v>6.8300834126305903</v>
      </c>
      <c r="AZ28" s="86">
        <v>0</v>
      </c>
      <c r="BA28" s="86">
        <v>35.282022594034103</v>
      </c>
      <c r="BB28" s="86">
        <v>0</v>
      </c>
      <c r="BC28" s="86">
        <v>4.4367005727726703</v>
      </c>
      <c r="BD28" s="86">
        <v>0</v>
      </c>
    </row>
    <row r="29" spans="1:56" ht="11.25" customHeight="1" x14ac:dyDescent="0.25">
      <c r="A29" s="134"/>
      <c r="B29" s="134"/>
      <c r="C29" s="134"/>
      <c r="D29" s="88" t="s">
        <v>32</v>
      </c>
      <c r="E29" s="88" t="s">
        <v>25</v>
      </c>
      <c r="F29" s="88" t="s">
        <v>25</v>
      </c>
      <c r="G29" s="21" t="s">
        <v>75</v>
      </c>
      <c r="H29" s="21" t="s">
        <v>71</v>
      </c>
      <c r="I29" s="21">
        <f>'MERCADO TUSD'!$U$26</f>
        <v>0</v>
      </c>
      <c r="J29" s="17"/>
      <c r="L29" s="86">
        <f>('TUSD BE'!$L$29+'TUSD BF'!$L$29+'TUSD CVA'!$L$29)*1</f>
        <v>0</v>
      </c>
      <c r="M29" s="86">
        <f>('TUSD BE'!$M$29+'TUSD BF'!$M$29+'TUSD CVA'!$M$29)*1</f>
        <v>3.2299154897781186</v>
      </c>
      <c r="N29" s="86">
        <f ca="1">('TUSD BE'!$N$29+'TUSD BF'!$N$29+'TUSD CVA'!$N$29)*1</f>
        <v>0</v>
      </c>
      <c r="O29" s="86">
        <f>('TUSD BE'!$O$29+'TUSD BF'!$O$29+'TUSD CVA'!$O$29)*1</f>
        <v>0</v>
      </c>
      <c r="P29" s="86">
        <v>0</v>
      </c>
      <c r="Q29" s="86">
        <f>('TUSD BE'!$Q$29+'TUSD BF'!$Q$29+'TUSD CVA'!$Q$29)*1</f>
        <v>0</v>
      </c>
      <c r="R29" s="86">
        <v>0</v>
      </c>
      <c r="S29" s="86">
        <f>('TUSD BE'!$S$29+'TUSD BF'!$S$29+'TUSD CVA'!$S$29)*1</f>
        <v>0</v>
      </c>
      <c r="T29" s="86">
        <f>('TUSD BE'!$U$29+'TUSD BF'!$U$29+'TUSD CVA'!$U$29)*1</f>
        <v>0</v>
      </c>
      <c r="U29" s="86">
        <f>('TUSD BE'!$V$29+'TUSD BF'!$V$29+'TUSD CVA'!$V$29)*1</f>
        <v>0</v>
      </c>
      <c r="V29" s="86">
        <f>('TUSD BE'!$W$29+'TUSD BF'!$W$29+'TUSD CVA'!$W$29)*1</f>
        <v>0</v>
      </c>
      <c r="W29" s="86">
        <f>('TUSD BE'!$X$29+'TUSD BF'!$X$29+'TUSD CVA'!$X$29)*1</f>
        <v>0</v>
      </c>
      <c r="X29" s="86">
        <f>('TUSD BE'!$Y$29+'TUSD BF'!$Y$29+'TUSD CVA'!$Y$29)*1</f>
        <v>248.47383796936705</v>
      </c>
      <c r="Y29" s="86">
        <f>('TUSD BE'!$Z$29+'TUSD BF'!$Z$29+'TUSD CVA'!$Z$29)*1</f>
        <v>0</v>
      </c>
      <c r="Z29" s="86">
        <f>('TUSD BE'!$AA$29+'TUSD BF'!$AA$29+'TUSD CVA'!$AA$29)*1</f>
        <v>0</v>
      </c>
      <c r="AA29" s="86">
        <f>('TUSD BE'!$AC$29+'TUSD BF'!$AC$29+'TUSD CVA'!$AC$29)*1</f>
        <v>536.41943816145078</v>
      </c>
      <c r="AB29" s="86">
        <f ca="1">('TUSD BE'!$AE$29+'TUSD BF'!$AE$29+'TUSD CVA'!$AE$29)*1</f>
        <v>0</v>
      </c>
      <c r="AC29" s="86">
        <f ca="1">('TUSD BE'!$AF$29+'TUSD BF'!$AF$29+'TUSD CVA'!$AF$29)*1</f>
        <v>0</v>
      </c>
      <c r="AD29" s="86">
        <f>('TUSD BE'!$AH$29+'TUSD BF'!$AH$29+'TUSD CVA'!$AH$29)*1</f>
        <v>45.445672929566683</v>
      </c>
      <c r="AE29" s="86">
        <f>('TUSD BE'!$AI$29+'TUSD BF'!$AI$29+'TUSD CVA'!$AI$29)*1</f>
        <v>0</v>
      </c>
      <c r="AF29" s="86">
        <f ca="1">('TUSD BE'!$AJ$29+'TUSD BF'!$AJ$29+'TUSD CVA'!$AJ$29)*1</f>
        <v>4.2282514992179054</v>
      </c>
      <c r="AG29" s="86">
        <f ca="1">('TUSD BE'!$AK$29+'TUSD BF'!$AK$29+'TUSD CVA'!$AK$29)*1</f>
        <v>0</v>
      </c>
      <c r="AI29" s="86">
        <v>0</v>
      </c>
      <c r="AJ29" s="86">
        <v>2.46793683156461</v>
      </c>
      <c r="AK29" s="86">
        <v>2.4886764031658599E-9</v>
      </c>
      <c r="AL29" s="86">
        <v>0</v>
      </c>
      <c r="AM29" s="86">
        <v>0</v>
      </c>
      <c r="AN29" s="86">
        <v>0</v>
      </c>
      <c r="AO29" s="86">
        <v>0</v>
      </c>
      <c r="AP29" s="86">
        <v>0</v>
      </c>
      <c r="AQ29" s="86">
        <v>0</v>
      </c>
      <c r="AR29" s="86">
        <v>0</v>
      </c>
      <c r="AS29" s="86">
        <v>0</v>
      </c>
      <c r="AT29" s="86">
        <v>0</v>
      </c>
      <c r="AU29" s="86">
        <v>189.58595104339</v>
      </c>
      <c r="AV29" s="86">
        <v>0</v>
      </c>
      <c r="AW29" s="86">
        <v>0</v>
      </c>
      <c r="AX29" s="86">
        <v>456.13714386817497</v>
      </c>
      <c r="AY29" s="86">
        <v>7.5889815695895404</v>
      </c>
      <c r="AZ29" s="86">
        <v>0</v>
      </c>
      <c r="BA29" s="86">
        <v>39.202247326704502</v>
      </c>
      <c r="BB29" s="86">
        <v>0</v>
      </c>
      <c r="BC29" s="86">
        <v>4.9296673030807403</v>
      </c>
      <c r="BD29" s="86">
        <v>0</v>
      </c>
    </row>
    <row r="30" spans="1:56" ht="11.25" customHeight="1" x14ac:dyDescent="0.25">
      <c r="A30" s="134" t="s">
        <v>43</v>
      </c>
      <c r="B30" s="134" t="s">
        <v>37</v>
      </c>
      <c r="C30" s="134" t="s">
        <v>44</v>
      </c>
      <c r="D30" s="134" t="s">
        <v>25</v>
      </c>
      <c r="E30" s="134" t="s">
        <v>25</v>
      </c>
      <c r="F30" s="134" t="s">
        <v>25</v>
      </c>
      <c r="G30" s="21" t="s">
        <v>72</v>
      </c>
      <c r="H30" s="21" t="s">
        <v>71</v>
      </c>
      <c r="I30" s="21">
        <f>'MERCADO TUSD'!$U$27</f>
        <v>0</v>
      </c>
      <c r="J30" s="17"/>
      <c r="L30" s="86">
        <f>('TUSD BE'!$L$30+'TUSD BF'!$L$30+'TUSD CVA'!$L$30)*(1 - CUSTOS!$M$38)</f>
        <v>22.25579984840191</v>
      </c>
      <c r="M30" s="86">
        <f>('TUSD BE'!$M$30+'TUSD BF'!$M$30+'TUSD CVA'!$M$30)*(1 - CUSTOS!$M$38)</f>
        <v>3.0361205603914314</v>
      </c>
      <c r="N30" s="86">
        <f ca="1">('TUSD BE'!$N$30+'TUSD BF'!$N$30+'TUSD CVA'!$N$30)*(1 - CUSTOS!$M$38)</f>
        <v>0</v>
      </c>
      <c r="O30" s="86">
        <f>('TUSD BE'!$O$30+'TUSD BF'!$O$30+'TUSD CVA'!$O$30)*(1 - CUSTOS!$M$38)</f>
        <v>0</v>
      </c>
      <c r="P30" s="86">
        <f>('TUSD BE'!$P$30+'TUSD BF'!$P$30+'TUSD CVA'!$P$30)*(1 - CUSTOS!$M$38)</f>
        <v>0</v>
      </c>
      <c r="Q30" s="86">
        <f>('TUSD BE'!$Q$30+'TUSD BF'!$Q$30+'TUSD CVA'!$Q$30)*(1 - CUSTOS!$M$38)</f>
        <v>87.326728393383064</v>
      </c>
      <c r="R30" s="86">
        <f>('TUSD BE'!$R$30+'TUSD BF'!$R$30+'TUSD CVA'!$R$30)*(1 - CUSTOS!$M$38)</f>
        <v>14.239305865720075</v>
      </c>
      <c r="S30" s="86">
        <f>('TUSD BE'!$S$30+'TUSD BF'!$S$30+'TUSD CVA'!$S$30)*(1 - CUSTOS!$M$38)</f>
        <v>0</v>
      </c>
      <c r="T30" s="86">
        <f>('TUSD BE'!$U$30+'TUSD BF'!$U$30+'TUSD CVA'!$U$30)*(1 - CUSTOS!$M$38)</f>
        <v>0</v>
      </c>
      <c r="U30" s="86">
        <f>('TUSD BE'!$V$30+'TUSD BF'!$V$30+'TUSD CVA'!$V$30)*(1 - CUSTOS!$M$38)</f>
        <v>0</v>
      </c>
      <c r="V30" s="86">
        <f>('TUSD BE'!$W$30+'TUSD BF'!$W$30+'TUSD CVA'!$W$30)*(1 - CUSTOS!$M$38)</f>
        <v>0</v>
      </c>
      <c r="W30" s="86">
        <f>('TUSD BE'!$X$30+'TUSD BF'!$X$30+'TUSD CVA'!$X$30)*(1 - CUSTOS!$M$38)</f>
        <v>0</v>
      </c>
      <c r="X30" s="86">
        <f>('TUSD BE'!$Y$30+'TUSD BF'!$Y$30+'TUSD CVA'!$Y$30)*(1 - CUSTOS!$M$38)</f>
        <v>607.27059055328345</v>
      </c>
      <c r="Y30" s="86">
        <f>('TUSD BE'!$Z$30+'TUSD BF'!$Z$30+'TUSD CVA'!$Z$30)*(1 - CUSTOS!$M$38)</f>
        <v>0</v>
      </c>
      <c r="Z30" s="86">
        <f>('TUSD BE'!$AA$30+'TUSD BF'!$AA$30+'TUSD CVA'!$AA$30)*(1 - CUSTOS!$M$38)</f>
        <v>0</v>
      </c>
      <c r="AA30" s="86">
        <f>('TUSD BE'!$AC$30+'TUSD BF'!$AC$30+'TUSD CVA'!$AC$30)*(1 - CUSTOS!$M$38)</f>
        <v>1311.0087023440778</v>
      </c>
      <c r="AB30" s="86">
        <f ca="1">('TUSD BE'!$AE$30+'TUSD BF'!$AE$30+'TUSD CVA'!$AE$30)*(1 - CUSTOS!$M$38)</f>
        <v>0</v>
      </c>
      <c r="AC30" s="86">
        <f ca="1">('TUSD BE'!$AF$30+'TUSD BF'!$AF$30+'TUSD CVA'!$AF$30)*(1 - CUSTOS!$M$38)</f>
        <v>0</v>
      </c>
      <c r="AD30" s="86">
        <f>('TUSD BE'!$AH$30+'TUSD BF'!$AH$30+'TUSD CVA'!$AH$30)*(1 - CUSTOS!$M$38)</f>
        <v>42.718932553792676</v>
      </c>
      <c r="AE30" s="86">
        <f>('TUSD BE'!$AI$30+'TUSD BF'!$AI$30+'TUSD CVA'!$AI$30)*(1 - CUSTOS!$M$38)</f>
        <v>0</v>
      </c>
      <c r="AF30" s="86">
        <f ca="1">('TUSD BE'!$AJ$30+'TUSD BF'!$AJ$30+'TUSD CVA'!$AJ$30)*(1 - CUSTOS!$M$38)</f>
        <v>3.9745564092648307</v>
      </c>
      <c r="AG30" s="86">
        <f ca="1">('TUSD BE'!$AK$30+'TUSD BF'!$AK$30+'TUSD CVA'!$AK$30)*(1 - CUSTOS!$M$38)</f>
        <v>0</v>
      </c>
      <c r="AI30" s="86">
        <v>0</v>
      </c>
      <c r="AJ30" s="86">
        <v>2.1717844117768599</v>
      </c>
      <c r="AK30" s="86">
        <v>5.4746558794992803E-9</v>
      </c>
      <c r="AL30" s="86">
        <v>0</v>
      </c>
      <c r="AM30" s="86">
        <v>0</v>
      </c>
      <c r="AN30" s="86">
        <v>72.474695150257006</v>
      </c>
      <c r="AO30" s="86">
        <v>8.1172183857381395</v>
      </c>
      <c r="AP30" s="86">
        <v>0</v>
      </c>
      <c r="AQ30" s="86">
        <v>0</v>
      </c>
      <c r="AR30" s="86">
        <v>0</v>
      </c>
      <c r="AS30" s="86">
        <v>0</v>
      </c>
      <c r="AT30" s="86">
        <v>0</v>
      </c>
      <c r="AU30" s="86">
        <v>433.77203800356301</v>
      </c>
      <c r="AV30" s="86">
        <v>0</v>
      </c>
      <c r="AW30" s="86">
        <v>0</v>
      </c>
      <c r="AX30" s="86">
        <v>1043.64158209416</v>
      </c>
      <c r="AY30" s="86">
        <v>17.695813203863</v>
      </c>
      <c r="AZ30" s="86">
        <v>0</v>
      </c>
      <c r="BA30" s="86">
        <v>34.497977647500001</v>
      </c>
      <c r="BB30" s="86">
        <v>0</v>
      </c>
      <c r="BC30" s="86">
        <v>4.3381072267110499</v>
      </c>
      <c r="BD30" s="86">
        <v>0</v>
      </c>
    </row>
    <row r="31" spans="1:56" ht="11.25" customHeight="1" x14ac:dyDescent="0.25">
      <c r="A31" s="134"/>
      <c r="B31" s="134"/>
      <c r="C31" s="134"/>
      <c r="D31" s="134"/>
      <c r="E31" s="134"/>
      <c r="F31" s="134"/>
      <c r="G31" s="21" t="s">
        <v>84</v>
      </c>
      <c r="H31" s="21" t="s">
        <v>71</v>
      </c>
      <c r="I31" s="21">
        <f>'MERCADO TUSD'!$U$28</f>
        <v>0</v>
      </c>
      <c r="J31" s="17"/>
      <c r="L31" s="86">
        <f>('TUSD BE'!$L$31+'TUSD BF'!$L$31+'TUSD CVA'!$L$31)*(1 - CUSTOS!$M$38)</f>
        <v>22.25579984840191</v>
      </c>
      <c r="M31" s="86">
        <f>('TUSD BE'!$M$31+'TUSD BF'!$M$31+'TUSD CVA'!$M$31)*(1 - CUSTOS!$M$38)</f>
        <v>3.0361205603914314</v>
      </c>
      <c r="N31" s="86">
        <f ca="1">('TUSD BE'!$N$31+'TUSD BF'!$N$31+'TUSD CVA'!$N$31)*(1 - CUSTOS!$M$38)</f>
        <v>0</v>
      </c>
      <c r="O31" s="86">
        <f>('TUSD BE'!$O$31+'TUSD BF'!$O$31+'TUSD CVA'!$O$31)*(1 - CUSTOS!$M$38)</f>
        <v>0</v>
      </c>
      <c r="P31" s="86">
        <f>('TUSD BE'!$P$31+'TUSD BF'!$P$31+'TUSD CVA'!$P$31)*(1 - CUSTOS!$M$38)</f>
        <v>0</v>
      </c>
      <c r="Q31" s="86">
        <f>('TUSD BE'!$Q$31+'TUSD BF'!$Q$31+'TUSD CVA'!$Q$31)*(1 - CUSTOS!$M$38)</f>
        <v>87.326728393383064</v>
      </c>
      <c r="R31" s="86">
        <f>('TUSD BE'!$R$31+'TUSD BF'!$R$31+'TUSD CVA'!$R$31)*(1 - CUSTOS!$M$38)</f>
        <v>14.239305865720075</v>
      </c>
      <c r="S31" s="86">
        <f>('TUSD BE'!$S$31+'TUSD BF'!$S$31+'TUSD CVA'!$S$31)*(1 - CUSTOS!$M$38)</f>
        <v>0</v>
      </c>
      <c r="T31" s="86">
        <f>('TUSD BE'!$U$31+'TUSD BF'!$U$31+'TUSD CVA'!$U$31)*(1 - CUSTOS!$M$38)</f>
        <v>0</v>
      </c>
      <c r="U31" s="86">
        <f>('TUSD BE'!$V$31+'TUSD BF'!$V$31+'TUSD CVA'!$V$31)*(1 - CUSTOS!$M$38)</f>
        <v>0</v>
      </c>
      <c r="V31" s="86">
        <f>('TUSD BE'!$W$31+'TUSD BF'!$W$31+'TUSD CVA'!$W$31)*(1 - CUSTOS!$M$38)</f>
        <v>0</v>
      </c>
      <c r="W31" s="86">
        <f>('TUSD BE'!$X$31+'TUSD BF'!$X$31+'TUSD CVA'!$X$31)*(1 - CUSTOS!$M$38)</f>
        <v>0</v>
      </c>
      <c r="X31" s="86">
        <f>('TUSD BE'!$Y$31+'TUSD BF'!$Y$31+'TUSD CVA'!$Y$31)*(1 - CUSTOS!$M$38)</f>
        <v>364.36208905389486</v>
      </c>
      <c r="Y31" s="86">
        <f>('TUSD BE'!$Z$31+'TUSD BF'!$Z$31+'TUSD CVA'!$Z$31)*(1 - CUSTOS!$M$38)</f>
        <v>0</v>
      </c>
      <c r="Z31" s="86">
        <f>('TUSD BE'!$AA$31+'TUSD BF'!$AA$31+'TUSD CVA'!$AA$31)*(1 - CUSTOS!$M$38)</f>
        <v>0</v>
      </c>
      <c r="AA31" s="86">
        <f>('TUSD BE'!$AC$31+'TUSD BF'!$AC$31+'TUSD CVA'!$AC$31)*(1 - CUSTOS!$M$38)</f>
        <v>786.60534276319902</v>
      </c>
      <c r="AB31" s="86">
        <f ca="1">('TUSD BE'!$AE$31+'TUSD BF'!$AE$31+'TUSD CVA'!$AE$31)*(1 - CUSTOS!$M$38)</f>
        <v>0</v>
      </c>
      <c r="AC31" s="86">
        <f ca="1">('TUSD BE'!$AF$31+'TUSD BF'!$AF$31+'TUSD CVA'!$AF$31)*(1 - CUSTOS!$M$38)</f>
        <v>0</v>
      </c>
      <c r="AD31" s="86">
        <f>('TUSD BE'!$AH$31+'TUSD BF'!$AH$31+'TUSD CVA'!$AH$31)*(1 - CUSTOS!$M$38)</f>
        <v>42.718932553792676</v>
      </c>
      <c r="AE31" s="86">
        <f>('TUSD BE'!$AI$31+'TUSD BF'!$AI$31+'TUSD CVA'!$AI$31)*(1 - CUSTOS!$M$38)</f>
        <v>0</v>
      </c>
      <c r="AF31" s="86">
        <f ca="1">('TUSD BE'!$AJ$31+'TUSD BF'!$AJ$31+'TUSD CVA'!$AJ$31)*(1 - CUSTOS!$M$38)</f>
        <v>3.9745564092648307</v>
      </c>
      <c r="AG31" s="86">
        <f ca="1">('TUSD BE'!$AK$31+'TUSD BF'!$AK$31+'TUSD CVA'!$AK$31)*(1 - CUSTOS!$M$38)</f>
        <v>0</v>
      </c>
      <c r="AI31" s="86">
        <v>0</v>
      </c>
      <c r="AJ31" s="86">
        <v>2.1717844117768599</v>
      </c>
      <c r="AK31" s="86">
        <v>3.3415728673401199E-9</v>
      </c>
      <c r="AL31" s="86">
        <v>0</v>
      </c>
      <c r="AM31" s="86">
        <v>0</v>
      </c>
      <c r="AN31" s="86">
        <v>72.474695150257006</v>
      </c>
      <c r="AO31" s="86">
        <v>8.1172183857381395</v>
      </c>
      <c r="AP31" s="86">
        <v>0</v>
      </c>
      <c r="AQ31" s="86">
        <v>0</v>
      </c>
      <c r="AR31" s="86">
        <v>0</v>
      </c>
      <c r="AS31" s="86">
        <v>0</v>
      </c>
      <c r="AT31" s="86">
        <v>0</v>
      </c>
      <c r="AU31" s="86">
        <v>260.26324657074201</v>
      </c>
      <c r="AV31" s="86">
        <v>0</v>
      </c>
      <c r="AW31" s="86">
        <v>0</v>
      </c>
      <c r="AX31" s="86">
        <v>626.18481870749201</v>
      </c>
      <c r="AY31" s="86">
        <v>11.0613112040242</v>
      </c>
      <c r="AZ31" s="86">
        <v>0</v>
      </c>
      <c r="BA31" s="86">
        <v>34.497977647500001</v>
      </c>
      <c r="BB31" s="86">
        <v>0</v>
      </c>
      <c r="BC31" s="86">
        <v>4.3381072267110499</v>
      </c>
      <c r="BD31" s="86">
        <v>0</v>
      </c>
    </row>
    <row r="32" spans="1:56" ht="11.25" customHeight="1" x14ac:dyDescent="0.25">
      <c r="A32" s="134"/>
      <c r="B32" s="134"/>
      <c r="C32" s="134"/>
      <c r="D32" s="134"/>
      <c r="E32" s="134"/>
      <c r="F32" s="134"/>
      <c r="G32" s="21" t="s">
        <v>73</v>
      </c>
      <c r="H32" s="21" t="s">
        <v>71</v>
      </c>
      <c r="I32" s="21">
        <f>'MERCADO TUSD'!$U$29</f>
        <v>0</v>
      </c>
      <c r="J32" s="17"/>
      <c r="L32" s="86">
        <f>('TUSD BE'!$L$32+'TUSD BF'!$L$32+'TUSD CVA'!$L$32)*(1 - CUSTOS!$M$38)</f>
        <v>22.25579984840191</v>
      </c>
      <c r="M32" s="86">
        <f>('TUSD BE'!$M$32+'TUSD BF'!$M$32+'TUSD CVA'!$M$32)*(1 - CUSTOS!$M$38)</f>
        <v>3.0361205603914314</v>
      </c>
      <c r="N32" s="86">
        <f ca="1">('TUSD BE'!$N$32+'TUSD BF'!$N$32+'TUSD CVA'!$N$32)*(1 - CUSTOS!$M$38)</f>
        <v>0</v>
      </c>
      <c r="O32" s="86">
        <f>('TUSD BE'!$O$32+'TUSD BF'!$O$32+'TUSD CVA'!$O$32)*(1 - CUSTOS!$M$38)</f>
        <v>0</v>
      </c>
      <c r="P32" s="86">
        <f>('TUSD BE'!$P$32+'TUSD BF'!$P$32+'TUSD CVA'!$P$32)*(1 - CUSTOS!$M$38)</f>
        <v>0</v>
      </c>
      <c r="Q32" s="86">
        <f>('TUSD BE'!$Q$32+'TUSD BF'!$Q$32+'TUSD CVA'!$Q$32)*(1 - CUSTOS!$M$38)</f>
        <v>87.326728393383064</v>
      </c>
      <c r="R32" s="86">
        <f>('TUSD BE'!$R$32+'TUSD BF'!$R$32+'TUSD CVA'!$R$32)*(1 - CUSTOS!$M$38)</f>
        <v>14.239305865720075</v>
      </c>
      <c r="S32" s="86">
        <f>('TUSD BE'!$S$32+'TUSD BF'!$S$32+'TUSD CVA'!$S$32)*(1 - CUSTOS!$M$38)</f>
        <v>0</v>
      </c>
      <c r="T32" s="86">
        <f>('TUSD BE'!$U$32+'TUSD BF'!$U$32+'TUSD CVA'!$U$32)*(1 - CUSTOS!$M$38)</f>
        <v>0</v>
      </c>
      <c r="U32" s="86">
        <f>('TUSD BE'!$V$32+'TUSD BF'!$V$32+'TUSD CVA'!$V$32)*(1 - CUSTOS!$M$38)</f>
        <v>0</v>
      </c>
      <c r="V32" s="86">
        <f>('TUSD BE'!$W$32+'TUSD BF'!$W$32+'TUSD CVA'!$W$32)*(1 - CUSTOS!$M$38)</f>
        <v>0</v>
      </c>
      <c r="W32" s="86">
        <f>('TUSD BE'!$X$32+'TUSD BF'!$X$32+'TUSD CVA'!$X$32)*(1 - CUSTOS!$M$38)</f>
        <v>0</v>
      </c>
      <c r="X32" s="86">
        <f>('TUSD BE'!$Y$32+'TUSD BF'!$Y$32+'TUSD CVA'!$Y$32)*(1 - CUSTOS!$M$38)</f>
        <v>121.4535875545063</v>
      </c>
      <c r="Y32" s="86">
        <f>('TUSD BE'!$Z$32+'TUSD BF'!$Z$32+'TUSD CVA'!$Z$32)*(1 - CUSTOS!$M$38)</f>
        <v>0</v>
      </c>
      <c r="Z32" s="86">
        <f>('TUSD BE'!$AA$32+'TUSD BF'!$AA$32+'TUSD CVA'!$AA$32)*(1 - CUSTOS!$M$38)</f>
        <v>0</v>
      </c>
      <c r="AA32" s="86">
        <f>('TUSD BE'!$AC$32+'TUSD BF'!$AC$32+'TUSD CVA'!$AC$32)*(1 - CUSTOS!$M$38)</f>
        <v>262.20178092106636</v>
      </c>
      <c r="AB32" s="86">
        <f ca="1">('TUSD BE'!$AE$32+'TUSD BF'!$AE$32+'TUSD CVA'!$AE$32)*(1 - CUSTOS!$M$38)</f>
        <v>0</v>
      </c>
      <c r="AC32" s="86">
        <f ca="1">('TUSD BE'!$AF$32+'TUSD BF'!$AF$32+'TUSD CVA'!$AF$32)*(1 - CUSTOS!$M$38)</f>
        <v>0</v>
      </c>
      <c r="AD32" s="86">
        <f>('TUSD BE'!$AH$32+'TUSD BF'!$AH$32+'TUSD CVA'!$AH$32)*(1 - CUSTOS!$M$38)</f>
        <v>42.718932553792676</v>
      </c>
      <c r="AE32" s="86">
        <f>('TUSD BE'!$AI$32+'TUSD BF'!$AI$32+'TUSD CVA'!$AI$32)*(1 - CUSTOS!$M$38)</f>
        <v>0</v>
      </c>
      <c r="AF32" s="86">
        <f ca="1">('TUSD BE'!$AJ$32+'TUSD BF'!$AJ$32+'TUSD CVA'!$AJ$32)*(1 - CUSTOS!$M$38)</f>
        <v>3.9745564092648307</v>
      </c>
      <c r="AG32" s="86">
        <f ca="1">('TUSD BE'!$AK$32+'TUSD BF'!$AK$32+'TUSD CVA'!$AK$32)*(1 - CUSTOS!$M$38)</f>
        <v>0</v>
      </c>
      <c r="AI32" s="86">
        <v>0</v>
      </c>
      <c r="AJ32" s="86">
        <v>2.1717844117768599</v>
      </c>
      <c r="AK32" s="86">
        <v>1.2084904464028401E-9</v>
      </c>
      <c r="AL32" s="86">
        <v>0</v>
      </c>
      <c r="AM32" s="86">
        <v>0</v>
      </c>
      <c r="AN32" s="86">
        <v>72.474695150257006</v>
      </c>
      <c r="AO32" s="86">
        <v>8.1172183857381395</v>
      </c>
      <c r="AP32" s="86">
        <v>0</v>
      </c>
      <c r="AQ32" s="86">
        <v>0</v>
      </c>
      <c r="AR32" s="86">
        <v>0</v>
      </c>
      <c r="AS32" s="86">
        <v>0</v>
      </c>
      <c r="AT32" s="86">
        <v>0</v>
      </c>
      <c r="AU32" s="86">
        <v>86.754336294899602</v>
      </c>
      <c r="AV32" s="86">
        <v>0</v>
      </c>
      <c r="AW32" s="86">
        <v>0</v>
      </c>
      <c r="AX32" s="86">
        <v>208.728272902497</v>
      </c>
      <c r="AY32" s="86">
        <v>4.4268106916954704</v>
      </c>
      <c r="AZ32" s="86">
        <v>0</v>
      </c>
      <c r="BA32" s="86">
        <v>34.497977647500001</v>
      </c>
      <c r="BB32" s="86">
        <v>0</v>
      </c>
      <c r="BC32" s="86">
        <v>4.3381072267110499</v>
      </c>
      <c r="BD32" s="86">
        <v>0</v>
      </c>
    </row>
    <row r="33" spans="1:56" ht="11.25" customHeight="1" x14ac:dyDescent="0.25">
      <c r="A33" s="134"/>
      <c r="B33" s="88" t="s">
        <v>23</v>
      </c>
      <c r="C33" s="88" t="s">
        <v>44</v>
      </c>
      <c r="D33" s="88" t="s">
        <v>25</v>
      </c>
      <c r="E33" s="88" t="s">
        <v>25</v>
      </c>
      <c r="F33" s="88" t="s">
        <v>25</v>
      </c>
      <c r="G33" s="21" t="s">
        <v>75</v>
      </c>
      <c r="H33" s="21" t="s">
        <v>71</v>
      </c>
      <c r="I33" s="21">
        <f>'MERCADO TUSD'!$U$30</f>
        <v>3313.4050000000002</v>
      </c>
      <c r="J33" s="17"/>
      <c r="L33" s="86">
        <f>('TUSD BE'!$L$33+'TUSD BF'!$L$33+'TUSD CVA'!$L$33)*(1 - CUSTOS!$M$38)</f>
        <v>22.25579984840191</v>
      </c>
      <c r="M33" s="86">
        <f>('TUSD BE'!$M$33+'TUSD BF'!$M$33+'TUSD CVA'!$M$33)*(1 - CUSTOS!$M$38)</f>
        <v>3.0361205603914314</v>
      </c>
      <c r="N33" s="86">
        <f ca="1">('TUSD BE'!$N$33+'TUSD BF'!$N$33+'TUSD CVA'!$N$33)*(1 - CUSTOS!$M$38)</f>
        <v>0</v>
      </c>
      <c r="O33" s="86">
        <f>('TUSD BE'!$O$33+'TUSD BF'!$O$33+'TUSD CVA'!$O$33)*(1 - CUSTOS!$M$38)</f>
        <v>0</v>
      </c>
      <c r="P33" s="86">
        <f>('TUSD BE'!$P$33+'TUSD BF'!$P$33+'TUSD CVA'!$P$33)*(1 - CUSTOS!$M$38)</f>
        <v>0</v>
      </c>
      <c r="Q33" s="86">
        <f>('TUSD BE'!$Q$33+'TUSD BF'!$Q$33+'TUSD CVA'!$Q$33)*(1 - CUSTOS!$M$38)</f>
        <v>87.326728393383064</v>
      </c>
      <c r="R33" s="86">
        <f>('TUSD BE'!$R$33+'TUSD BF'!$R$33+'TUSD CVA'!$R$33)*(1 - CUSTOS!$M$38)</f>
        <v>14.239305865720075</v>
      </c>
      <c r="S33" s="86">
        <f>('TUSD BE'!$S$33+'TUSD BF'!$S$33+'TUSD CVA'!$S$33)*(1 - CUSTOS!$M$38)</f>
        <v>0</v>
      </c>
      <c r="T33" s="86">
        <f>('TUSD BE'!$U$33+'TUSD BF'!$U$33+'TUSD CVA'!$U$33)*(1 - CUSTOS!$M$38)</f>
        <v>0</v>
      </c>
      <c r="U33" s="86">
        <f>('TUSD BE'!$V$33+'TUSD BF'!$V$33+'TUSD CVA'!$V$33)*(1 - CUSTOS!$M$38)</f>
        <v>0</v>
      </c>
      <c r="V33" s="86">
        <f>('TUSD BE'!$W$33+'TUSD BF'!$W$33+'TUSD CVA'!$W$33)*(1 - CUSTOS!$M$38)</f>
        <v>0</v>
      </c>
      <c r="W33" s="86">
        <f>('TUSD BE'!$X$33+'TUSD BF'!$X$33+'TUSD CVA'!$X$33)*(1 - CUSTOS!$M$38)</f>
        <v>0</v>
      </c>
      <c r="X33" s="86">
        <f>('TUSD BE'!$Y$33+'TUSD BF'!$Y$33+'TUSD CVA'!$Y$33)*(1 - CUSTOS!$M$38)</f>
        <v>233.56540769120502</v>
      </c>
      <c r="Y33" s="86">
        <f>('TUSD BE'!$Z$33+'TUSD BF'!$Z$33+'TUSD CVA'!$Z$33)*(1 - CUSTOS!$M$38)</f>
        <v>0</v>
      </c>
      <c r="Z33" s="86">
        <f>('TUSD BE'!$AA$33+'TUSD BF'!$AA$33+'TUSD CVA'!$AA$33)*(1 - CUSTOS!$M$38)</f>
        <v>0</v>
      </c>
      <c r="AA33" s="86">
        <f>('TUSD BE'!$AC$33+'TUSD BF'!$AC$33+'TUSD CVA'!$AC$33)*(1 - CUSTOS!$M$38)</f>
        <v>504.23427187176372</v>
      </c>
      <c r="AB33" s="86">
        <f ca="1">('TUSD BE'!$AE$33+'TUSD BF'!$AE$33+'TUSD CVA'!$AE$33)*(1 - CUSTOS!$M$38)</f>
        <v>0</v>
      </c>
      <c r="AC33" s="86">
        <f ca="1">('TUSD BE'!$AF$33+'TUSD BF'!$AF$33+'TUSD CVA'!$AF$33)*(1 - CUSTOS!$M$38)</f>
        <v>0</v>
      </c>
      <c r="AD33" s="86">
        <f>('TUSD BE'!$AH$33+'TUSD BF'!$AH$33+'TUSD CVA'!$AH$33)*(1 - CUSTOS!$M$38)</f>
        <v>42.718932553792676</v>
      </c>
      <c r="AE33" s="86">
        <f>('TUSD BE'!$AI$33+'TUSD BF'!$AI$33+'TUSD CVA'!$AI$33)*(1 - CUSTOS!$M$38)</f>
        <v>0</v>
      </c>
      <c r="AF33" s="86">
        <f ca="1">('TUSD BE'!$AJ$33+'TUSD BF'!$AJ$33+'TUSD CVA'!$AJ$33)*(1 - CUSTOS!$M$38)</f>
        <v>3.9745564092648307</v>
      </c>
      <c r="AG33" s="86">
        <f ca="1">('TUSD BE'!$AK$33+'TUSD BF'!$AK$33+'TUSD CVA'!$AK$33)*(1 - CUSTOS!$M$38)</f>
        <v>0</v>
      </c>
      <c r="AI33" s="86">
        <v>0</v>
      </c>
      <c r="AJ33" s="86">
        <v>2.1717844117768599</v>
      </c>
      <c r="AK33" s="86">
        <v>2.19299134417654E-9</v>
      </c>
      <c r="AL33" s="86">
        <v>0</v>
      </c>
      <c r="AM33" s="86">
        <v>0</v>
      </c>
      <c r="AN33" s="86">
        <v>72.474695150257006</v>
      </c>
      <c r="AO33" s="86">
        <v>8.1172183857381395</v>
      </c>
      <c r="AP33" s="86">
        <v>0</v>
      </c>
      <c r="AQ33" s="86">
        <v>0</v>
      </c>
      <c r="AR33" s="86">
        <v>0</v>
      </c>
      <c r="AS33" s="86">
        <v>0</v>
      </c>
      <c r="AT33" s="86">
        <v>0</v>
      </c>
      <c r="AU33" s="86">
        <v>166.83563691818301</v>
      </c>
      <c r="AV33" s="86">
        <v>0</v>
      </c>
      <c r="AW33" s="86">
        <v>0</v>
      </c>
      <c r="AX33" s="86">
        <v>401.40068660399402</v>
      </c>
      <c r="AY33" s="86">
        <v>7.4888922855275197</v>
      </c>
      <c r="AZ33" s="86">
        <v>0</v>
      </c>
      <c r="BA33" s="86">
        <v>34.497977647500001</v>
      </c>
      <c r="BB33" s="86">
        <v>0</v>
      </c>
      <c r="BC33" s="86">
        <v>4.3381072267110499</v>
      </c>
      <c r="BD33" s="86">
        <v>0</v>
      </c>
    </row>
    <row r="34" spans="1:56" ht="11.25" customHeight="1" x14ac:dyDescent="0.25">
      <c r="A34" s="134"/>
      <c r="B34" s="134" t="s">
        <v>37</v>
      </c>
      <c r="C34" s="134" t="s">
        <v>44</v>
      </c>
      <c r="D34" s="134" t="s">
        <v>87</v>
      </c>
      <c r="E34" s="134" t="s">
        <v>25</v>
      </c>
      <c r="F34" s="134" t="s">
        <v>25</v>
      </c>
      <c r="G34" s="21" t="s">
        <v>72</v>
      </c>
      <c r="H34" s="21" t="s">
        <v>71</v>
      </c>
      <c r="I34" s="21">
        <f>'MERCADO TUSD'!$U$31</f>
        <v>0</v>
      </c>
      <c r="J34" s="17"/>
      <c r="L34" s="86">
        <f>('TUSD BE'!$L$34+'TUSD BF'!$L$34+'TUSD CVA'!$L$34)*(1 - CUSTOS!$M$39)</f>
        <v>22.25579984840191</v>
      </c>
      <c r="M34" s="86">
        <f>('TUSD BE'!$M$34+'TUSD BF'!$M$34+'TUSD CVA'!$M$34)*(1 - CUSTOS!$M$39)</f>
        <v>3.0361205603914314</v>
      </c>
      <c r="N34" s="86">
        <f ca="1">('TUSD BE'!$N$34+'TUSD BF'!$N$34+'TUSD CVA'!$N$34)*(1 - CUSTOS!$M$39)</f>
        <v>0</v>
      </c>
      <c r="O34" s="86">
        <f>('TUSD BE'!$O$34+'TUSD BF'!$O$34+'TUSD CVA'!$O$34)*(1 - CUSTOS!$M$39)</f>
        <v>0</v>
      </c>
      <c r="P34" s="86">
        <f>('TUSD BE'!$P$34+'TUSD BF'!$P$34+'TUSD CVA'!$P$34)*(1 - CUSTOS!$M$39)</f>
        <v>0</v>
      </c>
      <c r="Q34" s="86">
        <f>('TUSD BE'!$Q$34+'TUSD BF'!$Q$34+'TUSD CVA'!$Q$34)*(1 - CUSTOS!$M$39)</f>
        <v>87.326728393383064</v>
      </c>
      <c r="R34" s="86">
        <f>('TUSD BE'!$R$34+'TUSD BF'!$R$34+'TUSD CVA'!$R$34)*(1 - CUSTOS!$M$39)</f>
        <v>14.239305865720075</v>
      </c>
      <c r="S34" s="86">
        <f>('TUSD BE'!$S$34+'TUSD BF'!$S$34+'TUSD CVA'!$S$34)*(1 - CUSTOS!$M$39)</f>
        <v>0</v>
      </c>
      <c r="T34" s="86">
        <f>('TUSD BE'!$U$34+'TUSD BF'!$U$34+'TUSD CVA'!$U$34)*(1 - CUSTOS!$M$39)</f>
        <v>0</v>
      </c>
      <c r="U34" s="86">
        <f>('TUSD BE'!$V$34+'TUSD BF'!$V$34+'TUSD CVA'!$V$34)*(1 - CUSTOS!$M$39)</f>
        <v>0</v>
      </c>
      <c r="V34" s="86">
        <f>('TUSD BE'!$W$34+'TUSD BF'!$W$34+'TUSD CVA'!$W$34)*(1 - CUSTOS!$M$39)</f>
        <v>0</v>
      </c>
      <c r="W34" s="86">
        <f>('TUSD BE'!$X$34+'TUSD BF'!$X$34+'TUSD CVA'!$X$34)*(1 - CUSTOS!$M$39)</f>
        <v>0</v>
      </c>
      <c r="X34" s="86">
        <f>('TUSD BE'!$Y$34+'TUSD BF'!$Y$34+'TUSD CVA'!$Y$34)*(1 - CUSTOS!$M$39)</f>
        <v>607.27059055328345</v>
      </c>
      <c r="Y34" s="86">
        <f>('TUSD BE'!$Z$34+'TUSD BF'!$Z$34+'TUSD CVA'!$Z$34)*(1 - CUSTOS!$M$39)</f>
        <v>0</v>
      </c>
      <c r="Z34" s="86">
        <f>('TUSD BE'!$AA$34+'TUSD BF'!$AA$34+'TUSD CVA'!$AA$34)*(1 - CUSTOS!$M$39)</f>
        <v>0</v>
      </c>
      <c r="AA34" s="86">
        <f>('TUSD BE'!$AC$34+'TUSD BF'!$AC$34+'TUSD CVA'!$AC$34)*(1 - CUSTOS!$M$39)</f>
        <v>1311.0087023440778</v>
      </c>
      <c r="AB34" s="86">
        <f ca="1">('TUSD BE'!$AE$34+'TUSD BF'!$AE$34+'TUSD CVA'!$AE$34)*(1 - CUSTOS!$M$39)</f>
        <v>0</v>
      </c>
      <c r="AC34" s="86">
        <f ca="1">('TUSD BE'!$AF$34+'TUSD BF'!$AF$34+'TUSD CVA'!$AF$34)*(1 - CUSTOS!$M$39)</f>
        <v>0</v>
      </c>
      <c r="AD34" s="86">
        <f>('TUSD BE'!$AH$34+'TUSD BF'!$AH$34+'TUSD CVA'!$AH$34)*(1 - CUSTOS!$M$39)</f>
        <v>42.718932553792676</v>
      </c>
      <c r="AE34" s="86">
        <f>('TUSD BE'!$AI$34+'TUSD BF'!$AI$34+'TUSD CVA'!$AI$34)*(1 - CUSTOS!$M$39)</f>
        <v>0</v>
      </c>
      <c r="AF34" s="86">
        <f ca="1">('TUSD BE'!$AJ$34+'TUSD BF'!$AJ$34+'TUSD CVA'!$AJ$34)*(1 - CUSTOS!$M$39)</f>
        <v>3.9745564092648307</v>
      </c>
      <c r="AG34" s="86">
        <f ca="1">('TUSD BE'!$AK$34+'TUSD BF'!$AK$34+'TUSD CVA'!$AK$34)*(1 - CUSTOS!$M$39)</f>
        <v>0</v>
      </c>
      <c r="AI34" s="86">
        <v>0</v>
      </c>
      <c r="AJ34" s="86">
        <v>2.1717844117768599</v>
      </c>
      <c r="AK34" s="86">
        <v>5.4746558794992803E-9</v>
      </c>
      <c r="AL34" s="86">
        <v>0</v>
      </c>
      <c r="AM34" s="86">
        <v>0</v>
      </c>
      <c r="AN34" s="86">
        <v>72.474695150257006</v>
      </c>
      <c r="AO34" s="86">
        <v>8.1172183857381395</v>
      </c>
      <c r="AP34" s="86">
        <v>0</v>
      </c>
      <c r="AQ34" s="86">
        <v>0</v>
      </c>
      <c r="AR34" s="86">
        <v>0</v>
      </c>
      <c r="AS34" s="86">
        <v>0</v>
      </c>
      <c r="AT34" s="86">
        <v>0</v>
      </c>
      <c r="AU34" s="86">
        <v>433.77203800356301</v>
      </c>
      <c r="AV34" s="86">
        <v>0</v>
      </c>
      <c r="AW34" s="86">
        <v>0</v>
      </c>
      <c r="AX34" s="86">
        <v>1043.64158209416</v>
      </c>
      <c r="AY34" s="86">
        <v>17.695813203863</v>
      </c>
      <c r="AZ34" s="86">
        <v>0</v>
      </c>
      <c r="BA34" s="86">
        <v>34.497977647500001</v>
      </c>
      <c r="BB34" s="86">
        <v>0</v>
      </c>
      <c r="BC34" s="86">
        <v>4.3381072267110499</v>
      </c>
      <c r="BD34" s="86">
        <v>0</v>
      </c>
    </row>
    <row r="35" spans="1:56" ht="11.25" customHeight="1" x14ac:dyDescent="0.25">
      <c r="A35" s="134"/>
      <c r="B35" s="134"/>
      <c r="C35" s="134"/>
      <c r="D35" s="134"/>
      <c r="E35" s="134"/>
      <c r="F35" s="134"/>
      <c r="G35" s="21" t="s">
        <v>84</v>
      </c>
      <c r="H35" s="21" t="s">
        <v>71</v>
      </c>
      <c r="I35" s="21">
        <f>'MERCADO TUSD'!$U$32</f>
        <v>0</v>
      </c>
      <c r="J35" s="17"/>
      <c r="L35" s="86">
        <f>('TUSD BE'!$L$35+'TUSD BF'!$L$35+'TUSD CVA'!$L$35)*(1 - CUSTOS!$M$39)</f>
        <v>22.25579984840191</v>
      </c>
      <c r="M35" s="86">
        <f>('TUSD BE'!$M$35+'TUSD BF'!$M$35+'TUSD CVA'!$M$35)*(1 - CUSTOS!$M$39)</f>
        <v>3.0361205603914314</v>
      </c>
      <c r="N35" s="86">
        <f ca="1">('TUSD BE'!$N$35+'TUSD BF'!$N$35+'TUSD CVA'!$N$35)*(1 - CUSTOS!$M$39)</f>
        <v>0</v>
      </c>
      <c r="O35" s="86">
        <f>('TUSD BE'!$O$35+'TUSD BF'!$O$35+'TUSD CVA'!$O$35)*(1 - CUSTOS!$M$39)</f>
        <v>0</v>
      </c>
      <c r="P35" s="86">
        <f>('TUSD BE'!$P$35+'TUSD BF'!$P$35+'TUSD CVA'!$P$35)*(1 - CUSTOS!$M$39)</f>
        <v>0</v>
      </c>
      <c r="Q35" s="86">
        <f>('TUSD BE'!$Q$35+'TUSD BF'!$Q$35+'TUSD CVA'!$Q$35)*(1 - CUSTOS!$M$39)</f>
        <v>87.326728393383064</v>
      </c>
      <c r="R35" s="86">
        <f>('TUSD BE'!$R$35+'TUSD BF'!$R$35+'TUSD CVA'!$R$35)*(1 - CUSTOS!$M$39)</f>
        <v>14.239305865720075</v>
      </c>
      <c r="S35" s="86">
        <f>('TUSD BE'!$S$35+'TUSD BF'!$S$35+'TUSD CVA'!$S$35)*(1 - CUSTOS!$M$39)</f>
        <v>0</v>
      </c>
      <c r="T35" s="86">
        <f>('TUSD BE'!$U$35+'TUSD BF'!$U$35+'TUSD CVA'!$U$35)*(1 - CUSTOS!$M$39)</f>
        <v>0</v>
      </c>
      <c r="U35" s="86">
        <f>('TUSD BE'!$V$35+'TUSD BF'!$V$35+'TUSD CVA'!$V$35)*(1 - CUSTOS!$M$39)</f>
        <v>0</v>
      </c>
      <c r="V35" s="86">
        <f>('TUSD BE'!$W$35+'TUSD BF'!$W$35+'TUSD CVA'!$W$35)*(1 - CUSTOS!$M$39)</f>
        <v>0</v>
      </c>
      <c r="W35" s="86">
        <f>('TUSD BE'!$X$35+'TUSD BF'!$X$35+'TUSD CVA'!$X$35)*(1 - CUSTOS!$M$39)</f>
        <v>0</v>
      </c>
      <c r="X35" s="86">
        <f>('TUSD BE'!$Y$35+'TUSD BF'!$Y$35+'TUSD CVA'!$Y$35)*(1 - CUSTOS!$M$39)</f>
        <v>364.36208905389486</v>
      </c>
      <c r="Y35" s="86">
        <f>('TUSD BE'!$Z$35+'TUSD BF'!$Z$35+'TUSD CVA'!$Z$35)*(1 - CUSTOS!$M$39)</f>
        <v>0</v>
      </c>
      <c r="Z35" s="86">
        <f>('TUSD BE'!$AA$35+'TUSD BF'!$AA$35+'TUSD CVA'!$AA$35)*(1 - CUSTOS!$M$39)</f>
        <v>0</v>
      </c>
      <c r="AA35" s="86">
        <f>('TUSD BE'!$AC$35+'TUSD BF'!$AC$35+'TUSD CVA'!$AC$35)*(1 - CUSTOS!$M$39)</f>
        <v>786.60534276319902</v>
      </c>
      <c r="AB35" s="86">
        <f ca="1">('TUSD BE'!$AE$35+'TUSD BF'!$AE$35+'TUSD CVA'!$AE$35)*(1 - CUSTOS!$M$39)</f>
        <v>0</v>
      </c>
      <c r="AC35" s="86">
        <f ca="1">('TUSD BE'!$AF$35+'TUSD BF'!$AF$35+'TUSD CVA'!$AF$35)*(1 - CUSTOS!$M$39)</f>
        <v>0</v>
      </c>
      <c r="AD35" s="86">
        <f>('TUSD BE'!$AH$35+'TUSD BF'!$AH$35+'TUSD CVA'!$AH$35)*(1 - CUSTOS!$M$39)</f>
        <v>42.718932553792676</v>
      </c>
      <c r="AE35" s="86">
        <f>('TUSD BE'!$AI$35+'TUSD BF'!$AI$35+'TUSD CVA'!$AI$35)*(1 - CUSTOS!$M$39)</f>
        <v>0</v>
      </c>
      <c r="AF35" s="86">
        <f ca="1">('TUSD BE'!$AJ$35+'TUSD BF'!$AJ$35+'TUSD CVA'!$AJ$35)*(1 - CUSTOS!$M$39)</f>
        <v>3.9745564092648307</v>
      </c>
      <c r="AG35" s="86">
        <f ca="1">('TUSD BE'!$AK$35+'TUSD BF'!$AK$35+'TUSD CVA'!$AK$35)*(1 - CUSTOS!$M$39)</f>
        <v>0</v>
      </c>
      <c r="AI35" s="86">
        <v>0</v>
      </c>
      <c r="AJ35" s="86">
        <v>2.1717844117768599</v>
      </c>
      <c r="AK35" s="86">
        <v>3.3415728673401199E-9</v>
      </c>
      <c r="AL35" s="86">
        <v>0</v>
      </c>
      <c r="AM35" s="86">
        <v>0</v>
      </c>
      <c r="AN35" s="86">
        <v>72.474695150257006</v>
      </c>
      <c r="AO35" s="86">
        <v>8.1172183857381395</v>
      </c>
      <c r="AP35" s="86">
        <v>0</v>
      </c>
      <c r="AQ35" s="86">
        <v>0</v>
      </c>
      <c r="AR35" s="86">
        <v>0</v>
      </c>
      <c r="AS35" s="86">
        <v>0</v>
      </c>
      <c r="AT35" s="86">
        <v>0</v>
      </c>
      <c r="AU35" s="86">
        <v>260.26324657074201</v>
      </c>
      <c r="AV35" s="86">
        <v>0</v>
      </c>
      <c r="AW35" s="86">
        <v>0</v>
      </c>
      <c r="AX35" s="86">
        <v>626.18481870749201</v>
      </c>
      <c r="AY35" s="86">
        <v>11.0613112040242</v>
      </c>
      <c r="AZ35" s="86">
        <v>0</v>
      </c>
      <c r="BA35" s="86">
        <v>34.497977647500001</v>
      </c>
      <c r="BB35" s="86">
        <v>0</v>
      </c>
      <c r="BC35" s="86">
        <v>4.3381072267110499</v>
      </c>
      <c r="BD35" s="86">
        <v>0</v>
      </c>
    </row>
    <row r="36" spans="1:56" ht="11.25" customHeight="1" x14ac:dyDescent="0.25">
      <c r="A36" s="134"/>
      <c r="B36" s="134"/>
      <c r="C36" s="134"/>
      <c r="D36" s="134"/>
      <c r="E36" s="134"/>
      <c r="F36" s="134"/>
      <c r="G36" s="21" t="s">
        <v>73</v>
      </c>
      <c r="H36" s="21" t="s">
        <v>71</v>
      </c>
      <c r="I36" s="21">
        <f>'MERCADO TUSD'!$U$33</f>
        <v>0</v>
      </c>
      <c r="J36" s="17"/>
      <c r="L36" s="86">
        <f>('TUSD BE'!$L$36+'TUSD BF'!$L$36+'TUSD CVA'!$L$36)*(1 - CUSTOS!$M$39)</f>
        <v>22.25579984840191</v>
      </c>
      <c r="M36" s="86">
        <f>('TUSD BE'!$M$36+'TUSD BF'!$M$36+'TUSD CVA'!$M$36)*(1 - CUSTOS!$M$39)</f>
        <v>3.0361205603914314</v>
      </c>
      <c r="N36" s="86">
        <f ca="1">('TUSD BE'!$N$36+'TUSD BF'!$N$36+'TUSD CVA'!$N$36)*(1 - CUSTOS!$M$39)</f>
        <v>0</v>
      </c>
      <c r="O36" s="86">
        <f>('TUSD BE'!$O$36+'TUSD BF'!$O$36+'TUSD CVA'!$O$36)*(1 - CUSTOS!$M$39)</f>
        <v>0</v>
      </c>
      <c r="P36" s="86">
        <f>('TUSD BE'!$P$36+'TUSD BF'!$P$36+'TUSD CVA'!$P$36)*(1 - CUSTOS!$M$39)</f>
        <v>0</v>
      </c>
      <c r="Q36" s="86">
        <f>('TUSD BE'!$Q$36+'TUSD BF'!$Q$36+'TUSD CVA'!$Q$36)*(1 - CUSTOS!$M$39)</f>
        <v>87.326728393383064</v>
      </c>
      <c r="R36" s="86">
        <f>('TUSD BE'!$R$36+'TUSD BF'!$R$36+'TUSD CVA'!$R$36)*(1 - CUSTOS!$M$39)</f>
        <v>14.239305865720075</v>
      </c>
      <c r="S36" s="86">
        <f>('TUSD BE'!$S$36+'TUSD BF'!$S$36+'TUSD CVA'!$S$36)*(1 - CUSTOS!$M$39)</f>
        <v>0</v>
      </c>
      <c r="T36" s="86">
        <f>('TUSD BE'!$U$36+'TUSD BF'!$U$36+'TUSD CVA'!$U$36)*(1 - CUSTOS!$M$39)</f>
        <v>0</v>
      </c>
      <c r="U36" s="86">
        <f>('TUSD BE'!$V$36+'TUSD BF'!$V$36+'TUSD CVA'!$V$36)*(1 - CUSTOS!$M$39)</f>
        <v>0</v>
      </c>
      <c r="V36" s="86">
        <f>('TUSD BE'!$W$36+'TUSD BF'!$W$36+'TUSD CVA'!$W$36)*(1 - CUSTOS!$M$39)</f>
        <v>0</v>
      </c>
      <c r="W36" s="86">
        <f>('TUSD BE'!$X$36+'TUSD BF'!$X$36+'TUSD CVA'!$X$36)*(1 - CUSTOS!$M$39)</f>
        <v>0</v>
      </c>
      <c r="X36" s="86">
        <f>('TUSD BE'!$Y$36+'TUSD BF'!$Y$36+'TUSD CVA'!$Y$36)*(1 - CUSTOS!$M$39)</f>
        <v>121.4535875545063</v>
      </c>
      <c r="Y36" s="86">
        <f>('TUSD BE'!$Z$36+'TUSD BF'!$Z$36+'TUSD CVA'!$Z$36)*(1 - CUSTOS!$M$39)</f>
        <v>0</v>
      </c>
      <c r="Z36" s="86">
        <f>('TUSD BE'!$AA$36+'TUSD BF'!$AA$36+'TUSD CVA'!$AA$36)*(1 - CUSTOS!$M$39)</f>
        <v>0</v>
      </c>
      <c r="AA36" s="86">
        <f>('TUSD BE'!$AC$36+'TUSD BF'!$AC$36+'TUSD CVA'!$AC$36)*(1 - CUSTOS!$M$39)</f>
        <v>262.20178092106636</v>
      </c>
      <c r="AB36" s="86">
        <f ca="1">('TUSD BE'!$AE$36+'TUSD BF'!$AE$36+'TUSD CVA'!$AE$36)*(1 - CUSTOS!$M$39)</f>
        <v>0</v>
      </c>
      <c r="AC36" s="86">
        <f ca="1">('TUSD BE'!$AF$36+'TUSD BF'!$AF$36+'TUSD CVA'!$AF$36)*(1 - CUSTOS!$M$39)</f>
        <v>0</v>
      </c>
      <c r="AD36" s="86">
        <f>('TUSD BE'!$AH$36+'TUSD BF'!$AH$36+'TUSD CVA'!$AH$36)*(1 - CUSTOS!$M$39)</f>
        <v>42.718932553792676</v>
      </c>
      <c r="AE36" s="86">
        <f>('TUSD BE'!$AI$36+'TUSD BF'!$AI$36+'TUSD CVA'!$AI$36)*(1 - CUSTOS!$M$39)</f>
        <v>0</v>
      </c>
      <c r="AF36" s="86">
        <f ca="1">('TUSD BE'!$AJ$36+'TUSD BF'!$AJ$36+'TUSD CVA'!$AJ$36)*(1 - CUSTOS!$M$39)</f>
        <v>3.9745564092648307</v>
      </c>
      <c r="AG36" s="86">
        <f ca="1">('TUSD BE'!$AK$36+'TUSD BF'!$AK$36+'TUSD CVA'!$AK$36)*(1 - CUSTOS!$M$39)</f>
        <v>0</v>
      </c>
      <c r="AI36" s="86">
        <v>0</v>
      </c>
      <c r="AJ36" s="86">
        <v>2.1717844117768599</v>
      </c>
      <c r="AK36" s="86">
        <v>1.2084904464028401E-9</v>
      </c>
      <c r="AL36" s="86">
        <v>0</v>
      </c>
      <c r="AM36" s="86">
        <v>0</v>
      </c>
      <c r="AN36" s="86">
        <v>72.474695150257006</v>
      </c>
      <c r="AO36" s="86">
        <v>8.1172183857381395</v>
      </c>
      <c r="AP36" s="86">
        <v>0</v>
      </c>
      <c r="AQ36" s="86">
        <v>0</v>
      </c>
      <c r="AR36" s="86">
        <v>0</v>
      </c>
      <c r="AS36" s="86">
        <v>0</v>
      </c>
      <c r="AT36" s="86">
        <v>0</v>
      </c>
      <c r="AU36" s="86">
        <v>86.754336294899602</v>
      </c>
      <c r="AV36" s="86">
        <v>0</v>
      </c>
      <c r="AW36" s="86">
        <v>0</v>
      </c>
      <c r="AX36" s="86">
        <v>208.728272902497</v>
      </c>
      <c r="AY36" s="86">
        <v>4.4268106916954704</v>
      </c>
      <c r="AZ36" s="86">
        <v>0</v>
      </c>
      <c r="BA36" s="86">
        <v>34.497977647500001</v>
      </c>
      <c r="BB36" s="86">
        <v>0</v>
      </c>
      <c r="BC36" s="86">
        <v>4.3381072267110499</v>
      </c>
      <c r="BD36" s="86">
        <v>0</v>
      </c>
    </row>
    <row r="37" spans="1:56" ht="11.25" customHeight="1" x14ac:dyDescent="0.25">
      <c r="A37" s="134"/>
      <c r="B37" s="88" t="s">
        <v>23</v>
      </c>
      <c r="C37" s="88" t="s">
        <v>44</v>
      </c>
      <c r="D37" s="88" t="s">
        <v>87</v>
      </c>
      <c r="E37" s="88" t="s">
        <v>25</v>
      </c>
      <c r="F37" s="88" t="s">
        <v>25</v>
      </c>
      <c r="G37" s="21" t="s">
        <v>75</v>
      </c>
      <c r="H37" s="21" t="s">
        <v>71</v>
      </c>
      <c r="I37" s="21">
        <f>'MERCADO TUSD'!$U$34</f>
        <v>0</v>
      </c>
      <c r="J37" s="17"/>
      <c r="L37" s="86">
        <f>('TUSD BE'!$L$37+'TUSD BF'!$L$37+'TUSD CVA'!$L$37)*(1 - CUSTOS!$M$39)</f>
        <v>22.25579984840191</v>
      </c>
      <c r="M37" s="86">
        <f>('TUSD BE'!$M$37+'TUSD BF'!$M$37+'TUSD CVA'!$M$37)*(1 - CUSTOS!$M$39)</f>
        <v>3.0361205603914314</v>
      </c>
      <c r="N37" s="86">
        <f ca="1">('TUSD BE'!$N$37+'TUSD BF'!$N$37+'TUSD CVA'!$N$37)*(1 - CUSTOS!$M$39)</f>
        <v>0</v>
      </c>
      <c r="O37" s="86">
        <f>('TUSD BE'!$O$37+'TUSD BF'!$O$37+'TUSD CVA'!$O$37)*(1 - CUSTOS!$M$39)</f>
        <v>0</v>
      </c>
      <c r="P37" s="86">
        <f>('TUSD BE'!$P$37+'TUSD BF'!$P$37+'TUSD CVA'!$P$37)*(1 - CUSTOS!$M$39)</f>
        <v>0</v>
      </c>
      <c r="Q37" s="86">
        <f>('TUSD BE'!$Q$37+'TUSD BF'!$Q$37+'TUSD CVA'!$Q$37)*(1 - CUSTOS!$M$39)</f>
        <v>87.326728393383064</v>
      </c>
      <c r="R37" s="86">
        <f>('TUSD BE'!$R$37+'TUSD BF'!$R$37+'TUSD CVA'!$R$37)*(1 - CUSTOS!$M$39)</f>
        <v>14.239305865720075</v>
      </c>
      <c r="S37" s="86">
        <f>('TUSD BE'!$S$37+'TUSD BF'!$S$37+'TUSD CVA'!$S$37)*(1 - CUSTOS!$M$39)</f>
        <v>0</v>
      </c>
      <c r="T37" s="86">
        <f>('TUSD BE'!$U$37+'TUSD BF'!$U$37+'TUSD CVA'!$U$37)*(1 - CUSTOS!$M$39)</f>
        <v>0</v>
      </c>
      <c r="U37" s="86">
        <f>('TUSD BE'!$V$37+'TUSD BF'!$V$37+'TUSD CVA'!$V$37)*(1 - CUSTOS!$M$39)</f>
        <v>0</v>
      </c>
      <c r="V37" s="86">
        <f>('TUSD BE'!$W$37+'TUSD BF'!$W$37+'TUSD CVA'!$W$37)*(1 - CUSTOS!$M$39)</f>
        <v>0</v>
      </c>
      <c r="W37" s="86">
        <f>('TUSD BE'!$X$37+'TUSD BF'!$X$37+'TUSD CVA'!$X$37)*(1 - CUSTOS!$M$39)</f>
        <v>0</v>
      </c>
      <c r="X37" s="86">
        <f>('TUSD BE'!$Y$37+'TUSD BF'!$Y$37+'TUSD CVA'!$Y$37)*(1 - CUSTOS!$M$39)</f>
        <v>233.56540769120502</v>
      </c>
      <c r="Y37" s="86">
        <f>('TUSD BE'!$Z$37+'TUSD BF'!$Z$37+'TUSD CVA'!$Z$37)*(1 - CUSTOS!$M$39)</f>
        <v>0</v>
      </c>
      <c r="Z37" s="86">
        <f>('TUSD BE'!$AA$37+'TUSD BF'!$AA$37+'TUSD CVA'!$AA$37)*(1 - CUSTOS!$M$39)</f>
        <v>0</v>
      </c>
      <c r="AA37" s="86">
        <f>('TUSD BE'!$AC$37+'TUSD BF'!$AC$37+'TUSD CVA'!$AC$37)*(1 - CUSTOS!$M$39)</f>
        <v>504.23427187176372</v>
      </c>
      <c r="AB37" s="86">
        <f ca="1">('TUSD BE'!$AE$37+'TUSD BF'!$AE$37+'TUSD CVA'!$AE$37)*(1 - CUSTOS!$M$39)</f>
        <v>0</v>
      </c>
      <c r="AC37" s="86">
        <f ca="1">('TUSD BE'!$AF$37+'TUSD BF'!$AF$37+'TUSD CVA'!$AF$37)*(1 - CUSTOS!$M$39)</f>
        <v>0</v>
      </c>
      <c r="AD37" s="86">
        <f>('TUSD BE'!$AH$37+'TUSD BF'!$AH$37+'TUSD CVA'!$AH$37)*(1 - CUSTOS!$M$39)</f>
        <v>42.718932553792676</v>
      </c>
      <c r="AE37" s="86">
        <f>('TUSD BE'!$AI$37+'TUSD BF'!$AI$37+'TUSD CVA'!$AI$37)*(1 - CUSTOS!$M$39)</f>
        <v>0</v>
      </c>
      <c r="AF37" s="86">
        <f ca="1">('TUSD BE'!$AJ$37+'TUSD BF'!$AJ$37+'TUSD CVA'!$AJ$37)*(1 - CUSTOS!$M$39)</f>
        <v>3.9745564092648307</v>
      </c>
      <c r="AG37" s="86">
        <f ca="1">('TUSD BE'!$AK$37+'TUSD BF'!$AK$37+'TUSD CVA'!$AK$37)*(1 - CUSTOS!$M$39)</f>
        <v>0</v>
      </c>
      <c r="AI37" s="86">
        <v>0</v>
      </c>
      <c r="AJ37" s="86">
        <v>2.1717844117768599</v>
      </c>
      <c r="AK37" s="86">
        <v>2.19299134417654E-9</v>
      </c>
      <c r="AL37" s="86">
        <v>0</v>
      </c>
      <c r="AM37" s="86">
        <v>0</v>
      </c>
      <c r="AN37" s="86">
        <v>72.474695150257006</v>
      </c>
      <c r="AO37" s="86">
        <v>8.1172183857381395</v>
      </c>
      <c r="AP37" s="86">
        <v>0</v>
      </c>
      <c r="AQ37" s="86">
        <v>0</v>
      </c>
      <c r="AR37" s="86">
        <v>0</v>
      </c>
      <c r="AS37" s="86">
        <v>0</v>
      </c>
      <c r="AT37" s="86">
        <v>0</v>
      </c>
      <c r="AU37" s="86">
        <v>166.83563691818301</v>
      </c>
      <c r="AV37" s="86">
        <v>0</v>
      </c>
      <c r="AW37" s="86">
        <v>0</v>
      </c>
      <c r="AX37" s="86">
        <v>401.40068660399402</v>
      </c>
      <c r="AY37" s="86">
        <v>7.4888922855275197</v>
      </c>
      <c r="AZ37" s="86">
        <v>0</v>
      </c>
      <c r="BA37" s="86">
        <v>34.497977647500001</v>
      </c>
      <c r="BB37" s="86">
        <v>0</v>
      </c>
      <c r="BC37" s="86">
        <v>4.3381072267110499</v>
      </c>
      <c r="BD37" s="86">
        <v>0</v>
      </c>
    </row>
    <row r="38" spans="1:56" ht="11.25" customHeight="1" x14ac:dyDescent="0.25">
      <c r="A38" s="134"/>
      <c r="B38" s="134" t="s">
        <v>37</v>
      </c>
      <c r="C38" s="134" t="s">
        <v>44</v>
      </c>
      <c r="D38" s="134" t="s">
        <v>88</v>
      </c>
      <c r="E38" s="134" t="s">
        <v>25</v>
      </c>
      <c r="F38" s="134" t="s">
        <v>25</v>
      </c>
      <c r="G38" s="21" t="s">
        <v>72</v>
      </c>
      <c r="H38" s="21" t="s">
        <v>71</v>
      </c>
      <c r="I38" s="21">
        <f>'MERCADO TUSD'!$U$35</f>
        <v>0</v>
      </c>
      <c r="J38" s="17"/>
      <c r="L38" s="86">
        <f>('TUSD BE'!$L$38+'TUSD BF'!$L$38+'TUSD CVA'!$L$38)*(1 - CUSTOS!$M$40)</f>
        <v>21.782272192052936</v>
      </c>
      <c r="M38" s="86">
        <f>('TUSD BE'!$M$38+'TUSD BF'!$M$38+'TUSD CVA'!$M$38)*(1 - CUSTOS!$M$40)</f>
        <v>2.9715222505958692</v>
      </c>
      <c r="N38" s="86">
        <f ca="1">('TUSD BE'!$N$38+'TUSD BF'!$N$38+'TUSD CVA'!$N$38)*(1 - CUSTOS!$M$40)</f>
        <v>0</v>
      </c>
      <c r="O38" s="86">
        <f>('TUSD BE'!$O$38+'TUSD BF'!$O$38+'TUSD CVA'!$O$38)*(1 - CUSTOS!$M$40)</f>
        <v>0</v>
      </c>
      <c r="P38" s="86">
        <f>('TUSD BE'!$P$38+'TUSD BF'!$P$38+'TUSD CVA'!$P$38)*(1 - CUSTOS!$M$40)</f>
        <v>0</v>
      </c>
      <c r="Q38" s="86">
        <f>('TUSD BE'!$Q$38+'TUSD BF'!$Q$38+'TUSD CVA'!$Q$38)*(1 - CUSTOS!$M$40)</f>
        <v>85.468712895651521</v>
      </c>
      <c r="R38" s="86">
        <f>('TUSD BE'!$R$38+'TUSD BF'!$R$38+'TUSD CVA'!$R$38)*(1 - CUSTOS!$M$40)</f>
        <v>13.936341911130288</v>
      </c>
      <c r="S38" s="86">
        <f>('TUSD BE'!$S$38+'TUSD BF'!$S$38+'TUSD CVA'!$S$38)*(1 - CUSTOS!$M$40)</f>
        <v>0</v>
      </c>
      <c r="T38" s="86">
        <f>('TUSD BE'!$U$38+'TUSD BF'!$U$38+'TUSD CVA'!$U$38)*(1 - CUSTOS!$M$40)</f>
        <v>0</v>
      </c>
      <c r="U38" s="86">
        <f>('TUSD BE'!$V$38+'TUSD BF'!$V$38+'TUSD CVA'!$V$38)*(1 - CUSTOS!$M$40)</f>
        <v>0</v>
      </c>
      <c r="V38" s="86">
        <f>('TUSD BE'!$W$38+'TUSD BF'!$W$38+'TUSD CVA'!$W$38)*(1 - CUSTOS!$M$40)</f>
        <v>0</v>
      </c>
      <c r="W38" s="86">
        <f>('TUSD BE'!$X$38+'TUSD BF'!$X$38+'TUSD CVA'!$X$38)*(1 - CUSTOS!$M$40)</f>
        <v>0</v>
      </c>
      <c r="X38" s="86">
        <f>('TUSD BE'!$Y$38+'TUSD BF'!$Y$38+'TUSD CVA'!$Y$38)*(1 - CUSTOS!$M$40)</f>
        <v>594.34993969044774</v>
      </c>
      <c r="Y38" s="86">
        <f>('TUSD BE'!$Z$38+'TUSD BF'!$Z$38+'TUSD CVA'!$Z$38)*(1 - CUSTOS!$M$40)</f>
        <v>0</v>
      </c>
      <c r="Z38" s="86">
        <f>('TUSD BE'!$AA$38+'TUSD BF'!$AA$38+'TUSD CVA'!$AA$38)*(1 - CUSTOS!$M$40)</f>
        <v>0</v>
      </c>
      <c r="AA38" s="86">
        <f>('TUSD BE'!$AC$38+'TUSD BF'!$AC$38+'TUSD CVA'!$AC$38)*(1 - CUSTOS!$M$40)</f>
        <v>1283.1149001665444</v>
      </c>
      <c r="AB38" s="86">
        <f ca="1">('TUSD BE'!$AE$38+'TUSD BF'!$AE$38+'TUSD CVA'!$AE$38)*(1 - CUSTOS!$M$40)</f>
        <v>0</v>
      </c>
      <c r="AC38" s="86">
        <f ca="1">('TUSD BE'!$AF$38+'TUSD BF'!$AF$38+'TUSD CVA'!$AF$38)*(1 - CUSTOS!$M$40)</f>
        <v>0</v>
      </c>
      <c r="AD38" s="86">
        <f>('TUSD BE'!$AH$38+'TUSD BF'!$AH$38+'TUSD CVA'!$AH$38)*(1 - CUSTOS!$M$40)</f>
        <v>41.810019095201348</v>
      </c>
      <c r="AE38" s="86">
        <f>('TUSD BE'!$AI$38+'TUSD BF'!$AI$38+'TUSD CVA'!$AI$38)*(1 - CUSTOS!$M$40)</f>
        <v>0</v>
      </c>
      <c r="AF38" s="86">
        <f ca="1">('TUSD BE'!$AJ$38+'TUSD BF'!$AJ$38+'TUSD CVA'!$AJ$38)*(1 - CUSTOS!$M$40)</f>
        <v>3.889991379280473</v>
      </c>
      <c r="AG38" s="86">
        <f ca="1">('TUSD BE'!$AK$38+'TUSD BF'!$AK$38+'TUSD CVA'!$AK$38)*(1 - CUSTOS!$M$40)</f>
        <v>0</v>
      </c>
      <c r="AI38" s="86">
        <v>0</v>
      </c>
      <c r="AJ38" s="86">
        <v>2.0730669385142799</v>
      </c>
      <c r="AK38" s="86">
        <v>5.2258078849765901E-9</v>
      </c>
      <c r="AL38" s="86">
        <v>0</v>
      </c>
      <c r="AM38" s="86">
        <v>0</v>
      </c>
      <c r="AN38" s="86">
        <v>69.180390825245297</v>
      </c>
      <c r="AO38" s="86">
        <v>7.7482539136591297</v>
      </c>
      <c r="AP38" s="86">
        <v>0</v>
      </c>
      <c r="AQ38" s="86">
        <v>0</v>
      </c>
      <c r="AR38" s="86">
        <v>0</v>
      </c>
      <c r="AS38" s="86">
        <v>0</v>
      </c>
      <c r="AT38" s="86">
        <v>0</v>
      </c>
      <c r="AU38" s="86">
        <v>414.05512718521902</v>
      </c>
      <c r="AV38" s="86">
        <v>0</v>
      </c>
      <c r="AW38" s="86">
        <v>0</v>
      </c>
      <c r="AX38" s="86">
        <v>996.20332836260502</v>
      </c>
      <c r="AY38" s="86">
        <v>16.891458058232899</v>
      </c>
      <c r="AZ38" s="86">
        <v>0</v>
      </c>
      <c r="BA38" s="86">
        <v>32.929887754431803</v>
      </c>
      <c r="BB38" s="86">
        <v>0</v>
      </c>
      <c r="BC38" s="86">
        <v>4.1409205345878197</v>
      </c>
      <c r="BD38" s="86">
        <v>0</v>
      </c>
    </row>
    <row r="39" spans="1:56" ht="11.25" customHeight="1" x14ac:dyDescent="0.25">
      <c r="A39" s="134"/>
      <c r="B39" s="134"/>
      <c r="C39" s="134"/>
      <c r="D39" s="134"/>
      <c r="E39" s="134"/>
      <c r="F39" s="134"/>
      <c r="G39" s="21" t="s">
        <v>84</v>
      </c>
      <c r="H39" s="21" t="s">
        <v>71</v>
      </c>
      <c r="I39" s="21">
        <f>'MERCADO TUSD'!$U$36</f>
        <v>0</v>
      </c>
      <c r="J39" s="17"/>
      <c r="L39" s="86">
        <f>('TUSD BE'!$L$39+'TUSD BF'!$L$39+'TUSD CVA'!$L$39)*(1 - CUSTOS!$M$40)</f>
        <v>21.782272192052936</v>
      </c>
      <c r="M39" s="86">
        <f>('TUSD BE'!$M$39+'TUSD BF'!$M$39+'TUSD CVA'!$M$39)*(1 - CUSTOS!$M$40)</f>
        <v>2.9715222505958692</v>
      </c>
      <c r="N39" s="86">
        <f ca="1">('TUSD BE'!$N$39+'TUSD BF'!$N$39+'TUSD CVA'!$N$39)*(1 - CUSTOS!$M$40)</f>
        <v>0</v>
      </c>
      <c r="O39" s="86">
        <f>('TUSD BE'!$O$39+'TUSD BF'!$O$39+'TUSD CVA'!$O$39)*(1 - CUSTOS!$M$40)</f>
        <v>0</v>
      </c>
      <c r="P39" s="86">
        <f>('TUSD BE'!$P$39+'TUSD BF'!$P$39+'TUSD CVA'!$P$39)*(1 - CUSTOS!$M$40)</f>
        <v>0</v>
      </c>
      <c r="Q39" s="86">
        <f>('TUSD BE'!$Q$39+'TUSD BF'!$Q$39+'TUSD CVA'!$Q$39)*(1 - CUSTOS!$M$40)</f>
        <v>85.468712895651521</v>
      </c>
      <c r="R39" s="86">
        <f>('TUSD BE'!$R$39+'TUSD BF'!$R$39+'TUSD CVA'!$R$39)*(1 - CUSTOS!$M$40)</f>
        <v>13.936341911130288</v>
      </c>
      <c r="S39" s="86">
        <f>('TUSD BE'!$S$39+'TUSD BF'!$S$39+'TUSD CVA'!$S$39)*(1 - CUSTOS!$M$40)</f>
        <v>0</v>
      </c>
      <c r="T39" s="86">
        <f>('TUSD BE'!$U$39+'TUSD BF'!$U$39+'TUSD CVA'!$U$39)*(1 - CUSTOS!$M$40)</f>
        <v>0</v>
      </c>
      <c r="U39" s="86">
        <f>('TUSD BE'!$V$39+'TUSD BF'!$V$39+'TUSD CVA'!$V$39)*(1 - CUSTOS!$M$40)</f>
        <v>0</v>
      </c>
      <c r="V39" s="86">
        <f>('TUSD BE'!$W$39+'TUSD BF'!$W$39+'TUSD CVA'!$W$39)*(1 - CUSTOS!$M$40)</f>
        <v>0</v>
      </c>
      <c r="W39" s="86">
        <f>('TUSD BE'!$X$39+'TUSD BF'!$X$39+'TUSD CVA'!$X$39)*(1 - CUSTOS!$M$40)</f>
        <v>0</v>
      </c>
      <c r="X39" s="86">
        <f>('TUSD BE'!$Y$39+'TUSD BF'!$Y$39+'TUSD CVA'!$Y$39)*(1 - CUSTOS!$M$40)</f>
        <v>356.60970418040779</v>
      </c>
      <c r="Y39" s="86">
        <f>('TUSD BE'!$Z$39+'TUSD BF'!$Z$39+'TUSD CVA'!$Z$39)*(1 - CUSTOS!$M$40)</f>
        <v>0</v>
      </c>
      <c r="Z39" s="86">
        <f>('TUSD BE'!$AA$39+'TUSD BF'!$AA$39+'TUSD CVA'!$AA$39)*(1 - CUSTOS!$M$40)</f>
        <v>0</v>
      </c>
      <c r="AA39" s="86">
        <f>('TUSD BE'!$AC$39+'TUSD BF'!$AC$39+'TUSD CVA'!$AC$39)*(1 - CUSTOS!$M$40)</f>
        <v>769.86905887462035</v>
      </c>
      <c r="AB39" s="86">
        <f ca="1">('TUSD BE'!$AE$39+'TUSD BF'!$AE$39+'TUSD CVA'!$AE$39)*(1 - CUSTOS!$M$40)</f>
        <v>0</v>
      </c>
      <c r="AC39" s="86">
        <f ca="1">('TUSD BE'!$AF$39+'TUSD BF'!$AF$39+'TUSD CVA'!$AF$39)*(1 - CUSTOS!$M$40)</f>
        <v>0</v>
      </c>
      <c r="AD39" s="86">
        <f>('TUSD BE'!$AH$39+'TUSD BF'!$AH$39+'TUSD CVA'!$AH$39)*(1 - CUSTOS!$M$40)</f>
        <v>41.810019095201348</v>
      </c>
      <c r="AE39" s="86">
        <f>('TUSD BE'!$AI$39+'TUSD BF'!$AI$39+'TUSD CVA'!$AI$39)*(1 - CUSTOS!$M$40)</f>
        <v>0</v>
      </c>
      <c r="AF39" s="86">
        <f ca="1">('TUSD BE'!$AJ$39+'TUSD BF'!$AJ$39+'TUSD CVA'!$AJ$39)*(1 - CUSTOS!$M$40)</f>
        <v>3.889991379280473</v>
      </c>
      <c r="AG39" s="86">
        <f ca="1">('TUSD BE'!$AK$39+'TUSD BF'!$AK$39+'TUSD CVA'!$AK$39)*(1 - CUSTOS!$M$40)</f>
        <v>0</v>
      </c>
      <c r="AI39" s="86">
        <v>0</v>
      </c>
      <c r="AJ39" s="86">
        <v>2.0730669385142799</v>
      </c>
      <c r="AK39" s="86">
        <v>3.1896831915519298E-9</v>
      </c>
      <c r="AL39" s="86">
        <v>0</v>
      </c>
      <c r="AM39" s="86">
        <v>0</v>
      </c>
      <c r="AN39" s="86">
        <v>69.180390825245297</v>
      </c>
      <c r="AO39" s="86">
        <v>7.7482539136591297</v>
      </c>
      <c r="AP39" s="86">
        <v>0</v>
      </c>
      <c r="AQ39" s="86">
        <v>0</v>
      </c>
      <c r="AR39" s="86">
        <v>0</v>
      </c>
      <c r="AS39" s="86">
        <v>0</v>
      </c>
      <c r="AT39" s="86">
        <v>0</v>
      </c>
      <c r="AU39" s="86">
        <v>248.43309899934499</v>
      </c>
      <c r="AV39" s="86">
        <v>0</v>
      </c>
      <c r="AW39" s="86">
        <v>0</v>
      </c>
      <c r="AX39" s="86">
        <v>597.72187240260598</v>
      </c>
      <c r="AY39" s="86">
        <v>10.558524331114</v>
      </c>
      <c r="AZ39" s="86">
        <v>0</v>
      </c>
      <c r="BA39" s="86">
        <v>32.929887754431803</v>
      </c>
      <c r="BB39" s="86">
        <v>0</v>
      </c>
      <c r="BC39" s="86">
        <v>4.1409205345878197</v>
      </c>
      <c r="BD39" s="86">
        <v>0</v>
      </c>
    </row>
    <row r="40" spans="1:56" ht="11.25" customHeight="1" x14ac:dyDescent="0.25">
      <c r="A40" s="134"/>
      <c r="B40" s="134"/>
      <c r="C40" s="134"/>
      <c r="D40" s="134"/>
      <c r="E40" s="134"/>
      <c r="F40" s="134"/>
      <c r="G40" s="21" t="s">
        <v>73</v>
      </c>
      <c r="H40" s="21" t="s">
        <v>71</v>
      </c>
      <c r="I40" s="21">
        <f>'MERCADO TUSD'!$U$37</f>
        <v>0</v>
      </c>
      <c r="J40" s="17"/>
      <c r="L40" s="86">
        <f>('TUSD BE'!$L$40+'TUSD BF'!$L$40+'TUSD CVA'!$L$40)*(1 - CUSTOS!$M$40)</f>
        <v>21.782272192052936</v>
      </c>
      <c r="M40" s="86">
        <f>('TUSD BE'!$M$40+'TUSD BF'!$M$40+'TUSD CVA'!$M$40)*(1 - CUSTOS!$M$40)</f>
        <v>2.9715222505958692</v>
      </c>
      <c r="N40" s="86">
        <f ca="1">('TUSD BE'!$N$40+'TUSD BF'!$N$40+'TUSD CVA'!$N$40)*(1 - CUSTOS!$M$40)</f>
        <v>0</v>
      </c>
      <c r="O40" s="86">
        <f>('TUSD BE'!$O$40+'TUSD BF'!$O$40+'TUSD CVA'!$O$40)*(1 - CUSTOS!$M$40)</f>
        <v>0</v>
      </c>
      <c r="P40" s="86">
        <f>('TUSD BE'!$P$40+'TUSD BF'!$P$40+'TUSD CVA'!$P$40)*(1 - CUSTOS!$M$40)</f>
        <v>0</v>
      </c>
      <c r="Q40" s="86">
        <f>('TUSD BE'!$Q$40+'TUSD BF'!$Q$40+'TUSD CVA'!$Q$40)*(1 - CUSTOS!$M$40)</f>
        <v>85.468712895651521</v>
      </c>
      <c r="R40" s="86">
        <f>('TUSD BE'!$R$40+'TUSD BF'!$R$40+'TUSD CVA'!$R$40)*(1 - CUSTOS!$M$40)</f>
        <v>13.936341911130288</v>
      </c>
      <c r="S40" s="86">
        <f>('TUSD BE'!$S$40+'TUSD BF'!$S$40+'TUSD CVA'!$S$40)*(1 - CUSTOS!$M$40)</f>
        <v>0</v>
      </c>
      <c r="T40" s="86">
        <f>('TUSD BE'!$U$40+'TUSD BF'!$U$40+'TUSD CVA'!$U$40)*(1 - CUSTOS!$M$40)</f>
        <v>0</v>
      </c>
      <c r="U40" s="86">
        <f>('TUSD BE'!$V$40+'TUSD BF'!$V$40+'TUSD CVA'!$V$40)*(1 - CUSTOS!$M$40)</f>
        <v>0</v>
      </c>
      <c r="V40" s="86">
        <f>('TUSD BE'!$W$40+'TUSD BF'!$W$40+'TUSD CVA'!$W$40)*(1 - CUSTOS!$M$40)</f>
        <v>0</v>
      </c>
      <c r="W40" s="86">
        <f>('TUSD BE'!$X$40+'TUSD BF'!$X$40+'TUSD CVA'!$X$40)*(1 - CUSTOS!$M$40)</f>
        <v>0</v>
      </c>
      <c r="X40" s="86">
        <f>('TUSD BE'!$Y$40+'TUSD BF'!$Y$40+'TUSD CVA'!$Y$40)*(1 - CUSTOS!$M$40)</f>
        <v>118.86946867036788</v>
      </c>
      <c r="Y40" s="86">
        <f>('TUSD BE'!$Z$40+'TUSD BF'!$Z$40+'TUSD CVA'!$Z$40)*(1 - CUSTOS!$M$40)</f>
        <v>0</v>
      </c>
      <c r="Z40" s="86">
        <f>('TUSD BE'!$AA$40+'TUSD BF'!$AA$40+'TUSD CVA'!$AA$40)*(1 - CUSTOS!$M$40)</f>
        <v>0</v>
      </c>
      <c r="AA40" s="86">
        <f>('TUSD BE'!$AC$40+'TUSD BF'!$AC$40+'TUSD CVA'!$AC$40)*(1 - CUSTOS!$M$40)</f>
        <v>256.62301962487351</v>
      </c>
      <c r="AB40" s="86">
        <f ca="1">('TUSD BE'!$AE$40+'TUSD BF'!$AE$40+'TUSD CVA'!$AE$40)*(1 - CUSTOS!$M$40)</f>
        <v>0</v>
      </c>
      <c r="AC40" s="86">
        <f ca="1">('TUSD BE'!$AF$40+'TUSD BF'!$AF$40+'TUSD CVA'!$AF$40)*(1 - CUSTOS!$M$40)</f>
        <v>0</v>
      </c>
      <c r="AD40" s="86">
        <f>('TUSD BE'!$AH$40+'TUSD BF'!$AH$40+'TUSD CVA'!$AH$40)*(1 - CUSTOS!$M$40)</f>
        <v>41.810019095201348</v>
      </c>
      <c r="AE40" s="86">
        <f>('TUSD BE'!$AI$40+'TUSD BF'!$AI$40+'TUSD CVA'!$AI$40)*(1 - CUSTOS!$M$40)</f>
        <v>0</v>
      </c>
      <c r="AF40" s="86">
        <f ca="1">('TUSD BE'!$AJ$40+'TUSD BF'!$AJ$40+'TUSD CVA'!$AJ$40)*(1 - CUSTOS!$M$40)</f>
        <v>3.889991379280473</v>
      </c>
      <c r="AG40" s="86">
        <f ca="1">('TUSD BE'!$AK$40+'TUSD BF'!$AK$40+'TUSD CVA'!$AK$40)*(1 - CUSTOS!$M$40)</f>
        <v>0</v>
      </c>
      <c r="AI40" s="86">
        <v>0</v>
      </c>
      <c r="AJ40" s="86">
        <v>2.0730669385142799</v>
      </c>
      <c r="AK40" s="86">
        <v>1.1535590624754301E-9</v>
      </c>
      <c r="AL40" s="86">
        <v>0</v>
      </c>
      <c r="AM40" s="86">
        <v>0</v>
      </c>
      <c r="AN40" s="86">
        <v>69.180390825245297</v>
      </c>
      <c r="AO40" s="86">
        <v>7.7482539136591297</v>
      </c>
      <c r="AP40" s="86">
        <v>0</v>
      </c>
      <c r="AQ40" s="86">
        <v>0</v>
      </c>
      <c r="AR40" s="86">
        <v>0</v>
      </c>
      <c r="AS40" s="86">
        <v>0</v>
      </c>
      <c r="AT40" s="86">
        <v>0</v>
      </c>
      <c r="AU40" s="86">
        <v>82.810957372404104</v>
      </c>
      <c r="AV40" s="86">
        <v>0</v>
      </c>
      <c r="AW40" s="86">
        <v>0</v>
      </c>
      <c r="AX40" s="86">
        <v>199.24062413420199</v>
      </c>
      <c r="AY40" s="86">
        <v>4.2255920238911298</v>
      </c>
      <c r="AZ40" s="86">
        <v>0</v>
      </c>
      <c r="BA40" s="86">
        <v>32.929887754431803</v>
      </c>
      <c r="BB40" s="86">
        <v>0</v>
      </c>
      <c r="BC40" s="86">
        <v>4.1409205345878197</v>
      </c>
      <c r="BD40" s="86">
        <v>0</v>
      </c>
    </row>
    <row r="41" spans="1:56" ht="11.25" customHeight="1" x14ac:dyDescent="0.25">
      <c r="A41" s="134"/>
      <c r="B41" s="88" t="s">
        <v>23</v>
      </c>
      <c r="C41" s="88" t="s">
        <v>44</v>
      </c>
      <c r="D41" s="88" t="s">
        <v>88</v>
      </c>
      <c r="E41" s="88" t="s">
        <v>25</v>
      </c>
      <c r="F41" s="88" t="s">
        <v>25</v>
      </c>
      <c r="G41" s="21" t="s">
        <v>75</v>
      </c>
      <c r="H41" s="21" t="s">
        <v>71</v>
      </c>
      <c r="I41" s="21">
        <f>'MERCADO TUSD'!$U$38</f>
        <v>0</v>
      </c>
      <c r="J41" s="17"/>
      <c r="L41" s="86">
        <f>('TUSD BE'!$L$41+'TUSD BF'!$L$41+'TUSD CVA'!$L$41)*(1 - CUSTOS!$M$40)</f>
        <v>21.782272192052936</v>
      </c>
      <c r="M41" s="86">
        <f>('TUSD BE'!$M$41+'TUSD BF'!$M$41+'TUSD CVA'!$M$41)*(1 - CUSTOS!$M$40)</f>
        <v>2.9715222505958692</v>
      </c>
      <c r="N41" s="86">
        <f ca="1">('TUSD BE'!$N$41+'TUSD BF'!$N$41+'TUSD CVA'!$N$41)*(1 - CUSTOS!$M$40)</f>
        <v>0</v>
      </c>
      <c r="O41" s="86">
        <f>('TUSD BE'!$O$41+'TUSD BF'!$O$41+'TUSD CVA'!$O$41)*(1 - CUSTOS!$M$40)</f>
        <v>0</v>
      </c>
      <c r="P41" s="86">
        <f>('TUSD BE'!$P$41+'TUSD BF'!$P$41+'TUSD CVA'!$P$41)*(1 - CUSTOS!$M$40)</f>
        <v>0</v>
      </c>
      <c r="Q41" s="86">
        <f>('TUSD BE'!$Q$41+'TUSD BF'!$Q$41+'TUSD CVA'!$Q$41)*(1 - CUSTOS!$M$40)</f>
        <v>85.468712895651521</v>
      </c>
      <c r="R41" s="86">
        <f>('TUSD BE'!$R$41+'TUSD BF'!$R$41+'TUSD CVA'!$R$41)*(1 - CUSTOS!$M$40)</f>
        <v>13.936341911130288</v>
      </c>
      <c r="S41" s="86">
        <f>('TUSD BE'!$S$41+'TUSD BF'!$S$41+'TUSD CVA'!$S$41)*(1 - CUSTOS!$M$40)</f>
        <v>0</v>
      </c>
      <c r="T41" s="86">
        <f>('TUSD BE'!$U$41+'TUSD BF'!$U$41+'TUSD CVA'!$U$41)*(1 - CUSTOS!$M$40)</f>
        <v>0</v>
      </c>
      <c r="U41" s="86">
        <f>('TUSD BE'!$V$41+'TUSD BF'!$V$41+'TUSD CVA'!$V$41)*(1 - CUSTOS!$M$40)</f>
        <v>0</v>
      </c>
      <c r="V41" s="86">
        <f>('TUSD BE'!$W$41+'TUSD BF'!$W$41+'TUSD CVA'!$W$41)*(1 - CUSTOS!$M$40)</f>
        <v>0</v>
      </c>
      <c r="W41" s="86">
        <f>('TUSD BE'!$X$41+'TUSD BF'!$X$41+'TUSD CVA'!$X$41)*(1 - CUSTOS!$M$40)</f>
        <v>0</v>
      </c>
      <c r="X41" s="86">
        <f>('TUSD BE'!$Y$41+'TUSD BF'!$Y$41+'TUSD CVA'!$Y$41)*(1 - CUSTOS!$M$40)</f>
        <v>228.59593093181769</v>
      </c>
      <c r="Y41" s="86">
        <f>('TUSD BE'!$Z$41+'TUSD BF'!$Z$41+'TUSD CVA'!$Z$41)*(1 - CUSTOS!$M$40)</f>
        <v>0</v>
      </c>
      <c r="Z41" s="86">
        <f>('TUSD BE'!$AA$41+'TUSD BF'!$AA$41+'TUSD CVA'!$AA$41)*(1 - CUSTOS!$M$40)</f>
        <v>0</v>
      </c>
      <c r="AA41" s="86">
        <f>('TUSD BE'!$AC$41+'TUSD BF'!$AC$41+'TUSD CVA'!$AC$41)*(1 - CUSTOS!$M$40)</f>
        <v>493.50588310853476</v>
      </c>
      <c r="AB41" s="86">
        <f ca="1">('TUSD BE'!$AE$41+'TUSD BF'!$AE$41+'TUSD CVA'!$AE$41)*(1 - CUSTOS!$M$40)</f>
        <v>0</v>
      </c>
      <c r="AC41" s="86">
        <f ca="1">('TUSD BE'!$AF$41+'TUSD BF'!$AF$41+'TUSD CVA'!$AF$41)*(1 - CUSTOS!$M$40)</f>
        <v>0</v>
      </c>
      <c r="AD41" s="86">
        <f>('TUSD BE'!$AH$41+'TUSD BF'!$AH$41+'TUSD CVA'!$AH$41)*(1 - CUSTOS!$M$40)</f>
        <v>41.810019095201348</v>
      </c>
      <c r="AE41" s="86">
        <f>('TUSD BE'!$AI$41+'TUSD BF'!$AI$41+'TUSD CVA'!$AI$41)*(1 - CUSTOS!$M$40)</f>
        <v>0</v>
      </c>
      <c r="AF41" s="86">
        <f ca="1">('TUSD BE'!$AJ$41+'TUSD BF'!$AJ$41+'TUSD CVA'!$AJ$41)*(1 - CUSTOS!$M$40)</f>
        <v>3.889991379280473</v>
      </c>
      <c r="AG41" s="86">
        <f ca="1">('TUSD BE'!$AK$41+'TUSD BF'!$AK$41+'TUSD CVA'!$AK$41)*(1 - CUSTOS!$M$40)</f>
        <v>0</v>
      </c>
      <c r="AI41" s="86">
        <v>0</v>
      </c>
      <c r="AJ41" s="86">
        <v>2.0730669385142799</v>
      </c>
      <c r="AK41" s="86">
        <v>2.0933099194412401E-9</v>
      </c>
      <c r="AL41" s="86">
        <v>0</v>
      </c>
      <c r="AM41" s="86">
        <v>0</v>
      </c>
      <c r="AN41" s="86">
        <v>69.180390825245297</v>
      </c>
      <c r="AO41" s="86">
        <v>7.7482539136591297</v>
      </c>
      <c r="AP41" s="86">
        <v>0</v>
      </c>
      <c r="AQ41" s="86">
        <v>0</v>
      </c>
      <c r="AR41" s="86">
        <v>0</v>
      </c>
      <c r="AS41" s="86">
        <v>0</v>
      </c>
      <c r="AT41" s="86">
        <v>0</v>
      </c>
      <c r="AU41" s="86">
        <v>159.25219887644801</v>
      </c>
      <c r="AV41" s="86">
        <v>0</v>
      </c>
      <c r="AW41" s="86">
        <v>0</v>
      </c>
      <c r="AX41" s="86">
        <v>383.15520084926698</v>
      </c>
      <c r="AY41" s="86">
        <v>7.1484880907308197</v>
      </c>
      <c r="AZ41" s="86">
        <v>0</v>
      </c>
      <c r="BA41" s="86">
        <v>32.929887754431803</v>
      </c>
      <c r="BB41" s="86">
        <v>0</v>
      </c>
      <c r="BC41" s="86">
        <v>4.1409205345878197</v>
      </c>
      <c r="BD41" s="86">
        <v>0</v>
      </c>
    </row>
    <row r="42" spans="1:56" ht="11.25" customHeight="1" x14ac:dyDescent="0.25">
      <c r="A42" s="134"/>
      <c r="B42" s="134" t="s">
        <v>86</v>
      </c>
      <c r="C42" s="134" t="s">
        <v>44</v>
      </c>
      <c r="D42" s="88" t="s">
        <v>25</v>
      </c>
      <c r="E42" s="88" t="s">
        <v>25</v>
      </c>
      <c r="F42" s="88" t="s">
        <v>25</v>
      </c>
      <c r="G42" s="21" t="s">
        <v>75</v>
      </c>
      <c r="H42" s="21" t="s">
        <v>71</v>
      </c>
      <c r="I42" s="21">
        <f>'MERCADO TUSD'!$U$39</f>
        <v>0</v>
      </c>
      <c r="J42" s="17"/>
      <c r="L42" s="86">
        <f>('TUSD BE'!$L$42+'TUSD BF'!$L$42+'TUSD CVA'!$L$42)*(1 - CUSTOS!$M$38)</f>
        <v>22.25579984840191</v>
      </c>
      <c r="M42" s="86">
        <f>('TUSD BE'!$M$42+'TUSD BF'!$M$42+'TUSD CVA'!$M$42)*(1 - CUSTOS!$M$38)</f>
        <v>3.0361205603914314</v>
      </c>
      <c r="N42" s="86">
        <f ca="1">('TUSD BE'!$N$42+'TUSD BF'!$N$42+'TUSD CVA'!$N$42)*(1 - CUSTOS!$M$38)</f>
        <v>0</v>
      </c>
      <c r="O42" s="86">
        <f>('TUSD BE'!$O$42+'TUSD BF'!$O$42+'TUSD CVA'!$O$42)*(1 - CUSTOS!$M$38)</f>
        <v>0</v>
      </c>
      <c r="P42" s="86">
        <f>('TUSD BE'!$P$42+'TUSD BF'!$P$42+'TUSD CVA'!$P$42)*(1 - CUSTOS!$M$38)</f>
        <v>0</v>
      </c>
      <c r="Q42" s="86">
        <f>('TUSD BE'!$Q$42+'TUSD BF'!$Q$42+'TUSD CVA'!$Q$42)*(1 - CUSTOS!$M$38)</f>
        <v>87.326728393383064</v>
      </c>
      <c r="R42" s="86">
        <f>('TUSD BE'!$R$42+'TUSD BF'!$R$42+'TUSD CVA'!$R$42)*(1 - CUSTOS!$M$38)</f>
        <v>14.239305865720075</v>
      </c>
      <c r="S42" s="86">
        <f>('TUSD BE'!$S$42+'TUSD BF'!$S$42+'TUSD CVA'!$S$42)*(1 - CUSTOS!$M$38)</f>
        <v>0</v>
      </c>
      <c r="T42" s="86">
        <f>('TUSD BE'!$U$42+'TUSD BF'!$U$42+'TUSD CVA'!$U$42)*(1 - CUSTOS!$M$38)</f>
        <v>0</v>
      </c>
      <c r="U42" s="86">
        <f>('TUSD BE'!$V$42+'TUSD BF'!$V$42+'TUSD CVA'!$V$42)*(1 - CUSTOS!$M$38)</f>
        <v>0</v>
      </c>
      <c r="V42" s="86">
        <f>('TUSD BE'!$W$42+'TUSD BF'!$W$42+'TUSD CVA'!$W$42)*(1 - CUSTOS!$M$38)</f>
        <v>0</v>
      </c>
      <c r="W42" s="86">
        <f>('TUSD BE'!$X$42+'TUSD BF'!$X$42+'TUSD CVA'!$X$42)*(1 - CUSTOS!$M$38)</f>
        <v>0</v>
      </c>
      <c r="X42" s="86">
        <f>('TUSD BE'!$Y$42+'TUSD BF'!$Y$42+'TUSD CVA'!$Y$42)*(1 - CUSTOS!$M$38)</f>
        <v>233.56540769120502</v>
      </c>
      <c r="Y42" s="86">
        <f>('TUSD BE'!$Z$42+'TUSD BF'!$Z$42+'TUSD CVA'!$Z$42)*(1 - CUSTOS!$M$38)</f>
        <v>0</v>
      </c>
      <c r="Z42" s="86">
        <f>('TUSD BE'!$AA$42+'TUSD BF'!$AA$42+'TUSD CVA'!$AA$42)*(1 - CUSTOS!$M$38)</f>
        <v>0</v>
      </c>
      <c r="AA42" s="86">
        <f>('TUSD BE'!$AC$42+'TUSD BF'!$AC$42+'TUSD CVA'!$AC$42)*(1 - CUSTOS!$M$38)</f>
        <v>504.23427187176372</v>
      </c>
      <c r="AB42" s="86">
        <f ca="1">('TUSD BE'!$AE$42+'TUSD BF'!$AE$42+'TUSD CVA'!$AE$42)*(1 - CUSTOS!$M$38)</f>
        <v>0</v>
      </c>
      <c r="AC42" s="86">
        <f ca="1">('TUSD BE'!$AF$42+'TUSD BF'!$AF$42+'TUSD CVA'!$AF$42)*(1 - CUSTOS!$M$38)</f>
        <v>0</v>
      </c>
      <c r="AD42" s="86">
        <f>('TUSD BE'!$AH$42+'TUSD BF'!$AH$42+'TUSD CVA'!$AH$42)*(1 - CUSTOS!$M$38)</f>
        <v>42.718932553792676</v>
      </c>
      <c r="AE42" s="86">
        <f>('TUSD BE'!$AI$42+'TUSD BF'!$AI$42+'TUSD CVA'!$AI$42)*(1 - CUSTOS!$M$38)</f>
        <v>0</v>
      </c>
      <c r="AF42" s="86">
        <f ca="1">('TUSD BE'!$AJ$42+'TUSD BF'!$AJ$42+'TUSD CVA'!$AJ$42)*(1 - CUSTOS!$M$38)</f>
        <v>3.9745564092648307</v>
      </c>
      <c r="AG42" s="86">
        <f ca="1">('TUSD BE'!$AK$42+'TUSD BF'!$AK$42+'TUSD CVA'!$AK$42)*(1 - CUSTOS!$M$38)</f>
        <v>0</v>
      </c>
      <c r="AI42" s="86">
        <v>0</v>
      </c>
      <c r="AJ42" s="86">
        <v>2.1717844117768599</v>
      </c>
      <c r="AK42" s="86">
        <v>2.19299134417654E-9</v>
      </c>
      <c r="AL42" s="86">
        <v>0</v>
      </c>
      <c r="AM42" s="86">
        <v>0</v>
      </c>
      <c r="AN42" s="86">
        <v>72.474695150257006</v>
      </c>
      <c r="AO42" s="86">
        <v>8.1172183857381395</v>
      </c>
      <c r="AP42" s="86">
        <v>0</v>
      </c>
      <c r="AQ42" s="86">
        <v>0</v>
      </c>
      <c r="AR42" s="86">
        <v>0</v>
      </c>
      <c r="AS42" s="86">
        <v>0</v>
      </c>
      <c r="AT42" s="86">
        <v>0</v>
      </c>
      <c r="AU42" s="86">
        <v>166.83563691818301</v>
      </c>
      <c r="AV42" s="86">
        <v>0</v>
      </c>
      <c r="AW42" s="86">
        <v>0</v>
      </c>
      <c r="AX42" s="86">
        <v>401.40068660399402</v>
      </c>
      <c r="AY42" s="86">
        <v>7.4888922855275197</v>
      </c>
      <c r="AZ42" s="86">
        <v>0</v>
      </c>
      <c r="BA42" s="86">
        <v>34.497977647500001</v>
      </c>
      <c r="BB42" s="86">
        <v>0</v>
      </c>
      <c r="BC42" s="86">
        <v>4.3381072267110499</v>
      </c>
      <c r="BD42" s="86">
        <v>0</v>
      </c>
    </row>
    <row r="43" spans="1:56" ht="11.25" customHeight="1" x14ac:dyDescent="0.25">
      <c r="A43" s="134"/>
      <c r="B43" s="134"/>
      <c r="C43" s="134"/>
      <c r="D43" s="88" t="s">
        <v>87</v>
      </c>
      <c r="E43" s="88" t="s">
        <v>25</v>
      </c>
      <c r="F43" s="88" t="s">
        <v>25</v>
      </c>
      <c r="G43" s="21" t="s">
        <v>75</v>
      </c>
      <c r="H43" s="21" t="s">
        <v>71</v>
      </c>
      <c r="I43" s="21">
        <f>'MERCADO TUSD'!$U$40</f>
        <v>0</v>
      </c>
      <c r="J43" s="17"/>
      <c r="L43" s="86">
        <f>('TUSD BE'!$L$43+'TUSD BF'!$L$43+'TUSD CVA'!$L$43)*(1 - CUSTOS!$M$39)</f>
        <v>22.25579984840191</v>
      </c>
      <c r="M43" s="86">
        <f>('TUSD BE'!$M$43+'TUSD BF'!$M$43+'TUSD CVA'!$M$43)*(1 - CUSTOS!$M$39)</f>
        <v>3.0361205603914314</v>
      </c>
      <c r="N43" s="86">
        <f ca="1">('TUSD BE'!$N$43+'TUSD BF'!$N$43+'TUSD CVA'!$N$43)*(1 - CUSTOS!$M$39)</f>
        <v>0</v>
      </c>
      <c r="O43" s="86">
        <f>('TUSD BE'!$O$43+'TUSD BF'!$O$43+'TUSD CVA'!$O$43)*(1 - CUSTOS!$M$39)</f>
        <v>0</v>
      </c>
      <c r="P43" s="86">
        <f>('TUSD BE'!$P$43+'TUSD BF'!$P$43+'TUSD CVA'!$P$43)*(1 - CUSTOS!$M$39)</f>
        <v>0</v>
      </c>
      <c r="Q43" s="86">
        <f>('TUSD BE'!$Q$43+'TUSD BF'!$Q$43+'TUSD CVA'!$Q$43)*(1 - CUSTOS!$M$39)</f>
        <v>87.326728393383064</v>
      </c>
      <c r="R43" s="86">
        <f>('TUSD BE'!$R$43+'TUSD BF'!$R$43+'TUSD CVA'!$R$43)*(1 - CUSTOS!$M$39)</f>
        <v>14.239305865720075</v>
      </c>
      <c r="S43" s="86">
        <f>('TUSD BE'!$S$43+'TUSD BF'!$S$43+'TUSD CVA'!$S$43)*(1 - CUSTOS!$M$39)</f>
        <v>0</v>
      </c>
      <c r="T43" s="86">
        <f>('TUSD BE'!$U$43+'TUSD BF'!$U$43+'TUSD CVA'!$U$43)*(1 - CUSTOS!$M$39)</f>
        <v>0</v>
      </c>
      <c r="U43" s="86">
        <f>('TUSD BE'!$V$43+'TUSD BF'!$V$43+'TUSD CVA'!$V$43)*(1 - CUSTOS!$M$39)</f>
        <v>0</v>
      </c>
      <c r="V43" s="86">
        <f>('TUSD BE'!$W$43+'TUSD BF'!$W$43+'TUSD CVA'!$W$43)*(1 - CUSTOS!$M$39)</f>
        <v>0</v>
      </c>
      <c r="W43" s="86">
        <f>('TUSD BE'!$X$43+'TUSD BF'!$X$43+'TUSD CVA'!$X$43)*(1 - CUSTOS!$M$39)</f>
        <v>0</v>
      </c>
      <c r="X43" s="86">
        <f>('TUSD BE'!$Y$43+'TUSD BF'!$Y$43+'TUSD CVA'!$Y$43)*(1 - CUSTOS!$M$39)</f>
        <v>233.56540769120502</v>
      </c>
      <c r="Y43" s="86">
        <f>('TUSD BE'!$Z$43+'TUSD BF'!$Z$43+'TUSD CVA'!$Z$43)*(1 - CUSTOS!$M$39)</f>
        <v>0</v>
      </c>
      <c r="Z43" s="86">
        <f>('TUSD BE'!$AA$43+'TUSD BF'!$AA$43+'TUSD CVA'!$AA$43)*(1 - CUSTOS!$M$39)</f>
        <v>0</v>
      </c>
      <c r="AA43" s="86">
        <f>('TUSD BE'!$AC$43+'TUSD BF'!$AC$43+'TUSD CVA'!$AC$43)*(1 - CUSTOS!$M$39)</f>
        <v>504.23427187176372</v>
      </c>
      <c r="AB43" s="86">
        <f ca="1">('TUSD BE'!$AE$43+'TUSD BF'!$AE$43+'TUSD CVA'!$AE$43)*(1 - CUSTOS!$M$39)</f>
        <v>0</v>
      </c>
      <c r="AC43" s="86">
        <f ca="1">('TUSD BE'!$AF$43+'TUSD BF'!$AF$43+'TUSD CVA'!$AF$43)*(1 - CUSTOS!$M$39)</f>
        <v>0</v>
      </c>
      <c r="AD43" s="86">
        <f>('TUSD BE'!$AH$43+'TUSD BF'!$AH$43+'TUSD CVA'!$AH$43)*(1 - CUSTOS!$M$39)</f>
        <v>42.718932553792676</v>
      </c>
      <c r="AE43" s="86">
        <f>('TUSD BE'!$AI$43+'TUSD BF'!$AI$43+'TUSD CVA'!$AI$43)*(1 - CUSTOS!$M$39)</f>
        <v>0</v>
      </c>
      <c r="AF43" s="86">
        <f ca="1">('TUSD BE'!$AJ$43+'TUSD BF'!$AJ$43+'TUSD CVA'!$AJ$43)*(1 - CUSTOS!$M$39)</f>
        <v>3.9745564092648307</v>
      </c>
      <c r="AG43" s="86">
        <f ca="1">('TUSD BE'!$AK$43+'TUSD BF'!$AK$43+'TUSD CVA'!$AK$43)*(1 - CUSTOS!$M$39)</f>
        <v>0</v>
      </c>
      <c r="AI43" s="86">
        <v>0</v>
      </c>
      <c r="AJ43" s="86">
        <v>2.1717844117768599</v>
      </c>
      <c r="AK43" s="86">
        <v>2.19299134417654E-9</v>
      </c>
      <c r="AL43" s="86">
        <v>0</v>
      </c>
      <c r="AM43" s="86">
        <v>0</v>
      </c>
      <c r="AN43" s="86">
        <v>72.474695150257006</v>
      </c>
      <c r="AO43" s="86">
        <v>8.1172183857381395</v>
      </c>
      <c r="AP43" s="86">
        <v>0</v>
      </c>
      <c r="AQ43" s="86">
        <v>0</v>
      </c>
      <c r="AR43" s="86">
        <v>0</v>
      </c>
      <c r="AS43" s="86">
        <v>0</v>
      </c>
      <c r="AT43" s="86">
        <v>0</v>
      </c>
      <c r="AU43" s="86">
        <v>166.83563691818301</v>
      </c>
      <c r="AV43" s="86">
        <v>0</v>
      </c>
      <c r="AW43" s="86">
        <v>0</v>
      </c>
      <c r="AX43" s="86">
        <v>401.40068660399402</v>
      </c>
      <c r="AY43" s="86">
        <v>7.4888922855275197</v>
      </c>
      <c r="AZ43" s="86">
        <v>0</v>
      </c>
      <c r="BA43" s="86">
        <v>34.497977647500001</v>
      </c>
      <c r="BB43" s="86">
        <v>0</v>
      </c>
      <c r="BC43" s="86">
        <v>4.3381072267110499</v>
      </c>
      <c r="BD43" s="86">
        <v>0</v>
      </c>
    </row>
    <row r="44" spans="1:56" ht="11.25" customHeight="1" x14ac:dyDescent="0.25">
      <c r="A44" s="134"/>
      <c r="B44" s="134"/>
      <c r="C44" s="134"/>
      <c r="D44" s="88" t="s">
        <v>88</v>
      </c>
      <c r="E44" s="88" t="s">
        <v>25</v>
      </c>
      <c r="F44" s="88" t="s">
        <v>25</v>
      </c>
      <c r="G44" s="21" t="s">
        <v>75</v>
      </c>
      <c r="H44" s="21" t="s">
        <v>71</v>
      </c>
      <c r="I44" s="21">
        <f>'MERCADO TUSD'!$U$41</f>
        <v>0</v>
      </c>
      <c r="J44" s="17"/>
      <c r="L44" s="86">
        <f>('TUSD BE'!$L$44+'TUSD BF'!$L$44+'TUSD CVA'!$L$44)*(1 - CUSTOS!$M$40)</f>
        <v>21.782272192052936</v>
      </c>
      <c r="M44" s="86">
        <f>('TUSD BE'!$M$44+'TUSD BF'!$M$44+'TUSD CVA'!$M$44)*(1 - CUSTOS!$M$40)</f>
        <v>2.9715222505958692</v>
      </c>
      <c r="N44" s="86">
        <f ca="1">('TUSD BE'!$N$44+'TUSD BF'!$N$44+'TUSD CVA'!$N$44)*(1 - CUSTOS!$M$40)</f>
        <v>0</v>
      </c>
      <c r="O44" s="86">
        <f>('TUSD BE'!$O$44+'TUSD BF'!$O$44+'TUSD CVA'!$O$44)*(1 - CUSTOS!$M$40)</f>
        <v>0</v>
      </c>
      <c r="P44" s="86">
        <f>('TUSD BE'!$P$44+'TUSD BF'!$P$44+'TUSD CVA'!$P$44)*(1 - CUSTOS!$M$40)</f>
        <v>0</v>
      </c>
      <c r="Q44" s="86">
        <f>('TUSD BE'!$Q$44+'TUSD BF'!$Q$44+'TUSD CVA'!$Q$44)*(1 - CUSTOS!$M$40)</f>
        <v>85.468712895651521</v>
      </c>
      <c r="R44" s="86">
        <f>('TUSD BE'!$R$44+'TUSD BF'!$R$44+'TUSD CVA'!$R$44)*(1 - CUSTOS!$M$40)</f>
        <v>13.936341911130288</v>
      </c>
      <c r="S44" s="86">
        <f>('TUSD BE'!$S$44+'TUSD BF'!$S$44+'TUSD CVA'!$S$44)*(1 - CUSTOS!$M$40)</f>
        <v>0</v>
      </c>
      <c r="T44" s="86">
        <f>('TUSD BE'!$U$44+'TUSD BF'!$U$44+'TUSD CVA'!$U$44)*(1 - CUSTOS!$M$40)</f>
        <v>0</v>
      </c>
      <c r="U44" s="86">
        <f>('TUSD BE'!$V$44+'TUSD BF'!$V$44+'TUSD CVA'!$V$44)*(1 - CUSTOS!$M$40)</f>
        <v>0</v>
      </c>
      <c r="V44" s="86">
        <f>('TUSD BE'!$W$44+'TUSD BF'!$W$44+'TUSD CVA'!$W$44)*(1 - CUSTOS!$M$40)</f>
        <v>0</v>
      </c>
      <c r="W44" s="86">
        <f>('TUSD BE'!$X$44+'TUSD BF'!$X$44+'TUSD CVA'!$X$44)*(1 - CUSTOS!$M$40)</f>
        <v>0</v>
      </c>
      <c r="X44" s="86">
        <f>('TUSD BE'!$Y$44+'TUSD BF'!$Y$44+'TUSD CVA'!$Y$44)*(1 - CUSTOS!$M$40)</f>
        <v>228.59593093181769</v>
      </c>
      <c r="Y44" s="86">
        <f>('TUSD BE'!$Z$44+'TUSD BF'!$Z$44+'TUSD CVA'!$Z$44)*(1 - CUSTOS!$M$40)</f>
        <v>0</v>
      </c>
      <c r="Z44" s="86">
        <f>('TUSD BE'!$AA$44+'TUSD BF'!$AA$44+'TUSD CVA'!$AA$44)*(1 - CUSTOS!$M$40)</f>
        <v>0</v>
      </c>
      <c r="AA44" s="86">
        <f>('TUSD BE'!$AC$44+'TUSD BF'!$AC$44+'TUSD CVA'!$AC$44)*(1 - CUSTOS!$M$40)</f>
        <v>493.50588310853476</v>
      </c>
      <c r="AB44" s="86">
        <f ca="1">('TUSD BE'!$AE$44+'TUSD BF'!$AE$44+'TUSD CVA'!$AE$44)*(1 - CUSTOS!$M$40)</f>
        <v>0</v>
      </c>
      <c r="AC44" s="86">
        <f ca="1">('TUSD BE'!$AF$44+'TUSD BF'!$AF$44+'TUSD CVA'!$AF$44)*(1 - CUSTOS!$M$40)</f>
        <v>0</v>
      </c>
      <c r="AD44" s="86">
        <f>('TUSD BE'!$AH$44+'TUSD BF'!$AH$44+'TUSD CVA'!$AH$44)*(1 - CUSTOS!$M$40)</f>
        <v>41.810019095201348</v>
      </c>
      <c r="AE44" s="86">
        <f>('TUSD BE'!$AI$44+'TUSD BF'!$AI$44+'TUSD CVA'!$AI$44)*(1 - CUSTOS!$M$40)</f>
        <v>0</v>
      </c>
      <c r="AF44" s="86">
        <f ca="1">('TUSD BE'!$AJ$44+'TUSD BF'!$AJ$44+'TUSD CVA'!$AJ$44)*(1 - CUSTOS!$M$40)</f>
        <v>3.889991379280473</v>
      </c>
      <c r="AG44" s="86">
        <f ca="1">('TUSD BE'!$AK$44+'TUSD BF'!$AK$44+'TUSD CVA'!$AK$44)*(1 - CUSTOS!$M$40)</f>
        <v>0</v>
      </c>
      <c r="AI44" s="86">
        <v>0</v>
      </c>
      <c r="AJ44" s="86">
        <v>2.0730669385142799</v>
      </c>
      <c r="AK44" s="86">
        <v>2.0933099194412401E-9</v>
      </c>
      <c r="AL44" s="86">
        <v>0</v>
      </c>
      <c r="AM44" s="86">
        <v>0</v>
      </c>
      <c r="AN44" s="86">
        <v>69.180390825245297</v>
      </c>
      <c r="AO44" s="86">
        <v>7.7482539136591297</v>
      </c>
      <c r="AP44" s="86">
        <v>0</v>
      </c>
      <c r="AQ44" s="86">
        <v>0</v>
      </c>
      <c r="AR44" s="86">
        <v>0</v>
      </c>
      <c r="AS44" s="86">
        <v>0</v>
      </c>
      <c r="AT44" s="86">
        <v>0</v>
      </c>
      <c r="AU44" s="86">
        <v>159.25219887644801</v>
      </c>
      <c r="AV44" s="86">
        <v>0</v>
      </c>
      <c r="AW44" s="86">
        <v>0</v>
      </c>
      <c r="AX44" s="86">
        <v>383.15520084926698</v>
      </c>
      <c r="AY44" s="86">
        <v>7.1484880907308197</v>
      </c>
      <c r="AZ44" s="86">
        <v>0</v>
      </c>
      <c r="BA44" s="86">
        <v>32.929887754431803</v>
      </c>
      <c r="BB44" s="86">
        <v>0</v>
      </c>
      <c r="BC44" s="86">
        <v>4.1409205345878197</v>
      </c>
      <c r="BD44" s="86">
        <v>0</v>
      </c>
    </row>
    <row r="45" spans="1:56" ht="11.25" customHeight="1" x14ac:dyDescent="0.25">
      <c r="A45" s="134" t="s">
        <v>39</v>
      </c>
      <c r="B45" s="134" t="s">
        <v>37</v>
      </c>
      <c r="C45" s="134" t="s">
        <v>25</v>
      </c>
      <c r="D45" s="134" t="s">
        <v>25</v>
      </c>
      <c r="E45" s="134" t="s">
        <v>25</v>
      </c>
      <c r="F45" s="134" t="s">
        <v>25</v>
      </c>
      <c r="G45" s="21" t="s">
        <v>72</v>
      </c>
      <c r="H45" s="21" t="s">
        <v>71</v>
      </c>
      <c r="I45" s="21">
        <f>'MERCADO TUSD'!$U$42</f>
        <v>0</v>
      </c>
      <c r="J45" s="17"/>
      <c r="L45" s="86">
        <f>('TUSD BE'!$L$45+'TUSD BF'!$L$45+'TUSD CVA'!$L$45)*1</f>
        <v>23.676382817448843</v>
      </c>
      <c r="M45" s="86">
        <f>('TUSD BE'!$M$45+'TUSD BF'!$M$45+'TUSD CVA'!$M$45)*1</f>
        <v>3.2299154897781186</v>
      </c>
      <c r="N45" s="86">
        <f ca="1">('TUSD BE'!$N$45+'TUSD BF'!$N$45+'TUSD CVA'!$N$45)*1</f>
        <v>0</v>
      </c>
      <c r="O45" s="86">
        <f>('TUSD BE'!$O$45+'TUSD BF'!$O$45+'TUSD CVA'!$O$45)*1</f>
        <v>0</v>
      </c>
      <c r="P45" s="86">
        <f>('TUSD BE'!$P$45+'TUSD BF'!$P$45+'TUSD CVA'!$P$45)*1</f>
        <v>0</v>
      </c>
      <c r="Q45" s="86">
        <f>('TUSD BE'!$Q$45+'TUSD BF'!$Q$45+'TUSD CVA'!$Q$45)*1</f>
        <v>92.900774886577736</v>
      </c>
      <c r="R45" s="86">
        <f>('TUSD BE'!$R$45+'TUSD BF'!$R$45+'TUSD CVA'!$R$45)*1</f>
        <v>15.148197729489443</v>
      </c>
      <c r="S45" s="86">
        <f>('TUSD BE'!$S$45+'TUSD BF'!$S$45+'TUSD CVA'!$S$45)*1</f>
        <v>0</v>
      </c>
      <c r="T45" s="86">
        <f>('TUSD BE'!$U$45+'TUSD BF'!$U$45+'TUSD CVA'!$U$45)*1</f>
        <v>0</v>
      </c>
      <c r="U45" s="86">
        <f>('TUSD BE'!$V$45+'TUSD BF'!$V$45+'TUSD CVA'!$V$45)*1</f>
        <v>0</v>
      </c>
      <c r="V45" s="86">
        <f>('TUSD BE'!$W$45+'TUSD BF'!$W$45+'TUSD CVA'!$W$45)*1</f>
        <v>0</v>
      </c>
      <c r="W45" s="86">
        <f>('TUSD BE'!$X$45+'TUSD BF'!$X$45+'TUSD CVA'!$X$45)*1</f>
        <v>0</v>
      </c>
      <c r="X45" s="86">
        <f>('TUSD BE'!$Y$45+'TUSD BF'!$Y$45+'TUSD CVA'!$Y$45)*1</f>
        <v>757.84584078068565</v>
      </c>
      <c r="Y45" s="86">
        <f>('TUSD BE'!$Z$45+'TUSD BF'!$Z$45+'TUSD CVA'!$Z$45)*1</f>
        <v>0</v>
      </c>
      <c r="Z45" s="86">
        <f>('TUSD BE'!$AA$45+'TUSD BF'!$AA$45+'TUSD CVA'!$AA$45)*1</f>
        <v>0</v>
      </c>
      <c r="AA45" s="86">
        <f>('TUSD BE'!$AC$45+'TUSD BF'!$AC$45+'TUSD CVA'!$AC$45)*1</f>
        <v>1636.0785870848983</v>
      </c>
      <c r="AB45" s="86">
        <f ca="1">('TUSD BE'!$AE$45+'TUSD BF'!$AE$45+'TUSD CVA'!$AE$45)*1</f>
        <v>0</v>
      </c>
      <c r="AC45" s="86">
        <f ca="1">('TUSD BE'!$AF$45+'TUSD BF'!$AF$45+'TUSD CVA'!$AF$45)*1</f>
        <v>0</v>
      </c>
      <c r="AD45" s="86">
        <f>('TUSD BE'!$AH$45+'TUSD BF'!$AH$45+'TUSD CVA'!$AH$45)*1</f>
        <v>45.445672929566683</v>
      </c>
      <c r="AE45" s="86">
        <f>('TUSD BE'!$AI$45+'TUSD BF'!$AI$45+'TUSD CVA'!$AI$45)*1</f>
        <v>0</v>
      </c>
      <c r="AF45" s="86">
        <f ca="1">('TUSD BE'!$AJ$45+'TUSD BF'!$AJ$45+'TUSD CVA'!$AJ$45)*1</f>
        <v>4.2282514992179054</v>
      </c>
      <c r="AG45" s="86">
        <f ca="1">('TUSD BE'!$AK$45+'TUSD BF'!$AK$45+'TUSD CVA'!$AK$45)*1</f>
        <v>0</v>
      </c>
      <c r="AI45" s="86">
        <v>0</v>
      </c>
      <c r="AJ45" s="86">
        <v>2.46793683156461</v>
      </c>
      <c r="AK45" s="86">
        <v>7.2700291544533701E-9</v>
      </c>
      <c r="AL45" s="86">
        <v>0</v>
      </c>
      <c r="AM45" s="86">
        <v>0</v>
      </c>
      <c r="AN45" s="86">
        <v>82.357608125292003</v>
      </c>
      <c r="AO45" s="86">
        <v>9.22411180197515</v>
      </c>
      <c r="AP45" s="86">
        <v>0</v>
      </c>
      <c r="AQ45" s="86">
        <v>0</v>
      </c>
      <c r="AR45" s="86">
        <v>0</v>
      </c>
      <c r="AS45" s="86">
        <v>0</v>
      </c>
      <c r="AT45" s="86">
        <v>0</v>
      </c>
      <c r="AU45" s="86">
        <v>578.23720470189505</v>
      </c>
      <c r="AV45" s="86">
        <v>0</v>
      </c>
      <c r="AW45" s="86">
        <v>0</v>
      </c>
      <c r="AX45" s="86">
        <v>1391.2178643488401</v>
      </c>
      <c r="AY45" s="86">
        <v>23.371041201459899</v>
      </c>
      <c r="AZ45" s="86">
        <v>0</v>
      </c>
      <c r="BA45" s="86">
        <v>39.202247326704502</v>
      </c>
      <c r="BB45" s="86">
        <v>0</v>
      </c>
      <c r="BC45" s="86">
        <v>4.9296673030807403</v>
      </c>
      <c r="BD45" s="86">
        <v>0</v>
      </c>
    </row>
    <row r="46" spans="1:56" ht="11.25" customHeight="1" x14ac:dyDescent="0.25">
      <c r="A46" s="134"/>
      <c r="B46" s="134"/>
      <c r="C46" s="134"/>
      <c r="D46" s="134"/>
      <c r="E46" s="134"/>
      <c r="F46" s="134"/>
      <c r="G46" s="21" t="s">
        <v>84</v>
      </c>
      <c r="H46" s="21" t="s">
        <v>71</v>
      </c>
      <c r="I46" s="21">
        <f>'MERCADO TUSD'!$U$43</f>
        <v>0</v>
      </c>
      <c r="J46" s="17"/>
      <c r="L46" s="86">
        <f>('TUSD BE'!$L$46+'TUSD BF'!$L$46+'TUSD CVA'!$L$46)*1</f>
        <v>23.676382817448843</v>
      </c>
      <c r="M46" s="86">
        <f>('TUSD BE'!$M$46+'TUSD BF'!$M$46+'TUSD CVA'!$M$46)*1</f>
        <v>3.2299154897781186</v>
      </c>
      <c r="N46" s="86">
        <f ca="1">('TUSD BE'!$N$46+'TUSD BF'!$N$46+'TUSD CVA'!$N$46)*1</f>
        <v>0</v>
      </c>
      <c r="O46" s="86">
        <f>('TUSD BE'!$O$46+'TUSD BF'!$O$46+'TUSD CVA'!$O$46)*1</f>
        <v>0</v>
      </c>
      <c r="P46" s="86">
        <f>('TUSD BE'!$P$46+'TUSD BF'!$P$46+'TUSD CVA'!$P$46)*1</f>
        <v>0</v>
      </c>
      <c r="Q46" s="86">
        <f>('TUSD BE'!$Q$46+'TUSD BF'!$Q$46+'TUSD CVA'!$Q$46)*1</f>
        <v>92.900774886577736</v>
      </c>
      <c r="R46" s="86">
        <f>('TUSD BE'!$R$46+'TUSD BF'!$R$46+'TUSD CVA'!$R$46)*1</f>
        <v>15.148197729489443</v>
      </c>
      <c r="S46" s="86">
        <f>('TUSD BE'!$S$46+'TUSD BF'!$S$46+'TUSD CVA'!$S$46)*1</f>
        <v>0</v>
      </c>
      <c r="T46" s="86">
        <f>('TUSD BE'!$U$46+'TUSD BF'!$U$46+'TUSD CVA'!$U$46)*1</f>
        <v>0</v>
      </c>
      <c r="U46" s="86">
        <f>('TUSD BE'!$V$46+'TUSD BF'!$V$46+'TUSD CVA'!$V$46)*1</f>
        <v>0</v>
      </c>
      <c r="V46" s="86">
        <f>('TUSD BE'!$W$46+'TUSD BF'!$W$46+'TUSD CVA'!$W$46)*1</f>
        <v>0</v>
      </c>
      <c r="W46" s="86">
        <f>('TUSD BE'!$X$46+'TUSD BF'!$X$46+'TUSD CVA'!$X$46)*1</f>
        <v>0</v>
      </c>
      <c r="X46" s="86">
        <f>('TUSD BE'!$Y$46+'TUSD BF'!$Y$46+'TUSD CVA'!$Y$46)*1</f>
        <v>454.70778667912964</v>
      </c>
      <c r="Y46" s="86">
        <f>('TUSD BE'!$Z$46+'TUSD BF'!$Z$46+'TUSD CVA'!$Z$46)*1</f>
        <v>0</v>
      </c>
      <c r="Z46" s="86">
        <f>('TUSD BE'!$AA$46+'TUSD BF'!$AA$46+'TUSD CVA'!$AA$46)*1</f>
        <v>0</v>
      </c>
      <c r="AA46" s="86">
        <f>('TUSD BE'!$AC$46+'TUSD BF'!$AC$46+'TUSD CVA'!$AC$46)*1</f>
        <v>981.64723831955769</v>
      </c>
      <c r="AB46" s="86">
        <f ca="1">('TUSD BE'!$AE$46+'TUSD BF'!$AE$46+'TUSD CVA'!$AE$46)*1</f>
        <v>0</v>
      </c>
      <c r="AC46" s="86">
        <f ca="1">('TUSD BE'!$AF$46+'TUSD BF'!$AF$46+'TUSD CVA'!$AF$46)*1</f>
        <v>0</v>
      </c>
      <c r="AD46" s="86">
        <f>('TUSD BE'!$AH$46+'TUSD BF'!$AH$46+'TUSD CVA'!$AH$46)*1</f>
        <v>45.445672929566683</v>
      </c>
      <c r="AE46" s="86">
        <f>('TUSD BE'!$AI$46+'TUSD BF'!$AI$46+'TUSD CVA'!$AI$46)*1</f>
        <v>0</v>
      </c>
      <c r="AF46" s="86">
        <f ca="1">('TUSD BE'!$AJ$46+'TUSD BF'!$AJ$46+'TUSD CVA'!$AJ$46)*1</f>
        <v>4.2282514992179054</v>
      </c>
      <c r="AG46" s="86">
        <f ca="1">('TUSD BE'!$AK$46+'TUSD BF'!$AK$46+'TUSD CVA'!$AK$46)*1</f>
        <v>0</v>
      </c>
      <c r="AI46" s="86">
        <v>0</v>
      </c>
      <c r="AJ46" s="86">
        <v>2.46793683156461</v>
      </c>
      <c r="AK46" s="86">
        <v>4.4265384617717196E-9</v>
      </c>
      <c r="AL46" s="86">
        <v>0</v>
      </c>
      <c r="AM46" s="86">
        <v>0</v>
      </c>
      <c r="AN46" s="86">
        <v>82.357608125292003</v>
      </c>
      <c r="AO46" s="86">
        <v>9.22411180197515</v>
      </c>
      <c r="AP46" s="86">
        <v>0</v>
      </c>
      <c r="AQ46" s="86">
        <v>0</v>
      </c>
      <c r="AR46" s="86">
        <v>0</v>
      </c>
      <c r="AS46" s="86">
        <v>0</v>
      </c>
      <c r="AT46" s="86">
        <v>0</v>
      </c>
      <c r="AU46" s="86">
        <v>346.94180963536098</v>
      </c>
      <c r="AV46" s="86">
        <v>0</v>
      </c>
      <c r="AW46" s="86">
        <v>0</v>
      </c>
      <c r="AX46" s="86">
        <v>834.73065267546497</v>
      </c>
      <c r="AY46" s="86">
        <v>14.5269652602825</v>
      </c>
      <c r="AZ46" s="86">
        <v>0</v>
      </c>
      <c r="BA46" s="86">
        <v>39.202247326704502</v>
      </c>
      <c r="BB46" s="86">
        <v>0</v>
      </c>
      <c r="BC46" s="86">
        <v>4.9296673030807403</v>
      </c>
      <c r="BD46" s="86">
        <v>0</v>
      </c>
    </row>
    <row r="47" spans="1:56" ht="11.25" customHeight="1" x14ac:dyDescent="0.25">
      <c r="A47" s="134"/>
      <c r="B47" s="134"/>
      <c r="C47" s="134"/>
      <c r="D47" s="134"/>
      <c r="E47" s="134"/>
      <c r="F47" s="134"/>
      <c r="G47" s="21" t="s">
        <v>73</v>
      </c>
      <c r="H47" s="21" t="s">
        <v>71</v>
      </c>
      <c r="I47" s="21">
        <f>'MERCADO TUSD'!$U$44</f>
        <v>0</v>
      </c>
      <c r="J47" s="17"/>
      <c r="L47" s="86">
        <f>('TUSD BE'!$L$47+'TUSD BF'!$L$47+'TUSD CVA'!$L$47)*1</f>
        <v>23.676382817448843</v>
      </c>
      <c r="M47" s="86">
        <f>('TUSD BE'!$M$47+'TUSD BF'!$M$47+'TUSD CVA'!$M$47)*1</f>
        <v>3.2299154897781186</v>
      </c>
      <c r="N47" s="86">
        <f ca="1">('TUSD BE'!$N$47+'TUSD BF'!$N$47+'TUSD CVA'!$N$47)*1</f>
        <v>0</v>
      </c>
      <c r="O47" s="86">
        <f>('TUSD BE'!$O$47+'TUSD BF'!$O$47+'TUSD CVA'!$O$47)*1</f>
        <v>0</v>
      </c>
      <c r="P47" s="86">
        <f>('TUSD BE'!$P$47+'TUSD BF'!$P$47+'TUSD CVA'!$P$47)*1</f>
        <v>0</v>
      </c>
      <c r="Q47" s="86">
        <f>('TUSD BE'!$Q$47+'TUSD BF'!$Q$47+'TUSD CVA'!$Q$47)*1</f>
        <v>92.900774886577736</v>
      </c>
      <c r="R47" s="86">
        <f>('TUSD BE'!$R$47+'TUSD BF'!$R$47+'TUSD CVA'!$R$47)*1</f>
        <v>15.148197729489443</v>
      </c>
      <c r="S47" s="86">
        <f>('TUSD BE'!$S$47+'TUSD BF'!$S$47+'TUSD CVA'!$S$47)*1</f>
        <v>0</v>
      </c>
      <c r="T47" s="86">
        <f>('TUSD BE'!$U$47+'TUSD BF'!$U$47+'TUSD CVA'!$U$47)*1</f>
        <v>0</v>
      </c>
      <c r="U47" s="86">
        <f>('TUSD BE'!$V$47+'TUSD BF'!$V$47+'TUSD CVA'!$V$47)*1</f>
        <v>0</v>
      </c>
      <c r="V47" s="86">
        <f>('TUSD BE'!$W$47+'TUSD BF'!$W$47+'TUSD CVA'!$W$47)*1</f>
        <v>0</v>
      </c>
      <c r="W47" s="86">
        <f>('TUSD BE'!$X$47+'TUSD BF'!$X$47+'TUSD CVA'!$X$47)*1</f>
        <v>0</v>
      </c>
      <c r="X47" s="86">
        <f>('TUSD BE'!$Y$47+'TUSD BF'!$Y$47+'TUSD CVA'!$Y$47)*1</f>
        <v>151.56973257757369</v>
      </c>
      <c r="Y47" s="86">
        <f>('TUSD BE'!$Z$47+'TUSD BF'!$Z$47+'TUSD CVA'!$Z$47)*1</f>
        <v>0</v>
      </c>
      <c r="Z47" s="86">
        <f>('TUSD BE'!$AA$47+'TUSD BF'!$AA$47+'TUSD CVA'!$AA$47)*1</f>
        <v>0</v>
      </c>
      <c r="AA47" s="86">
        <f>('TUSD BE'!$AC$47+'TUSD BF'!$AC$47+'TUSD CVA'!$AC$47)*1</f>
        <v>327.21567438267039</v>
      </c>
      <c r="AB47" s="86">
        <f ca="1">('TUSD BE'!$AE$47+'TUSD BF'!$AE$47+'TUSD CVA'!$AE$47)*1</f>
        <v>0</v>
      </c>
      <c r="AC47" s="86">
        <f ca="1">('TUSD BE'!$AF$47+'TUSD BF'!$AF$47+'TUSD CVA'!$AF$47)*1</f>
        <v>0</v>
      </c>
      <c r="AD47" s="86">
        <f>('TUSD BE'!$AH$47+'TUSD BF'!$AH$47+'TUSD CVA'!$AH$47)*1</f>
        <v>45.445672929566683</v>
      </c>
      <c r="AE47" s="86">
        <f>('TUSD BE'!$AI$47+'TUSD BF'!$AI$47+'TUSD CVA'!$AI$47)*1</f>
        <v>0</v>
      </c>
      <c r="AF47" s="86">
        <f ca="1">('TUSD BE'!$AJ$47+'TUSD BF'!$AJ$47+'TUSD CVA'!$AJ$47)*1</f>
        <v>4.2282514992179054</v>
      </c>
      <c r="AG47" s="86">
        <f ca="1">('TUSD BE'!$AK$47+'TUSD BF'!$AK$47+'TUSD CVA'!$AK$47)*1</f>
        <v>0</v>
      </c>
      <c r="AI47" s="86">
        <v>0</v>
      </c>
      <c r="AJ47" s="86">
        <v>2.46793683156461</v>
      </c>
      <c r="AK47" s="86">
        <v>1.58304810501159E-9</v>
      </c>
      <c r="AL47" s="86">
        <v>0</v>
      </c>
      <c r="AM47" s="86">
        <v>0</v>
      </c>
      <c r="AN47" s="86">
        <v>82.357608125292003</v>
      </c>
      <c r="AO47" s="86">
        <v>9.22411180197515</v>
      </c>
      <c r="AP47" s="86">
        <v>0</v>
      </c>
      <c r="AQ47" s="86">
        <v>0</v>
      </c>
      <c r="AR47" s="86">
        <v>0</v>
      </c>
      <c r="AS47" s="86">
        <v>0</v>
      </c>
      <c r="AT47" s="86">
        <v>0</v>
      </c>
      <c r="AU47" s="86">
        <v>115.646279519939</v>
      </c>
      <c r="AV47" s="86">
        <v>0</v>
      </c>
      <c r="AW47" s="86">
        <v>0</v>
      </c>
      <c r="AX47" s="86">
        <v>278.243605836688</v>
      </c>
      <c r="AY47" s="86">
        <v>5.6828900221570304</v>
      </c>
      <c r="AZ47" s="86">
        <v>0</v>
      </c>
      <c r="BA47" s="86">
        <v>39.202247326704502</v>
      </c>
      <c r="BB47" s="86">
        <v>0</v>
      </c>
      <c r="BC47" s="86">
        <v>4.9296673030807403</v>
      </c>
      <c r="BD47" s="86">
        <v>0</v>
      </c>
    </row>
    <row r="48" spans="1:56" ht="11.25" customHeight="1" x14ac:dyDescent="0.25">
      <c r="A48" s="134"/>
      <c r="B48" s="88" t="s">
        <v>23</v>
      </c>
      <c r="C48" s="88" t="s">
        <v>25</v>
      </c>
      <c r="D48" s="88" t="s">
        <v>25</v>
      </c>
      <c r="E48" s="88" t="s">
        <v>25</v>
      </c>
      <c r="F48" s="88" t="s">
        <v>25</v>
      </c>
      <c r="G48" s="21" t="s">
        <v>75</v>
      </c>
      <c r="H48" s="21" t="s">
        <v>71</v>
      </c>
      <c r="I48" s="21">
        <f>'MERCADO TUSD'!$U$45</f>
        <v>4622.2640000000001</v>
      </c>
      <c r="J48" s="17"/>
      <c r="L48" s="86">
        <f>('TUSD BE'!$L$48+'TUSD BF'!$L$48+'TUSD CVA'!$L$48)*1</f>
        <v>23.676382817448843</v>
      </c>
      <c r="M48" s="86">
        <f>('TUSD BE'!$M$48+'TUSD BF'!$M$48+'TUSD CVA'!$M$48)*1</f>
        <v>3.2299154897781186</v>
      </c>
      <c r="N48" s="86">
        <f ca="1">('TUSD BE'!$N$48+'TUSD BF'!$N$48+'TUSD CVA'!$N$48)*1</f>
        <v>0</v>
      </c>
      <c r="O48" s="86">
        <f>('TUSD BE'!$O$48+'TUSD BF'!$O$48+'TUSD CVA'!$O$48)*1</f>
        <v>0</v>
      </c>
      <c r="P48" s="86">
        <f>('TUSD BE'!$P$48+'TUSD BF'!$P$48+'TUSD CVA'!$P$48)*1</f>
        <v>0</v>
      </c>
      <c r="Q48" s="86">
        <f>('TUSD BE'!$Q$48+'TUSD BF'!$Q$48+'TUSD CVA'!$Q$48)*1</f>
        <v>92.900774886577736</v>
      </c>
      <c r="R48" s="86">
        <f>('TUSD BE'!$R$48+'TUSD BF'!$R$48+'TUSD CVA'!$R$48)*1</f>
        <v>15.148197729489443</v>
      </c>
      <c r="S48" s="86">
        <f>('TUSD BE'!$S$48+'TUSD BF'!$S$48+'TUSD CVA'!$S$48)*1</f>
        <v>0</v>
      </c>
      <c r="T48" s="86">
        <f>('TUSD BE'!$U$48+'TUSD BF'!$U$48+'TUSD CVA'!$U$48)*1</f>
        <v>0</v>
      </c>
      <c r="U48" s="86">
        <f>('TUSD BE'!$V$48+'TUSD BF'!$V$48+'TUSD CVA'!$V$48)*1</f>
        <v>0</v>
      </c>
      <c r="V48" s="86">
        <f>('TUSD BE'!$W$48+'TUSD BF'!$W$48+'TUSD CVA'!$W$48)*1</f>
        <v>0</v>
      </c>
      <c r="W48" s="86">
        <f>('TUSD BE'!$X$48+'TUSD BF'!$X$48+'TUSD CVA'!$X$48)*1</f>
        <v>0</v>
      </c>
      <c r="X48" s="86">
        <f>('TUSD BE'!$Y$48+'TUSD BF'!$Y$48+'TUSD CVA'!$Y$48)*1</f>
        <v>248.47383796936705</v>
      </c>
      <c r="Y48" s="86">
        <f>('TUSD BE'!$Z$48+'TUSD BF'!$Z$48+'TUSD CVA'!$Z$48)*1</f>
        <v>0</v>
      </c>
      <c r="Z48" s="86">
        <f>('TUSD BE'!$AA$48+'TUSD BF'!$AA$48+'TUSD CVA'!$AA$48)*1</f>
        <v>0</v>
      </c>
      <c r="AA48" s="86">
        <f>('TUSD BE'!$AC$48+'TUSD BF'!$AC$48+'TUSD CVA'!$AC$48)*1</f>
        <v>536.41943816145078</v>
      </c>
      <c r="AB48" s="86">
        <f ca="1">('TUSD BE'!$AE$48+'TUSD BF'!$AE$48+'TUSD CVA'!$AE$48)*1</f>
        <v>0</v>
      </c>
      <c r="AC48" s="86">
        <f ca="1">('TUSD BE'!$AF$48+'TUSD BF'!$AF$48+'TUSD CVA'!$AF$48)*1</f>
        <v>0</v>
      </c>
      <c r="AD48" s="86">
        <f>('TUSD BE'!$AH$48+'TUSD BF'!$AH$48+'TUSD CVA'!$AH$48)*1</f>
        <v>45.445672929566683</v>
      </c>
      <c r="AE48" s="86">
        <f>('TUSD BE'!$AI$48+'TUSD BF'!$AI$48+'TUSD CVA'!$AI$48)*1</f>
        <v>0</v>
      </c>
      <c r="AF48" s="86">
        <f ca="1">('TUSD BE'!$AJ$48+'TUSD BF'!$AJ$48+'TUSD CVA'!$AJ$48)*1</f>
        <v>4.2282514992179054</v>
      </c>
      <c r="AG48" s="86">
        <f ca="1">('TUSD BE'!$AK$48+'TUSD BF'!$AK$48+'TUSD CVA'!$AK$48)*1</f>
        <v>0</v>
      </c>
      <c r="AI48" s="86">
        <v>0</v>
      </c>
      <c r="AJ48" s="86">
        <v>2.46793683156461</v>
      </c>
      <c r="AK48" s="86">
        <v>2.4920356183824301E-9</v>
      </c>
      <c r="AL48" s="86">
        <v>0</v>
      </c>
      <c r="AM48" s="86">
        <v>0</v>
      </c>
      <c r="AN48" s="86">
        <v>82.357608125292003</v>
      </c>
      <c r="AO48" s="86">
        <v>9.22411180197515</v>
      </c>
      <c r="AP48" s="86">
        <v>0</v>
      </c>
      <c r="AQ48" s="86">
        <v>0</v>
      </c>
      <c r="AR48" s="86">
        <v>0</v>
      </c>
      <c r="AS48" s="86">
        <v>0</v>
      </c>
      <c r="AT48" s="86">
        <v>0</v>
      </c>
      <c r="AU48" s="86">
        <v>189.58595104339</v>
      </c>
      <c r="AV48" s="86">
        <v>0</v>
      </c>
      <c r="AW48" s="86">
        <v>0</v>
      </c>
      <c r="AX48" s="86">
        <v>456.13714386817497</v>
      </c>
      <c r="AY48" s="86">
        <v>8.5101048699176403</v>
      </c>
      <c r="AZ48" s="86">
        <v>0</v>
      </c>
      <c r="BA48" s="86">
        <v>39.202247326704502</v>
      </c>
      <c r="BB48" s="86">
        <v>0</v>
      </c>
      <c r="BC48" s="86">
        <v>4.9296673030807403</v>
      </c>
      <c r="BD48" s="86">
        <v>0</v>
      </c>
    </row>
    <row r="49" spans="1:56" ht="11.25" customHeight="1" x14ac:dyDescent="0.25">
      <c r="A49" s="134"/>
      <c r="B49" s="88" t="s">
        <v>86</v>
      </c>
      <c r="C49" s="88" t="s">
        <v>25</v>
      </c>
      <c r="D49" s="88" t="s">
        <v>25</v>
      </c>
      <c r="E49" s="88" t="s">
        <v>25</v>
      </c>
      <c r="F49" s="88" t="s">
        <v>25</v>
      </c>
      <c r="G49" s="21" t="s">
        <v>75</v>
      </c>
      <c r="H49" s="21" t="s">
        <v>71</v>
      </c>
      <c r="I49" s="21">
        <f>'MERCADO TUSD'!$U$46</f>
        <v>0</v>
      </c>
      <c r="J49" s="17"/>
      <c r="L49" s="86">
        <f>('TUSD BE'!$L$49+'TUSD BF'!$L$49+'TUSD CVA'!$L$49)*1</f>
        <v>23.676382817448843</v>
      </c>
      <c r="M49" s="86">
        <f>('TUSD BE'!$M$49+'TUSD BF'!$M$49+'TUSD CVA'!$M$49)*1</f>
        <v>3.2299154897781186</v>
      </c>
      <c r="N49" s="86">
        <f ca="1">('TUSD BE'!$N$49+'TUSD BF'!$N$49+'TUSD CVA'!$N$49)*1</f>
        <v>0</v>
      </c>
      <c r="O49" s="86">
        <f>('TUSD BE'!$O$49+'TUSD BF'!$O$49+'TUSD CVA'!$O$49)*1</f>
        <v>0</v>
      </c>
      <c r="P49" s="86">
        <f>('TUSD BE'!$P$49+'TUSD BF'!$P$49+'TUSD CVA'!$P$49)*1</f>
        <v>0</v>
      </c>
      <c r="Q49" s="86">
        <f>('TUSD BE'!$Q$49+'TUSD BF'!$Q$49+'TUSD CVA'!$Q$49)*1</f>
        <v>92.900774886577736</v>
      </c>
      <c r="R49" s="86">
        <f>('TUSD BE'!$R$49+'TUSD BF'!$R$49+'TUSD CVA'!$R$49)*1</f>
        <v>15.148197729489443</v>
      </c>
      <c r="S49" s="86">
        <f>('TUSD BE'!$S$49+'TUSD BF'!$S$49+'TUSD CVA'!$S$49)*1</f>
        <v>0</v>
      </c>
      <c r="T49" s="86">
        <f>('TUSD BE'!$U$49+'TUSD BF'!$U$49+'TUSD CVA'!$U$49)*1</f>
        <v>0</v>
      </c>
      <c r="U49" s="86">
        <f>('TUSD BE'!$V$49+'TUSD BF'!$V$49+'TUSD CVA'!$V$49)*1</f>
        <v>0</v>
      </c>
      <c r="V49" s="86">
        <f>('TUSD BE'!$W$49+'TUSD BF'!$W$49+'TUSD CVA'!$W$49)*1</f>
        <v>0</v>
      </c>
      <c r="W49" s="86">
        <f>('TUSD BE'!$X$49+'TUSD BF'!$X$49+'TUSD CVA'!$X$49)*1</f>
        <v>0</v>
      </c>
      <c r="X49" s="86">
        <f>('TUSD BE'!$Y$49+'TUSD BF'!$Y$49+'TUSD CVA'!$Y$49)*1</f>
        <v>248.47383796936705</v>
      </c>
      <c r="Y49" s="86">
        <f>('TUSD BE'!$Z$49+'TUSD BF'!$Z$49+'TUSD CVA'!$Z$49)*1</f>
        <v>0</v>
      </c>
      <c r="Z49" s="86">
        <f>('TUSD BE'!$AA$49+'TUSD BF'!$AA$49+'TUSD CVA'!$AA$49)*1</f>
        <v>0</v>
      </c>
      <c r="AA49" s="86">
        <f>('TUSD BE'!$AC$49+'TUSD BF'!$AC$49+'TUSD CVA'!$AC$49)*1</f>
        <v>536.41943816145078</v>
      </c>
      <c r="AB49" s="86">
        <f ca="1">('TUSD BE'!$AE$49+'TUSD BF'!$AE$49+'TUSD CVA'!$AE$49)*1</f>
        <v>0</v>
      </c>
      <c r="AC49" s="86">
        <f ca="1">('TUSD BE'!$AF$49+'TUSD BF'!$AF$49+'TUSD CVA'!$AF$49)*1</f>
        <v>0</v>
      </c>
      <c r="AD49" s="86">
        <f>('TUSD BE'!$AH$49+'TUSD BF'!$AH$49+'TUSD CVA'!$AH$49)*1</f>
        <v>45.445672929566683</v>
      </c>
      <c r="AE49" s="86">
        <f>('TUSD BE'!$AI$49+'TUSD BF'!$AI$49+'TUSD CVA'!$AI$49)*1</f>
        <v>0</v>
      </c>
      <c r="AF49" s="86">
        <f ca="1">('TUSD BE'!$AJ$49+'TUSD BF'!$AJ$49+'TUSD CVA'!$AJ$49)*1</f>
        <v>4.2282514992179054</v>
      </c>
      <c r="AG49" s="86">
        <f ca="1">('TUSD BE'!$AK$49+'TUSD BF'!$AK$49+'TUSD CVA'!$AK$49)*1</f>
        <v>0</v>
      </c>
      <c r="AI49" s="86">
        <v>0</v>
      </c>
      <c r="AJ49" s="86">
        <v>2.46793683156461</v>
      </c>
      <c r="AK49" s="86">
        <v>2.4920356183824301E-9</v>
      </c>
      <c r="AL49" s="86">
        <v>0</v>
      </c>
      <c r="AM49" s="86">
        <v>0</v>
      </c>
      <c r="AN49" s="86">
        <v>82.357608125292003</v>
      </c>
      <c r="AO49" s="86">
        <v>9.22411180197515</v>
      </c>
      <c r="AP49" s="86">
        <v>0</v>
      </c>
      <c r="AQ49" s="86">
        <v>0</v>
      </c>
      <c r="AR49" s="86">
        <v>0</v>
      </c>
      <c r="AS49" s="86">
        <v>0</v>
      </c>
      <c r="AT49" s="86">
        <v>0</v>
      </c>
      <c r="AU49" s="86">
        <v>189.58595104339</v>
      </c>
      <c r="AV49" s="86">
        <v>0</v>
      </c>
      <c r="AW49" s="86">
        <v>0</v>
      </c>
      <c r="AX49" s="86">
        <v>456.13714386817497</v>
      </c>
      <c r="AY49" s="86">
        <v>8.5101048699176403</v>
      </c>
      <c r="AZ49" s="86">
        <v>0</v>
      </c>
      <c r="BA49" s="86">
        <v>39.202247326704502</v>
      </c>
      <c r="BB49" s="86">
        <v>0</v>
      </c>
      <c r="BC49" s="86">
        <v>4.9296673030807403</v>
      </c>
      <c r="BD49" s="86">
        <v>0</v>
      </c>
    </row>
    <row r="50" spans="1:56" ht="11.25" customHeight="1" x14ac:dyDescent="0.25">
      <c r="A50" s="134" t="s">
        <v>46</v>
      </c>
      <c r="B50" s="134" t="s">
        <v>23</v>
      </c>
      <c r="C50" s="134" t="s">
        <v>47</v>
      </c>
      <c r="D50" s="88" t="s">
        <v>48</v>
      </c>
      <c r="E50" s="88" t="s">
        <v>25</v>
      </c>
      <c r="F50" s="88" t="s">
        <v>25</v>
      </c>
      <c r="G50" s="21" t="s">
        <v>75</v>
      </c>
      <c r="H50" s="21" t="s">
        <v>71</v>
      </c>
      <c r="I50" s="21">
        <f>'MERCADO TUSD'!$U$47</f>
        <v>3347.1679999999992</v>
      </c>
      <c r="J50" s="17"/>
      <c r="L50" s="86">
        <f>('TUSD BE'!$L$50+'TUSD BF'!$L$50+'TUSD CVA'!$L$50)*1</f>
        <v>13.022010549596864</v>
      </c>
      <c r="M50" s="86">
        <f>('TUSD BE'!$M$50+'TUSD BF'!$M$50+'TUSD CVA'!$M$50)*1</f>
        <v>1.7764535193779654</v>
      </c>
      <c r="N50" s="86">
        <f ca="1">('TUSD BE'!$N$50+'TUSD BF'!$N$50+'TUSD CVA'!$N$50)*1</f>
        <v>0</v>
      </c>
      <c r="O50" s="86">
        <f>('TUSD BE'!$O$50+'TUSD BF'!$O$50+'TUSD CVA'!$O$50)*1</f>
        <v>0</v>
      </c>
      <c r="P50" s="86">
        <f>('TUSD BE'!$P$50+'TUSD BF'!$P$50+'TUSD CVA'!$P$50)*1</f>
        <v>0</v>
      </c>
      <c r="Q50" s="86">
        <f>('TUSD BE'!$Q$50+'TUSD BF'!$Q$50+'TUSD CVA'!$Q$50)*1</f>
        <v>51.095426187617761</v>
      </c>
      <c r="R50" s="86">
        <f>('TUSD BE'!$R$50+'TUSD BF'!$R$50+'TUSD CVA'!$R$50)*1</f>
        <v>8.331508751219193</v>
      </c>
      <c r="S50" s="86">
        <f>('TUSD BE'!$S$50+'TUSD BF'!$S$50+'TUSD CVA'!$S$50)*1</f>
        <v>0</v>
      </c>
      <c r="T50" s="86">
        <f>('TUSD BE'!$U$50+'TUSD BF'!$U$50+'TUSD CVA'!$U$50)*1</f>
        <v>0</v>
      </c>
      <c r="U50" s="86">
        <f>('TUSD BE'!$V$50+'TUSD BF'!$V$50+'TUSD CVA'!$V$50)*1</f>
        <v>0</v>
      </c>
      <c r="V50" s="86">
        <f>('TUSD BE'!$W$50+'TUSD BF'!$W$50+'TUSD CVA'!$W$50)*1</f>
        <v>0</v>
      </c>
      <c r="W50" s="86">
        <f>('TUSD BE'!$X$50+'TUSD BF'!$X$50+'TUSD CVA'!$X$50)*1</f>
        <v>0</v>
      </c>
      <c r="X50" s="86">
        <f>('TUSD BE'!$Y$50+'TUSD BF'!$Y$50+'TUSD CVA'!$Y$50)*1</f>
        <v>136.66061088315189</v>
      </c>
      <c r="Y50" s="86">
        <f>('TUSD BE'!$Z$50+'TUSD BF'!$Z$50+'TUSD CVA'!$Z$50)*1</f>
        <v>0</v>
      </c>
      <c r="Z50" s="86">
        <f>('TUSD BE'!$AA$50+'TUSD BF'!$AA$50+'TUSD CVA'!$AA$50)*1</f>
        <v>0</v>
      </c>
      <c r="AA50" s="86">
        <f>('TUSD BE'!$AC$50+'TUSD BF'!$AC$50+'TUSD CVA'!$AC$50)*1</f>
        <v>295.03069098879803</v>
      </c>
      <c r="AB50" s="86">
        <f ca="1">('TUSD BE'!$AE$50+'TUSD BF'!$AE$50+'TUSD CVA'!$AE$50)*1</f>
        <v>0</v>
      </c>
      <c r="AC50" s="86">
        <f ca="1">('TUSD BE'!$AF$50+'TUSD BF'!$AF$50+'TUSD CVA'!$AF$50)*1</f>
        <v>0</v>
      </c>
      <c r="AD50" s="86">
        <f>('TUSD BE'!$AH$50+'TUSD BF'!$AH$50+'TUSD CVA'!$AH$50)*1</f>
        <v>24.995120111261677</v>
      </c>
      <c r="AE50" s="86">
        <f>('TUSD BE'!$AI$50+'TUSD BF'!$AI$50+'TUSD CVA'!$AI$50)*1</f>
        <v>0</v>
      </c>
      <c r="AF50" s="86">
        <f ca="1">('TUSD BE'!$AJ$50+'TUSD BF'!$AJ$50+'TUSD CVA'!$AJ$50)*1</f>
        <v>2.3255383245698482</v>
      </c>
      <c r="AG50" s="86">
        <f ca="1">('TUSD BE'!$AK$50+'TUSD BF'!$AK$50+'TUSD CVA'!$AK$50)*1</f>
        <v>0</v>
      </c>
      <c r="AI50" s="86">
        <v>0</v>
      </c>
      <c r="AJ50" s="86">
        <v>1.3573652573605399</v>
      </c>
      <c r="AK50" s="86">
        <v>1.3706195901103399E-9</v>
      </c>
      <c r="AL50" s="86">
        <v>0</v>
      </c>
      <c r="AM50" s="86">
        <v>0</v>
      </c>
      <c r="AN50" s="86">
        <v>45.296684468910598</v>
      </c>
      <c r="AO50" s="86">
        <v>5.0732614910863303</v>
      </c>
      <c r="AP50" s="86">
        <v>0</v>
      </c>
      <c r="AQ50" s="86">
        <v>0</v>
      </c>
      <c r="AR50" s="86">
        <v>0</v>
      </c>
      <c r="AS50" s="86">
        <v>0</v>
      </c>
      <c r="AT50" s="86">
        <v>0</v>
      </c>
      <c r="AU50" s="86">
        <v>104.272273073864</v>
      </c>
      <c r="AV50" s="86">
        <v>0</v>
      </c>
      <c r="AW50" s="86">
        <v>0</v>
      </c>
      <c r="AX50" s="86">
        <v>250.87542912749601</v>
      </c>
      <c r="AY50" s="86">
        <v>4.6805576784546998</v>
      </c>
      <c r="AZ50" s="86">
        <v>0</v>
      </c>
      <c r="BA50" s="86">
        <v>21.5612360296875</v>
      </c>
      <c r="BB50" s="86">
        <v>0</v>
      </c>
      <c r="BC50" s="86">
        <v>2.7113170166944101</v>
      </c>
      <c r="BD50" s="86">
        <v>0</v>
      </c>
    </row>
    <row r="51" spans="1:56" ht="11.25" customHeight="1" x14ac:dyDescent="0.25">
      <c r="A51" s="134"/>
      <c r="B51" s="134"/>
      <c r="C51" s="134"/>
      <c r="D51" s="21" t="s">
        <v>89</v>
      </c>
      <c r="E51" s="21" t="s">
        <v>25</v>
      </c>
      <c r="F51" s="21" t="s">
        <v>25</v>
      </c>
      <c r="G51" s="21" t="s">
        <v>75</v>
      </c>
      <c r="H51" s="21" t="s">
        <v>71</v>
      </c>
      <c r="I51" s="21">
        <f>'MERCADO TUSD'!$U$48</f>
        <v>0</v>
      </c>
      <c r="J51" s="17"/>
      <c r="L51" s="86">
        <f>('TUSD BE'!$L$51+'TUSD BF'!$L$51+'TUSD CVA'!$L$51)*1</f>
        <v>14.205829690469306</v>
      </c>
      <c r="M51" s="86">
        <f>('TUSD BE'!$M$51+'TUSD BF'!$M$51+'TUSD CVA'!$M$51)*1</f>
        <v>1.9379492938668712</v>
      </c>
      <c r="N51" s="86">
        <f ca="1">('TUSD BE'!$N$51+'TUSD BF'!$N$51+'TUSD CVA'!$N$51)*1</f>
        <v>0</v>
      </c>
      <c r="O51" s="86">
        <f>('TUSD BE'!$O$51+'TUSD BF'!$O$51+'TUSD CVA'!$O$51)*1</f>
        <v>0</v>
      </c>
      <c r="P51" s="86">
        <f>('TUSD BE'!$P$51+'TUSD BF'!$P$51+'TUSD CVA'!$P$51)*1</f>
        <v>0</v>
      </c>
      <c r="Q51" s="86">
        <f>('TUSD BE'!$Q$51+'TUSD BF'!$Q$51+'TUSD CVA'!$Q$51)*1</f>
        <v>55.74046493194664</v>
      </c>
      <c r="R51" s="86">
        <f>('TUSD BE'!$R$51+'TUSD BF'!$R$51+'TUSD CVA'!$R$51)*1</f>
        <v>9.0889186376936646</v>
      </c>
      <c r="S51" s="86">
        <f>('TUSD BE'!$S$51+'TUSD BF'!$S$51+'TUSD CVA'!$S$51)*1</f>
        <v>0</v>
      </c>
      <c r="T51" s="86">
        <f>('TUSD BE'!$U$51+'TUSD BF'!$U$51+'TUSD CVA'!$U$51)*1</f>
        <v>0</v>
      </c>
      <c r="U51" s="86">
        <f>('TUSD BE'!$V$51+'TUSD BF'!$V$51+'TUSD CVA'!$V$51)*1</f>
        <v>0</v>
      </c>
      <c r="V51" s="86">
        <f>('TUSD BE'!$W$51+'TUSD BF'!$W$51+'TUSD CVA'!$W$51)*1</f>
        <v>0</v>
      </c>
      <c r="W51" s="86">
        <f>('TUSD BE'!$X$51+'TUSD BF'!$X$51+'TUSD CVA'!$X$51)*1</f>
        <v>0</v>
      </c>
      <c r="X51" s="86">
        <f>('TUSD BE'!$Y$51+'TUSD BF'!$Y$51+'TUSD CVA'!$Y$51)*1</f>
        <v>149.08430278162024</v>
      </c>
      <c r="Y51" s="86">
        <f>('TUSD BE'!$Z$51+'TUSD BF'!$Z$51+'TUSD CVA'!$Z$51)*1</f>
        <v>0</v>
      </c>
      <c r="Z51" s="86">
        <f>('TUSD BE'!$AA$51+'TUSD BF'!$AA$51+'TUSD CVA'!$AA$51)*1</f>
        <v>0</v>
      </c>
      <c r="AA51" s="86">
        <f>('TUSD BE'!$AC$51+'TUSD BF'!$AC$51+'TUSD CVA'!$AC$51)*1</f>
        <v>321.85166289687044</v>
      </c>
      <c r="AB51" s="86">
        <f ca="1">('TUSD BE'!$AE$51+'TUSD BF'!$AE$51+'TUSD CVA'!$AE$51)*1</f>
        <v>0</v>
      </c>
      <c r="AC51" s="86">
        <f ca="1">('TUSD BE'!$AF$51+'TUSD BF'!$AF$51+'TUSD CVA'!$AF$51)*1</f>
        <v>0</v>
      </c>
      <c r="AD51" s="86">
        <f>('TUSD BE'!$AH$51+'TUSD BF'!$AH$51+'TUSD CVA'!$AH$51)*1</f>
        <v>27.267403757740006</v>
      </c>
      <c r="AE51" s="86">
        <f>('TUSD BE'!$AI$51+'TUSD BF'!$AI$51+'TUSD CVA'!$AI$51)*1</f>
        <v>0</v>
      </c>
      <c r="AF51" s="86">
        <f ca="1">('TUSD BE'!$AJ$51+'TUSD BF'!$AJ$51+'TUSD CVA'!$AJ$51)*1</f>
        <v>2.5369508995307433</v>
      </c>
      <c r="AG51" s="86">
        <f ca="1">('TUSD BE'!$AK$51+'TUSD BF'!$AK$51+'TUSD CVA'!$AK$51)*1</f>
        <v>0</v>
      </c>
      <c r="AI51" s="86">
        <v>0</v>
      </c>
      <c r="AJ51" s="86">
        <v>1.48076209893877</v>
      </c>
      <c r="AK51" s="86">
        <v>1.49522137102946E-9</v>
      </c>
      <c r="AL51" s="86">
        <v>0</v>
      </c>
      <c r="AM51" s="86">
        <v>0</v>
      </c>
      <c r="AN51" s="86">
        <v>49.414564875175202</v>
      </c>
      <c r="AO51" s="86">
        <v>5.53446708118509</v>
      </c>
      <c r="AP51" s="86">
        <v>0</v>
      </c>
      <c r="AQ51" s="86">
        <v>0</v>
      </c>
      <c r="AR51" s="86">
        <v>0</v>
      </c>
      <c r="AS51" s="86">
        <v>0</v>
      </c>
      <c r="AT51" s="86">
        <v>0</v>
      </c>
      <c r="AU51" s="86">
        <v>113.751570626034</v>
      </c>
      <c r="AV51" s="86">
        <v>0</v>
      </c>
      <c r="AW51" s="86">
        <v>0</v>
      </c>
      <c r="AX51" s="86">
        <v>273.68228632090501</v>
      </c>
      <c r="AY51" s="86">
        <v>5.1060629219505804</v>
      </c>
      <c r="AZ51" s="86">
        <v>0</v>
      </c>
      <c r="BA51" s="86">
        <v>23.521348396022699</v>
      </c>
      <c r="BB51" s="86">
        <v>0</v>
      </c>
      <c r="BC51" s="86">
        <v>2.9578003818484402</v>
      </c>
      <c r="BD51" s="86">
        <v>0</v>
      </c>
    </row>
    <row r="53" spans="1:56" ht="11.25" customHeight="1" x14ac:dyDescent="0.25">
      <c r="L53" s="131" t="s">
        <v>746</v>
      </c>
      <c r="M53" s="131"/>
      <c r="N53" s="131"/>
      <c r="O53" s="131"/>
      <c r="P53" s="131"/>
      <c r="Q53" s="131"/>
      <c r="R53" s="131"/>
      <c r="S53" s="131"/>
      <c r="T53" s="131"/>
      <c r="U53" s="131"/>
      <c r="V53" s="131"/>
      <c r="W53" s="131"/>
      <c r="X53" s="131"/>
      <c r="Y53" s="131"/>
      <c r="Z53" s="131"/>
      <c r="AA53" s="131"/>
      <c r="AB53" s="131"/>
      <c r="AC53" s="131"/>
      <c r="AD53" s="131"/>
      <c r="AE53" s="131"/>
      <c r="AF53" s="131"/>
      <c r="AG53" s="131"/>
      <c r="AI53" s="131" t="s">
        <v>747</v>
      </c>
      <c r="AJ53" s="131"/>
      <c r="AK53" s="131"/>
      <c r="AL53" s="131"/>
      <c r="AM53" s="131"/>
      <c r="AN53" s="131"/>
      <c r="AO53" s="131"/>
      <c r="AP53" s="131"/>
      <c r="AQ53" s="131"/>
      <c r="AR53" s="131"/>
      <c r="AS53" s="131"/>
      <c r="AT53" s="131"/>
      <c r="AU53" s="131"/>
      <c r="AV53" s="131"/>
      <c r="AW53" s="131"/>
      <c r="AX53" s="131"/>
      <c r="AY53" s="131"/>
      <c r="AZ53" s="131"/>
      <c r="BA53" s="131"/>
      <c r="BB53" s="131"/>
      <c r="BC53" s="131"/>
      <c r="BD53" s="131"/>
    </row>
    <row r="54" spans="1:56" ht="11.25" customHeight="1" x14ac:dyDescent="0.25">
      <c r="L54" s="131" t="s">
        <v>445</v>
      </c>
      <c r="M54" s="131"/>
      <c r="N54" s="131"/>
      <c r="O54" s="131"/>
      <c r="P54" s="131"/>
      <c r="Q54" s="131"/>
      <c r="R54" s="131"/>
      <c r="S54" s="131"/>
      <c r="T54" s="131"/>
      <c r="U54" s="131"/>
      <c r="V54" s="131"/>
      <c r="W54" s="131"/>
      <c r="X54" s="131"/>
      <c r="Y54" s="131"/>
      <c r="Z54" s="131"/>
      <c r="AA54" s="131"/>
      <c r="AB54" s="131"/>
      <c r="AC54" s="131"/>
      <c r="AD54" s="131"/>
      <c r="AE54" s="131"/>
      <c r="AF54" s="131"/>
      <c r="AG54" s="131"/>
      <c r="AI54" s="131" t="s">
        <v>445</v>
      </c>
      <c r="AJ54" s="131"/>
      <c r="AK54" s="131"/>
      <c r="AL54" s="131"/>
      <c r="AM54" s="131"/>
      <c r="AN54" s="131"/>
      <c r="AO54" s="131"/>
      <c r="AP54" s="131"/>
      <c r="AQ54" s="131"/>
      <c r="AR54" s="131"/>
      <c r="AS54" s="131"/>
      <c r="AT54" s="131"/>
      <c r="AU54" s="131"/>
      <c r="AV54" s="131"/>
      <c r="AW54" s="131"/>
      <c r="AX54" s="131"/>
      <c r="AY54" s="131"/>
      <c r="AZ54" s="131"/>
      <c r="BA54" s="131"/>
      <c r="BB54" s="131"/>
      <c r="BC54" s="131"/>
      <c r="BD54" s="131"/>
    </row>
    <row r="55" spans="1:56" ht="11.25" customHeight="1" x14ac:dyDescent="0.25">
      <c r="L55" s="131" t="s">
        <v>446</v>
      </c>
      <c r="M55" s="131"/>
      <c r="N55" s="131"/>
      <c r="O55" s="131"/>
      <c r="P55" s="131"/>
      <c r="Q55" s="131"/>
      <c r="R55" s="131"/>
      <c r="S55" s="131"/>
      <c r="T55" s="131" t="s">
        <v>455</v>
      </c>
      <c r="U55" s="131"/>
      <c r="V55" s="131"/>
      <c r="W55" s="131"/>
      <c r="X55" s="131"/>
      <c r="Y55" s="131"/>
      <c r="Z55" s="131"/>
      <c r="AA55" s="87" t="s">
        <v>463</v>
      </c>
      <c r="AB55" s="131" t="s">
        <v>465</v>
      </c>
      <c r="AC55" s="131"/>
      <c r="AD55" s="131" t="s">
        <v>468</v>
      </c>
      <c r="AE55" s="131"/>
      <c r="AF55" s="131"/>
      <c r="AG55" s="131"/>
      <c r="AI55" s="131" t="s">
        <v>446</v>
      </c>
      <c r="AJ55" s="131"/>
      <c r="AK55" s="131"/>
      <c r="AL55" s="131"/>
      <c r="AM55" s="131"/>
      <c r="AN55" s="131"/>
      <c r="AO55" s="131"/>
      <c r="AP55" s="131"/>
      <c r="AQ55" s="131" t="s">
        <v>455</v>
      </c>
      <c r="AR55" s="131"/>
      <c r="AS55" s="131"/>
      <c r="AT55" s="131"/>
      <c r="AU55" s="131"/>
      <c r="AV55" s="131"/>
      <c r="AW55" s="131"/>
      <c r="AX55" s="87" t="s">
        <v>463</v>
      </c>
      <c r="AY55" s="131" t="s">
        <v>465</v>
      </c>
      <c r="AZ55" s="131"/>
      <c r="BA55" s="131" t="s">
        <v>468</v>
      </c>
      <c r="BB55" s="131"/>
      <c r="BC55" s="131"/>
      <c r="BD55" s="131"/>
    </row>
    <row r="56" spans="1:56" ht="11.25" customHeight="1" x14ac:dyDescent="0.25">
      <c r="L56" s="87" t="s">
        <v>530</v>
      </c>
      <c r="M56" s="87" t="s">
        <v>447</v>
      </c>
      <c r="N56" s="87" t="s">
        <v>448</v>
      </c>
      <c r="O56" s="87" t="s">
        <v>449</v>
      </c>
      <c r="P56" s="87" t="s">
        <v>450</v>
      </c>
      <c r="Q56" s="87" t="s">
        <v>451</v>
      </c>
      <c r="R56" s="87" t="s">
        <v>452</v>
      </c>
      <c r="S56" s="87" t="s">
        <v>453</v>
      </c>
      <c r="T56" s="87" t="s">
        <v>456</v>
      </c>
      <c r="U56" s="87" t="s">
        <v>457</v>
      </c>
      <c r="V56" s="87" t="s">
        <v>458</v>
      </c>
      <c r="W56" s="87" t="s">
        <v>459</v>
      </c>
      <c r="X56" s="87" t="s">
        <v>460</v>
      </c>
      <c r="Y56" s="87" t="s">
        <v>461</v>
      </c>
      <c r="Z56" s="87" t="s">
        <v>462</v>
      </c>
      <c r="AA56" s="87" t="s">
        <v>464</v>
      </c>
      <c r="AB56" s="87" t="s">
        <v>466</v>
      </c>
      <c r="AC56" s="87" t="s">
        <v>467</v>
      </c>
      <c r="AD56" s="87" t="s">
        <v>469</v>
      </c>
      <c r="AE56" s="87" t="s">
        <v>470</v>
      </c>
      <c r="AF56" s="87" t="s">
        <v>471</v>
      </c>
      <c r="AG56" s="87" t="s">
        <v>472</v>
      </c>
      <c r="AI56" s="87" t="s">
        <v>530</v>
      </c>
      <c r="AJ56" s="87" t="s">
        <v>447</v>
      </c>
      <c r="AK56" s="87" t="s">
        <v>448</v>
      </c>
      <c r="AL56" s="87" t="s">
        <v>449</v>
      </c>
      <c r="AM56" s="87" t="s">
        <v>450</v>
      </c>
      <c r="AN56" s="87" t="s">
        <v>451</v>
      </c>
      <c r="AO56" s="87" t="s">
        <v>452</v>
      </c>
      <c r="AP56" s="87" t="s">
        <v>453</v>
      </c>
      <c r="AQ56" s="87" t="s">
        <v>456</v>
      </c>
      <c r="AR56" s="87" t="s">
        <v>457</v>
      </c>
      <c r="AS56" s="87" t="s">
        <v>458</v>
      </c>
      <c r="AT56" s="87" t="s">
        <v>459</v>
      </c>
      <c r="AU56" s="87" t="s">
        <v>460</v>
      </c>
      <c r="AV56" s="87" t="s">
        <v>461</v>
      </c>
      <c r="AW56" s="87" t="s">
        <v>462</v>
      </c>
      <c r="AX56" s="87" t="s">
        <v>464</v>
      </c>
      <c r="AY56" s="87" t="s">
        <v>466</v>
      </c>
      <c r="AZ56" s="87" t="s">
        <v>467</v>
      </c>
      <c r="BA56" s="87" t="s">
        <v>469</v>
      </c>
      <c r="BB56" s="87" t="s">
        <v>470</v>
      </c>
      <c r="BC56" s="87" t="s">
        <v>471</v>
      </c>
      <c r="BD56" s="87" t="s">
        <v>472</v>
      </c>
    </row>
    <row r="57" spans="1:56" ht="11.25" customHeight="1" x14ac:dyDescent="0.25">
      <c r="A57" s="9" t="s">
        <v>33</v>
      </c>
      <c r="B57" s="9" t="s">
        <v>748</v>
      </c>
      <c r="C57" s="9" t="s">
        <v>749</v>
      </c>
      <c r="D57" s="9" t="s">
        <v>750</v>
      </c>
      <c r="E57" s="9" t="s">
        <v>751</v>
      </c>
      <c r="F57" s="9" t="s">
        <v>752</v>
      </c>
      <c r="G57" s="9" t="s">
        <v>753</v>
      </c>
      <c r="L57" s="86">
        <f>$I$5*$L$5</f>
        <v>0</v>
      </c>
      <c r="M57" s="86">
        <f>$I$5*$M$5</f>
        <v>0</v>
      </c>
      <c r="N57" s="86">
        <f ca="1">$I$5*$N$5</f>
        <v>0</v>
      </c>
      <c r="O57" s="86">
        <f>$I$5*$O$5</f>
        <v>0</v>
      </c>
      <c r="P57" s="86">
        <f>$I$5*$P$5</f>
        <v>0</v>
      </c>
      <c r="Q57" s="86">
        <f>$I$5*$Q$5</f>
        <v>0</v>
      </c>
      <c r="R57" s="86">
        <f>$I$5*$R$5</f>
        <v>0</v>
      </c>
      <c r="S57" s="86">
        <f>$I$5*$S$5</f>
        <v>0</v>
      </c>
      <c r="T57" s="86">
        <f>$I$5*$T$5</f>
        <v>0</v>
      </c>
      <c r="U57" s="86">
        <f>$I$5*$U$5</f>
        <v>0</v>
      </c>
      <c r="V57" s="86">
        <f>$I$5*$V$5</f>
        <v>0</v>
      </c>
      <c r="W57" s="86">
        <f>$I$5*$W$5</f>
        <v>0</v>
      </c>
      <c r="X57" s="86">
        <f>$I$5*$X$5</f>
        <v>25594.028694308578</v>
      </c>
      <c r="Y57" s="86">
        <f>$I$5*$Y$5</f>
        <v>0</v>
      </c>
      <c r="Z57" s="86">
        <f>$I$5*$Z$5</f>
        <v>0</v>
      </c>
      <c r="AA57" s="86">
        <f>$I$5*$AA$5</f>
        <v>50301.971025625666</v>
      </c>
      <c r="AB57" s="86">
        <f ca="1">$I$5*$AB$5</f>
        <v>0</v>
      </c>
      <c r="AC57" s="86">
        <f ca="1">$I$5*$AC$5</f>
        <v>0</v>
      </c>
      <c r="AD57" s="86">
        <f>$I$5*$AD$5</f>
        <v>0</v>
      </c>
      <c r="AE57" s="86">
        <f>$I$5*$AE$5</f>
        <v>0</v>
      </c>
      <c r="AF57" s="86">
        <f ca="1">$I$5*$AF$5</f>
        <v>0</v>
      </c>
      <c r="AG57" s="86">
        <f ca="1">$I$5*$AG$5</f>
        <v>0</v>
      </c>
      <c r="AI57" s="86">
        <f>$I$5*$AI$5</f>
        <v>0</v>
      </c>
      <c r="AJ57" s="86">
        <f>$I$5*$AJ$5</f>
        <v>0</v>
      </c>
      <c r="AK57" s="86">
        <f>$I$5*$AK$5</f>
        <v>0</v>
      </c>
      <c r="AL57" s="86">
        <f>$I$5*$AL$5</f>
        <v>0</v>
      </c>
      <c r="AM57" s="86">
        <f>$I$5*$AM$5</f>
        <v>0</v>
      </c>
      <c r="AN57" s="86">
        <f>$I$5*$AN$5</f>
        <v>0</v>
      </c>
      <c r="AO57" s="86">
        <f>$I$5*$AO$5</f>
        <v>0</v>
      </c>
      <c r="AP57" s="86">
        <f>$I$5*$AP$5</f>
        <v>0</v>
      </c>
      <c r="AQ57" s="86">
        <f>$I$5*$AQ$5</f>
        <v>0</v>
      </c>
      <c r="AR57" s="86">
        <f>$I$5*$AR$5</f>
        <v>0</v>
      </c>
      <c r="AS57" s="86">
        <f>$I$5*$AS$5</f>
        <v>0</v>
      </c>
      <c r="AT57" s="86">
        <f>$I$5*$AT$5</f>
        <v>0</v>
      </c>
      <c r="AU57" s="86">
        <f>$I$5*$AU$5</f>
        <v>19528.510056344639</v>
      </c>
      <c r="AV57" s="86">
        <f>$I$5*$AV$5</f>
        <v>0</v>
      </c>
      <c r="AW57" s="86">
        <f>$I$5*$AW$5</f>
        <v>0</v>
      </c>
      <c r="AX57" s="86">
        <f>$I$5*$AX$5</f>
        <v>42773.64489980659</v>
      </c>
      <c r="AY57" s="86">
        <f>$I$5*$AY$5</f>
        <v>696.26795614831485</v>
      </c>
      <c r="AZ57" s="86">
        <f>$I$5*$AZ$5</f>
        <v>0</v>
      </c>
      <c r="BA57" s="86">
        <f>$I$5*$BA$5</f>
        <v>0</v>
      </c>
      <c r="BB57" s="86">
        <f>$I$5*$BB$5</f>
        <v>0</v>
      </c>
      <c r="BC57" s="86">
        <f>$I$5*$BC$5</f>
        <v>0</v>
      </c>
      <c r="BD57" s="86">
        <f>$I$5*$BD$5</f>
        <v>0</v>
      </c>
    </row>
    <row r="58" spans="1:56" ht="11.25" customHeight="1" x14ac:dyDescent="0.25">
      <c r="A58" s="9" t="s">
        <v>33</v>
      </c>
      <c r="B58" s="9" t="s">
        <v>748</v>
      </c>
      <c r="C58" s="9" t="s">
        <v>749</v>
      </c>
      <c r="D58" s="9" t="s">
        <v>750</v>
      </c>
      <c r="E58" s="9" t="s">
        <v>751</v>
      </c>
      <c r="F58" s="9" t="s">
        <v>752</v>
      </c>
      <c r="G58" s="9" t="s">
        <v>754</v>
      </c>
      <c r="L58" s="86">
        <f>$I$6*$L$6</f>
        <v>0</v>
      </c>
      <c r="M58" s="86">
        <f>$I$6*$M$6</f>
        <v>0</v>
      </c>
      <c r="N58" s="86">
        <f ca="1">$I$6*$N$6</f>
        <v>0</v>
      </c>
      <c r="O58" s="86">
        <f>$I$6*$O$6</f>
        <v>0</v>
      </c>
      <c r="P58" s="86">
        <f>$I$6*$P$6</f>
        <v>0</v>
      </c>
      <c r="Q58" s="86">
        <f>$I$6*$Q$6</f>
        <v>0</v>
      </c>
      <c r="R58" s="86">
        <f>$I$6*$R$6</f>
        <v>0</v>
      </c>
      <c r="S58" s="86">
        <f>$I$6*$S$6</f>
        <v>0</v>
      </c>
      <c r="T58" s="86">
        <f>$I$6*$T$6</f>
        <v>0</v>
      </c>
      <c r="U58" s="86">
        <f>$I$6*$U$6</f>
        <v>0</v>
      </c>
      <c r="V58" s="86">
        <f>$I$6*$V$6</f>
        <v>0</v>
      </c>
      <c r="W58" s="86">
        <f>$I$6*$W$6</f>
        <v>0</v>
      </c>
      <c r="X58" s="86">
        <f>$I$6*$X$6</f>
        <v>39619.548629773853</v>
      </c>
      <c r="Y58" s="86">
        <f>$I$6*$Y$6</f>
        <v>0</v>
      </c>
      <c r="Z58" s="86">
        <f>$I$6*$Z$6</f>
        <v>0</v>
      </c>
      <c r="AA58" s="86">
        <f>$I$6*$AA$6</f>
        <v>45757.663508038706</v>
      </c>
      <c r="AB58" s="86">
        <f ca="1">$I$6*$AB$6</f>
        <v>0</v>
      </c>
      <c r="AC58" s="86">
        <f ca="1">$I$6*$AC$6</f>
        <v>0</v>
      </c>
      <c r="AD58" s="86">
        <f>$I$6*$AD$6</f>
        <v>0</v>
      </c>
      <c r="AE58" s="86">
        <f>$I$6*$AE$6</f>
        <v>0</v>
      </c>
      <c r="AF58" s="86">
        <f ca="1">$I$6*$AF$6</f>
        <v>0</v>
      </c>
      <c r="AG58" s="86">
        <f ca="1">$I$6*$AG$6</f>
        <v>0</v>
      </c>
      <c r="AI58" s="86">
        <f>$I$6*$AI$6</f>
        <v>0</v>
      </c>
      <c r="AJ58" s="86">
        <f>$I$6*$AJ$6</f>
        <v>0</v>
      </c>
      <c r="AK58" s="86">
        <f>$I$6*$AK$6</f>
        <v>0</v>
      </c>
      <c r="AL58" s="86">
        <f>$I$6*$AL$6</f>
        <v>0</v>
      </c>
      <c r="AM58" s="86">
        <f>$I$6*$AM$6</f>
        <v>0</v>
      </c>
      <c r="AN58" s="86">
        <f>$I$6*$AN$6</f>
        <v>0</v>
      </c>
      <c r="AO58" s="86">
        <f>$I$6*$AO$6</f>
        <v>0</v>
      </c>
      <c r="AP58" s="86">
        <f>$I$6*$AP$6</f>
        <v>0</v>
      </c>
      <c r="AQ58" s="86">
        <f>$I$6*$AQ$6</f>
        <v>0</v>
      </c>
      <c r="AR58" s="86">
        <f>$I$6*$AR$6</f>
        <v>0</v>
      </c>
      <c r="AS58" s="86">
        <f>$I$6*$AS$6</f>
        <v>0</v>
      </c>
      <c r="AT58" s="86">
        <f>$I$6*$AT$6</f>
        <v>0</v>
      </c>
      <c r="AU58" s="86">
        <f>$I$6*$AU$6</f>
        <v>30230.660572279863</v>
      </c>
      <c r="AV58" s="86">
        <f>$I$6*$AV$6</f>
        <v>0</v>
      </c>
      <c r="AW58" s="86">
        <f>$I$6*$AW$6</f>
        <v>0</v>
      </c>
      <c r="AX58" s="86">
        <f>$I$6*$AX$6</f>
        <v>38909.337800394067</v>
      </c>
      <c r="AY58" s="86">
        <f>$I$6*$AY$6</f>
        <v>750.7421189091682</v>
      </c>
      <c r="AZ58" s="86">
        <f>$I$6*$AZ$6</f>
        <v>0</v>
      </c>
      <c r="BA58" s="86">
        <f>$I$6*$BA$6</f>
        <v>0</v>
      </c>
      <c r="BB58" s="86">
        <f>$I$6*$BB$6</f>
        <v>0</v>
      </c>
      <c r="BC58" s="86">
        <f>$I$6*$BC$6</f>
        <v>0</v>
      </c>
      <c r="BD58" s="86">
        <f>$I$6*$BD$6</f>
        <v>0</v>
      </c>
    </row>
    <row r="59" spans="1:56" ht="11.25" customHeight="1" x14ac:dyDescent="0.25">
      <c r="A59" s="9" t="s">
        <v>33</v>
      </c>
      <c r="B59" s="9" t="s">
        <v>748</v>
      </c>
      <c r="C59" s="9" t="s">
        <v>749</v>
      </c>
      <c r="D59" s="9" t="s">
        <v>750</v>
      </c>
      <c r="E59" s="9" t="s">
        <v>751</v>
      </c>
      <c r="F59" s="9" t="s">
        <v>752</v>
      </c>
      <c r="G59" s="9" t="s">
        <v>755</v>
      </c>
      <c r="L59" s="86">
        <f>$I$7*$L$7</f>
        <v>13524.506733850647</v>
      </c>
      <c r="M59" s="86">
        <f>$I$7*$M$7</f>
        <v>1140.9940142353132</v>
      </c>
      <c r="N59" s="86">
        <f ca="1">$I$7*$N$7</f>
        <v>0</v>
      </c>
      <c r="O59" s="86">
        <f>$I$7*$O$7</f>
        <v>0</v>
      </c>
      <c r="P59" s="86">
        <f>$I$7*$P$7</f>
        <v>0</v>
      </c>
      <c r="Q59" s="86">
        <f>$I$7*$Q$7</f>
        <v>53067.107641438532</v>
      </c>
      <c r="R59" s="86">
        <f>$I$7*$R$7</f>
        <v>10301.198605589247</v>
      </c>
      <c r="S59" s="86">
        <f>$I$7*$S$7</f>
        <v>0</v>
      </c>
      <c r="T59" s="86">
        <f>$I$7*$T$7</f>
        <v>0</v>
      </c>
      <c r="U59" s="86">
        <f>$I$7*$U$7</f>
        <v>0</v>
      </c>
      <c r="V59" s="86">
        <f>$I$7*$V$7</f>
        <v>0</v>
      </c>
      <c r="W59" s="86">
        <f>$I$7*$W$7</f>
        <v>0</v>
      </c>
      <c r="X59" s="86">
        <f>$I$7*$X$7</f>
        <v>0</v>
      </c>
      <c r="Y59" s="86">
        <f>$I$7*$Y$7</f>
        <v>0</v>
      </c>
      <c r="Z59" s="86">
        <f>$I$7*$Z$7</f>
        <v>0</v>
      </c>
      <c r="AA59" s="86">
        <f>$I$7*$AA$7</f>
        <v>0</v>
      </c>
      <c r="AB59" s="86">
        <f ca="1">$I$7*$AB$7</f>
        <v>0</v>
      </c>
      <c r="AC59" s="86">
        <f ca="1">$I$7*$AC$7</f>
        <v>0</v>
      </c>
      <c r="AD59" s="86">
        <f>$I$7*$AD$7</f>
        <v>13169.602761083424</v>
      </c>
      <c r="AE59" s="86">
        <f>$I$7*$AE$7</f>
        <v>0</v>
      </c>
      <c r="AF59" s="86">
        <f ca="1">$I$7*$AF$7</f>
        <v>1863.855820846373</v>
      </c>
      <c r="AG59" s="86">
        <f ca="1">$I$7*$AG$7</f>
        <v>0</v>
      </c>
      <c r="AI59" s="86">
        <f>$I$7*$AI$7</f>
        <v>0</v>
      </c>
      <c r="AJ59" s="86">
        <f>$I$7*$AJ$7</f>
        <v>923.6398717365945</v>
      </c>
      <c r="AK59" s="86">
        <f>$I$7*$AK$7</f>
        <v>5.4159402043360713E-8</v>
      </c>
      <c r="AL59" s="86">
        <f>$I$7*$AL$7</f>
        <v>0</v>
      </c>
      <c r="AM59" s="86">
        <f>$I$7*$AM$7</f>
        <v>0</v>
      </c>
      <c r="AN59" s="86">
        <f>$I$7*$AN$7</f>
        <v>48724.767198256719</v>
      </c>
      <c r="AO59" s="86">
        <f>$I$7*$AO$7</f>
        <v>6272.6543004735577</v>
      </c>
      <c r="AP59" s="86">
        <f>$I$7*$AP$7</f>
        <v>0</v>
      </c>
      <c r="AQ59" s="86">
        <f>$I$7*$AQ$7</f>
        <v>0</v>
      </c>
      <c r="AR59" s="86">
        <f>$I$7*$AR$7</f>
        <v>0</v>
      </c>
      <c r="AS59" s="86">
        <f>$I$7*$AS$7</f>
        <v>0</v>
      </c>
      <c r="AT59" s="86">
        <f>$I$7*$AT$7</f>
        <v>0</v>
      </c>
      <c r="AU59" s="86">
        <f>$I$7*$AU$7</f>
        <v>0</v>
      </c>
      <c r="AV59" s="86">
        <f>$I$7*$AV$7</f>
        <v>0</v>
      </c>
      <c r="AW59" s="86">
        <f>$I$7*$AW$7</f>
        <v>0</v>
      </c>
      <c r="AX59" s="86">
        <f>$I$7*$AX$7</f>
        <v>0</v>
      </c>
      <c r="AY59" s="86">
        <f>$I$7*$AY$7</f>
        <v>659.87122305620323</v>
      </c>
      <c r="AZ59" s="86">
        <f>$I$7*$AZ$7</f>
        <v>0</v>
      </c>
      <c r="BA59" s="86">
        <f>$I$7*$BA$7</f>
        <v>11360.342404379884</v>
      </c>
      <c r="BB59" s="86">
        <f>$I$7*$BB$7</f>
        <v>0</v>
      </c>
      <c r="BC59" s="86">
        <f>$I$7*$BC$7</f>
        <v>2280.1452889090547</v>
      </c>
      <c r="BD59" s="86">
        <f>$I$7*$BD$7</f>
        <v>0</v>
      </c>
    </row>
    <row r="60" spans="1:56" ht="11.25" customHeight="1" x14ac:dyDescent="0.25">
      <c r="A60" s="9" t="s">
        <v>33</v>
      </c>
      <c r="B60" s="9" t="s">
        <v>748</v>
      </c>
      <c r="C60" s="9" t="s">
        <v>749</v>
      </c>
      <c r="D60" s="9" t="s">
        <v>750</v>
      </c>
      <c r="E60" s="9" t="s">
        <v>756</v>
      </c>
      <c r="F60" s="9" t="s">
        <v>757</v>
      </c>
      <c r="G60" s="9" t="s">
        <v>758</v>
      </c>
      <c r="L60" s="86">
        <f>$I$8*$L$8</f>
        <v>0</v>
      </c>
      <c r="M60" s="86">
        <f>$I$8*$M$8</f>
        <v>0</v>
      </c>
      <c r="N60" s="86">
        <f ca="1">$I$8*$N$8</f>
        <v>0</v>
      </c>
      <c r="O60" s="86">
        <f>$I$8*$O$8</f>
        <v>0</v>
      </c>
      <c r="P60" s="86">
        <f>$I$8*$P$8</f>
        <v>0</v>
      </c>
      <c r="Q60" s="86">
        <f>$I$8*$Q$8</f>
        <v>0</v>
      </c>
      <c r="R60" s="86">
        <f>$I$8*$R$8</f>
        <v>0</v>
      </c>
      <c r="S60" s="86">
        <f>$I$8*$S$8</f>
        <v>0</v>
      </c>
      <c r="T60" s="86">
        <f>$I$8*$T$8</f>
        <v>0</v>
      </c>
      <c r="U60" s="86">
        <f>$I$8*$U$8</f>
        <v>0</v>
      </c>
      <c r="V60" s="86">
        <f>$I$8*$V$8</f>
        <v>0</v>
      </c>
      <c r="W60" s="86">
        <f>$I$8*$W$8</f>
        <v>0</v>
      </c>
      <c r="X60" s="86">
        <f>$I$8*$X$8</f>
        <v>0</v>
      </c>
      <c r="Y60" s="86">
        <f>$I$8*$Y$8</f>
        <v>0</v>
      </c>
      <c r="Z60" s="86">
        <f>$I$8*$Z$8</f>
        <v>0</v>
      </c>
      <c r="AA60" s="86">
        <f>$I$8*$AA$8</f>
        <v>0</v>
      </c>
      <c r="AB60" s="86">
        <f ca="1">$I$8*$AB$8</f>
        <v>0</v>
      </c>
      <c r="AC60" s="86">
        <f ca="1">$I$8*$AC$8</f>
        <v>0</v>
      </c>
      <c r="AD60" s="86">
        <f>$I$8*$AD$8</f>
        <v>0</v>
      </c>
      <c r="AE60" s="86">
        <f>$I$8*$AE$8</f>
        <v>0</v>
      </c>
      <c r="AF60" s="86">
        <f ca="1">$I$8*$AF$8</f>
        <v>0</v>
      </c>
      <c r="AG60" s="86">
        <f ca="1">$I$8*$AG$8</f>
        <v>0</v>
      </c>
      <c r="AI60" s="86">
        <f>$I$8*$AI$8</f>
        <v>0</v>
      </c>
      <c r="AJ60" s="86">
        <f>$I$8*$AJ$8</f>
        <v>0</v>
      </c>
      <c r="AK60" s="86">
        <f>$I$8*$AK$8</f>
        <v>0</v>
      </c>
      <c r="AL60" s="86">
        <f>$I$8*$AL$8</f>
        <v>0</v>
      </c>
      <c r="AM60" s="86">
        <f>$I$8*$AM$8</f>
        <v>0</v>
      </c>
      <c r="AN60" s="86">
        <f>$I$8*$AN$8</f>
        <v>0</v>
      </c>
      <c r="AO60" s="86">
        <f>$I$8*$AO$8</f>
        <v>0</v>
      </c>
      <c r="AP60" s="86">
        <f>$I$8*$AP$8</f>
        <v>0</v>
      </c>
      <c r="AQ60" s="86">
        <f>$I$8*$AQ$8</f>
        <v>0</v>
      </c>
      <c r="AR60" s="86">
        <f>$I$8*$AR$8</f>
        <v>0</v>
      </c>
      <c r="AS60" s="86">
        <f>$I$8*$AS$8</f>
        <v>0</v>
      </c>
      <c r="AT60" s="86">
        <f>$I$8*$AT$8</f>
        <v>0</v>
      </c>
      <c r="AU60" s="86">
        <f>$I$8*$AU$8</f>
        <v>0</v>
      </c>
      <c r="AV60" s="86">
        <f>$I$8*$AV$8</f>
        <v>0</v>
      </c>
      <c r="AW60" s="86">
        <f>$I$8*$AW$8</f>
        <v>0</v>
      </c>
      <c r="AX60" s="86">
        <f>$I$8*$AX$8</f>
        <v>0</v>
      </c>
      <c r="AY60" s="86">
        <f>$I$8*$AY$8</f>
        <v>0</v>
      </c>
      <c r="AZ60" s="86">
        <f>$I$8*$AZ$8</f>
        <v>0</v>
      </c>
      <c r="BA60" s="86">
        <f>$I$8*$BA$8</f>
        <v>0</v>
      </c>
      <c r="BB60" s="86">
        <f>$I$8*$BB$8</f>
        <v>0</v>
      </c>
      <c r="BC60" s="86">
        <f>$I$8*$BC$8</f>
        <v>0</v>
      </c>
      <c r="BD60" s="86">
        <f>$I$8*$BD$8</f>
        <v>0</v>
      </c>
    </row>
    <row r="61" spans="1:56" ht="11.25" customHeight="1" x14ac:dyDescent="0.25">
      <c r="A61" s="9" t="s">
        <v>33</v>
      </c>
      <c r="B61" s="9" t="s">
        <v>759</v>
      </c>
      <c r="C61" s="9" t="s">
        <v>760</v>
      </c>
      <c r="D61" s="9" t="s">
        <v>761</v>
      </c>
      <c r="E61" s="9" t="s">
        <v>762</v>
      </c>
      <c r="F61" s="9" t="s">
        <v>763</v>
      </c>
      <c r="G61" s="9" t="s">
        <v>764</v>
      </c>
      <c r="L61" s="86">
        <f>$I$9*$L$9</f>
        <v>0</v>
      </c>
      <c r="M61" s="86">
        <f>$I$9*$M$9</f>
        <v>0</v>
      </c>
      <c r="N61" s="86">
        <f ca="1">$I$9*$N$9</f>
        <v>0</v>
      </c>
      <c r="O61" s="86">
        <f>$I$9*$O$9</f>
        <v>0</v>
      </c>
      <c r="P61" s="86">
        <f>$I$9*$P$9</f>
        <v>0</v>
      </c>
      <c r="Q61" s="86">
        <f>$I$9*$Q$9</f>
        <v>0</v>
      </c>
      <c r="R61" s="86">
        <f>$I$9*$R$9</f>
        <v>0</v>
      </c>
      <c r="S61" s="86">
        <f>$I$9*$S$9</f>
        <v>0</v>
      </c>
      <c r="T61" s="86">
        <f>$I$9*$T$9</f>
        <v>0</v>
      </c>
      <c r="U61" s="86">
        <f>$I$9*$U$9</f>
        <v>0</v>
      </c>
      <c r="V61" s="86">
        <f>$I$9*$V$9</f>
        <v>0</v>
      </c>
      <c r="W61" s="86">
        <f>$I$9*$W$9</f>
        <v>0</v>
      </c>
      <c r="X61" s="86">
        <f>$I$9*$X$9</f>
        <v>0</v>
      </c>
      <c r="Y61" s="86">
        <f>$I$9*$Y$9</f>
        <v>0</v>
      </c>
      <c r="Z61" s="86">
        <f>$I$9*$Z$9</f>
        <v>0</v>
      </c>
      <c r="AA61" s="86">
        <f>$I$9*$AA$9</f>
        <v>0</v>
      </c>
      <c r="AB61" s="86">
        <f ca="1">$I$9*$AB$9</f>
        <v>0</v>
      </c>
      <c r="AC61" s="86">
        <f ca="1">$I$9*$AC$9</f>
        <v>0</v>
      </c>
      <c r="AD61" s="86">
        <f>$I$9*$AD$9</f>
        <v>0</v>
      </c>
      <c r="AE61" s="86">
        <f>$I$9*$AE$9</f>
        <v>0</v>
      </c>
      <c r="AF61" s="86">
        <f ca="1">$I$9*$AF$9</f>
        <v>0</v>
      </c>
      <c r="AG61" s="86">
        <f ca="1">$I$9*$AG$9</f>
        <v>0</v>
      </c>
      <c r="AI61" s="86">
        <f>$I$9*$AI$9</f>
        <v>0</v>
      </c>
      <c r="AJ61" s="86">
        <f>$I$9*$AJ$9</f>
        <v>0</v>
      </c>
      <c r="AK61" s="86">
        <f>$I$9*$AK$9</f>
        <v>0</v>
      </c>
      <c r="AL61" s="86">
        <f>$I$9*$AL$9</f>
        <v>0</v>
      </c>
      <c r="AM61" s="86">
        <f>$I$9*$AM$9</f>
        <v>0</v>
      </c>
      <c r="AN61" s="86">
        <f>$I$9*$AN$9</f>
        <v>0</v>
      </c>
      <c r="AO61" s="86">
        <f>$I$9*$AO$9</f>
        <v>0</v>
      </c>
      <c r="AP61" s="86">
        <f>$I$9*$AP$9</f>
        <v>0</v>
      </c>
      <c r="AQ61" s="86">
        <f>$I$9*$AQ$9</f>
        <v>0</v>
      </c>
      <c r="AR61" s="86">
        <f>$I$9*$AR$9</f>
        <v>0</v>
      </c>
      <c r="AS61" s="86">
        <f>$I$9*$AS$9</f>
        <v>0</v>
      </c>
      <c r="AT61" s="86">
        <f>$I$9*$AT$9</f>
        <v>0</v>
      </c>
      <c r="AU61" s="86">
        <f>$I$9*$AU$9</f>
        <v>0</v>
      </c>
      <c r="AV61" s="86">
        <f>$I$9*$AV$9</f>
        <v>0</v>
      </c>
      <c r="AW61" s="86">
        <f>$I$9*$AW$9</f>
        <v>0</v>
      </c>
      <c r="AX61" s="86">
        <f>$I$9*$AX$9</f>
        <v>0</v>
      </c>
      <c r="AY61" s="86">
        <f>$I$9*$AY$9</f>
        <v>0</v>
      </c>
      <c r="AZ61" s="86">
        <f>$I$9*$AZ$9</f>
        <v>0</v>
      </c>
      <c r="BA61" s="86">
        <f>$I$9*$BA$9</f>
        <v>0</v>
      </c>
      <c r="BB61" s="86">
        <f>$I$9*$BB$9</f>
        <v>0</v>
      </c>
      <c r="BC61" s="86">
        <f>$I$9*$BC$9</f>
        <v>0</v>
      </c>
      <c r="BD61" s="86">
        <f>$I$9*$BD$9</f>
        <v>0</v>
      </c>
    </row>
    <row r="62" spans="1:56" ht="11.25" customHeight="1" x14ac:dyDescent="0.25">
      <c r="A62" s="9" t="s">
        <v>33</v>
      </c>
      <c r="B62" s="9" t="s">
        <v>765</v>
      </c>
      <c r="C62" s="9" t="s">
        <v>766</v>
      </c>
      <c r="D62" s="9" t="s">
        <v>767</v>
      </c>
      <c r="E62" s="9" t="s">
        <v>768</v>
      </c>
      <c r="F62" s="9" t="s">
        <v>769</v>
      </c>
      <c r="G62" s="9" t="s">
        <v>770</v>
      </c>
      <c r="L62" s="86">
        <f>$I$10*$L$10</f>
        <v>0</v>
      </c>
      <c r="M62" s="86">
        <f>$I$10*$M$10</f>
        <v>0</v>
      </c>
      <c r="N62" s="86">
        <f ca="1">$I$10*$N$10</f>
        <v>0</v>
      </c>
      <c r="O62" s="86">
        <f>$I$10*$O$10</f>
        <v>0</v>
      </c>
      <c r="P62" s="86">
        <f>$I$10*$P$10</f>
        <v>0</v>
      </c>
      <c r="Q62" s="86">
        <f>$I$10*$Q$10</f>
        <v>0</v>
      </c>
      <c r="R62" s="86">
        <f>$I$10*$R$10</f>
        <v>0</v>
      </c>
      <c r="S62" s="86">
        <f>$I$10*$S$10</f>
        <v>0</v>
      </c>
      <c r="T62" s="86">
        <f>$I$10*$T$10</f>
        <v>0</v>
      </c>
      <c r="U62" s="86">
        <f>$I$10*$U$10</f>
        <v>0</v>
      </c>
      <c r="V62" s="86">
        <f>$I$10*$V$10</f>
        <v>0</v>
      </c>
      <c r="W62" s="86">
        <f>$I$10*$W$10</f>
        <v>0</v>
      </c>
      <c r="X62" s="86">
        <f>$I$10*$X$10</f>
        <v>623311.3828722504</v>
      </c>
      <c r="Y62" s="86">
        <f>$I$10*$Y$10</f>
        <v>0</v>
      </c>
      <c r="Z62" s="86">
        <f>$I$10*$Z$10</f>
        <v>0</v>
      </c>
      <c r="AA62" s="86">
        <f>$I$10*$AA$10</f>
        <v>719878.78470592026</v>
      </c>
      <c r="AB62" s="86">
        <f ca="1">$I$10*$AB$10</f>
        <v>0</v>
      </c>
      <c r="AC62" s="86">
        <f ca="1">$I$10*$AC$10</f>
        <v>0</v>
      </c>
      <c r="AD62" s="86">
        <f>$I$10*$AD$10</f>
        <v>0</v>
      </c>
      <c r="AE62" s="86">
        <f>$I$10*$AE$10</f>
        <v>0</v>
      </c>
      <c r="AF62" s="86">
        <f ca="1">$I$10*$AF$10</f>
        <v>0</v>
      </c>
      <c r="AG62" s="86">
        <f ca="1">$I$10*$AG$10</f>
        <v>0</v>
      </c>
      <c r="AI62" s="86">
        <f>$I$10*$AI$10</f>
        <v>0</v>
      </c>
      <c r="AJ62" s="86">
        <f>$I$10*$AJ$10</f>
        <v>0</v>
      </c>
      <c r="AK62" s="86">
        <f>$I$10*$AK$10</f>
        <v>0</v>
      </c>
      <c r="AL62" s="86">
        <f>$I$10*$AL$10</f>
        <v>0</v>
      </c>
      <c r="AM62" s="86">
        <f>$I$10*$AM$10</f>
        <v>0</v>
      </c>
      <c r="AN62" s="86">
        <f>$I$10*$AN$10</f>
        <v>0</v>
      </c>
      <c r="AO62" s="86">
        <f>$I$10*$AO$10</f>
        <v>0</v>
      </c>
      <c r="AP62" s="86">
        <f>$I$10*$AP$10</f>
        <v>0</v>
      </c>
      <c r="AQ62" s="86">
        <f>$I$10*$AQ$10</f>
        <v>0</v>
      </c>
      <c r="AR62" s="86">
        <f>$I$10*$AR$10</f>
        <v>0</v>
      </c>
      <c r="AS62" s="86">
        <f>$I$10*$AS$10</f>
        <v>0</v>
      </c>
      <c r="AT62" s="86">
        <f>$I$10*$AT$10</f>
        <v>0</v>
      </c>
      <c r="AU62" s="86">
        <f>$I$10*$AU$10</f>
        <v>475601.4517613381</v>
      </c>
      <c r="AV62" s="86">
        <f>$I$10*$AV$10</f>
        <v>0</v>
      </c>
      <c r="AW62" s="86">
        <f>$I$10*$AW$10</f>
        <v>0</v>
      </c>
      <c r="AX62" s="86">
        <f>$I$10*$AX$10</f>
        <v>612138.04775103985</v>
      </c>
      <c r="AY62" s="86">
        <f>$I$10*$AY$10</f>
        <v>11810.990394929899</v>
      </c>
      <c r="AZ62" s="86">
        <f>$I$10*$AZ$10</f>
        <v>0</v>
      </c>
      <c r="BA62" s="86">
        <f>$I$10*$BA$10</f>
        <v>0</v>
      </c>
      <c r="BB62" s="86">
        <f>$I$10*$BB$10</f>
        <v>0</v>
      </c>
      <c r="BC62" s="86">
        <f>$I$10*$BC$10</f>
        <v>0</v>
      </c>
      <c r="BD62" s="86">
        <f>$I$10*$BD$10</f>
        <v>0</v>
      </c>
    </row>
    <row r="63" spans="1:56" ht="11.25" customHeight="1" x14ac:dyDescent="0.25">
      <c r="A63" s="9" t="s">
        <v>33</v>
      </c>
      <c r="B63" s="9" t="s">
        <v>765</v>
      </c>
      <c r="C63" s="9" t="s">
        <v>766</v>
      </c>
      <c r="D63" s="9" t="s">
        <v>767</v>
      </c>
      <c r="E63" s="9" t="s">
        <v>768</v>
      </c>
      <c r="F63" s="9" t="s">
        <v>769</v>
      </c>
      <c r="G63" s="9" t="s">
        <v>771</v>
      </c>
      <c r="L63" s="86">
        <f>$I$11*$L$11</f>
        <v>1922.9067892338014</v>
      </c>
      <c r="M63" s="86">
        <f>$I$11*$M$11</f>
        <v>162.22588961095056</v>
      </c>
      <c r="N63" s="86">
        <f ca="1">$I$11*$N$11</f>
        <v>0</v>
      </c>
      <c r="O63" s="86">
        <f>$I$11*$O$11</f>
        <v>0</v>
      </c>
      <c r="P63" s="86">
        <f>$I$11*$P$11</f>
        <v>0</v>
      </c>
      <c r="Q63" s="86">
        <f>$I$11*$Q$11</f>
        <v>7545.0516293742694</v>
      </c>
      <c r="R63" s="86">
        <f>$I$11*$R$11</f>
        <v>1464.6186456734163</v>
      </c>
      <c r="S63" s="86">
        <f>$I$11*$S$11</f>
        <v>0</v>
      </c>
      <c r="T63" s="86">
        <f>$I$11*$T$11</f>
        <v>0</v>
      </c>
      <c r="U63" s="86">
        <f>$I$11*$U$11</f>
        <v>0</v>
      </c>
      <c r="V63" s="86">
        <f>$I$11*$V$11</f>
        <v>0</v>
      </c>
      <c r="W63" s="86">
        <f>$I$11*$W$11</f>
        <v>0</v>
      </c>
      <c r="X63" s="86">
        <f>$I$11*$X$11</f>
        <v>154985.12603664835</v>
      </c>
      <c r="Y63" s="86">
        <f>$I$11*$Y$11</f>
        <v>0</v>
      </c>
      <c r="Z63" s="86">
        <f>$I$11*$Z$11</f>
        <v>0</v>
      </c>
      <c r="AA63" s="86">
        <f>$I$11*$AA$11</f>
        <v>304602.48577420774</v>
      </c>
      <c r="AB63" s="86">
        <f ca="1">$I$11*$AB$11</f>
        <v>0</v>
      </c>
      <c r="AC63" s="86">
        <f ca="1">$I$11*$AC$11</f>
        <v>0</v>
      </c>
      <c r="AD63" s="86">
        <f>$I$11*$AD$11</f>
        <v>1872.4467412490542</v>
      </c>
      <c r="AE63" s="86">
        <f>$I$11*$AE$11</f>
        <v>0</v>
      </c>
      <c r="AF63" s="86">
        <f ca="1">$I$11*$AF$11</f>
        <v>265.0019762338498</v>
      </c>
      <c r="AG63" s="86">
        <f ca="1">$I$11*$AG$11</f>
        <v>0</v>
      </c>
      <c r="AI63" s="86">
        <f>$I$11*$AI$11</f>
        <v>0</v>
      </c>
      <c r="AJ63" s="86">
        <f>$I$11*$AJ$11</f>
        <v>131.32259942050086</v>
      </c>
      <c r="AK63" s="86">
        <f>$I$11*$AK$11</f>
        <v>1.3575544401009541E-6</v>
      </c>
      <c r="AL63" s="86">
        <f>$I$11*$AL$11</f>
        <v>0</v>
      </c>
      <c r="AM63" s="86">
        <f>$I$11*$AM$11</f>
        <v>0</v>
      </c>
      <c r="AN63" s="86">
        <f>$I$11*$AN$11</f>
        <v>6927.6600983057297</v>
      </c>
      <c r="AO63" s="86">
        <f>$I$11*$AO$11</f>
        <v>891.84247368576928</v>
      </c>
      <c r="AP63" s="86">
        <f>$I$11*$AP$11</f>
        <v>0</v>
      </c>
      <c r="AQ63" s="86">
        <f>$I$11*$AQ$11</f>
        <v>0</v>
      </c>
      <c r="AR63" s="86">
        <f>$I$11*$AR$11</f>
        <v>0</v>
      </c>
      <c r="AS63" s="86">
        <f>$I$11*$AS$11</f>
        <v>0</v>
      </c>
      <c r="AT63" s="86">
        <f>$I$11*$AT$11</f>
        <v>0</v>
      </c>
      <c r="AU63" s="86">
        <f>$I$11*$AU$11</f>
        <v>118254.07122834807</v>
      </c>
      <c r="AV63" s="86">
        <f>$I$11*$AV$11</f>
        <v>0</v>
      </c>
      <c r="AW63" s="86">
        <f>$I$11*$AW$11</f>
        <v>0</v>
      </c>
      <c r="AX63" s="86">
        <f>$I$11*$AX$11</f>
        <v>259014.69780804522</v>
      </c>
      <c r="AY63" s="86">
        <f>$I$11*$AY$11</f>
        <v>4310.0497115548969</v>
      </c>
      <c r="AZ63" s="86">
        <f>$I$11*$AZ$11</f>
        <v>0</v>
      </c>
      <c r="BA63" s="86">
        <f>$I$11*$BA$11</f>
        <v>1615.2071175155631</v>
      </c>
      <c r="BB63" s="86">
        <f>$I$11*$BB$11</f>
        <v>0</v>
      </c>
      <c r="BC63" s="86">
        <f>$I$11*$BC$11</f>
        <v>324.18977954357882</v>
      </c>
      <c r="BD63" s="86">
        <f>$I$11*$BD$11</f>
        <v>0</v>
      </c>
    </row>
    <row r="64" spans="1:56" ht="11.25" customHeight="1" x14ac:dyDescent="0.25">
      <c r="A64" s="9" t="s">
        <v>33</v>
      </c>
      <c r="B64" s="9" t="s">
        <v>765</v>
      </c>
      <c r="C64" s="9" t="s">
        <v>766</v>
      </c>
      <c r="D64" s="9" t="s">
        <v>767</v>
      </c>
      <c r="E64" s="9" t="s">
        <v>768</v>
      </c>
      <c r="F64" s="9" t="s">
        <v>769</v>
      </c>
      <c r="G64" s="9" t="s">
        <v>772</v>
      </c>
      <c r="L64" s="86">
        <f>$I$12*$L$12</f>
        <v>64532.529894803287</v>
      </c>
      <c r="M64" s="86">
        <f>$I$12*$M$12</f>
        <v>5444.282130389236</v>
      </c>
      <c r="N64" s="86">
        <f ca="1">$I$12*$N$12</f>
        <v>0</v>
      </c>
      <c r="O64" s="86">
        <f>$I$12*$O$12</f>
        <v>0</v>
      </c>
      <c r="P64" s="86">
        <f>$I$12*$P$12</f>
        <v>0</v>
      </c>
      <c r="Q64" s="86">
        <f>$I$12*$Q$12</f>
        <v>253211.06179277637</v>
      </c>
      <c r="R64" s="86">
        <f>$I$12*$R$12</f>
        <v>49152.432694913186</v>
      </c>
      <c r="S64" s="86">
        <f>$I$12*$S$12</f>
        <v>0</v>
      </c>
      <c r="T64" s="86">
        <f>$I$12*$T$12</f>
        <v>0</v>
      </c>
      <c r="U64" s="86">
        <f>$I$12*$U$12</f>
        <v>0</v>
      </c>
      <c r="V64" s="86">
        <f>$I$12*$V$12</f>
        <v>0</v>
      </c>
      <c r="W64" s="86">
        <f>$I$12*$W$12</f>
        <v>0</v>
      </c>
      <c r="X64" s="86">
        <f>$I$12*$X$12</f>
        <v>0</v>
      </c>
      <c r="Y64" s="86">
        <f>$I$12*$Y$12</f>
        <v>0</v>
      </c>
      <c r="Z64" s="86">
        <f>$I$12*$Z$12</f>
        <v>0</v>
      </c>
      <c r="AA64" s="86">
        <f>$I$12*$AA$12</f>
        <v>0</v>
      </c>
      <c r="AB64" s="86">
        <f ca="1">$I$12*$AB$12</f>
        <v>0</v>
      </c>
      <c r="AC64" s="86">
        <f ca="1">$I$12*$AC$12</f>
        <v>0</v>
      </c>
      <c r="AD64" s="86">
        <f>$I$12*$AD$12</f>
        <v>62839.096508795839</v>
      </c>
      <c r="AE64" s="86">
        <f>$I$12*$AE$12</f>
        <v>0</v>
      </c>
      <c r="AF64" s="86">
        <f ca="1">$I$12*$AF$12</f>
        <v>8893.4357345043227</v>
      </c>
      <c r="AG64" s="86">
        <f ca="1">$I$12*$AG$12</f>
        <v>0</v>
      </c>
      <c r="AI64" s="86">
        <f>$I$12*$AI$12</f>
        <v>0</v>
      </c>
      <c r="AJ64" s="86">
        <f>$I$12*$AJ$12</f>
        <v>4407.1712786159114</v>
      </c>
      <c r="AK64" s="86">
        <f>$I$12*$AK$12</f>
        <v>2.5842297247707091E-7</v>
      </c>
      <c r="AL64" s="86">
        <f>$I$12*$AL$12</f>
        <v>0</v>
      </c>
      <c r="AM64" s="86">
        <f>$I$12*$AM$12</f>
        <v>0</v>
      </c>
      <c r="AN64" s="86">
        <f>$I$12*$AN$12</f>
        <v>232491.47327265146</v>
      </c>
      <c r="AO64" s="86">
        <f>$I$12*$AO$12</f>
        <v>29930.130475806705</v>
      </c>
      <c r="AP64" s="86">
        <f>$I$12*$AP$12</f>
        <v>0</v>
      </c>
      <c r="AQ64" s="86">
        <f>$I$12*$AQ$12</f>
        <v>0</v>
      </c>
      <c r="AR64" s="86">
        <f>$I$12*$AR$12</f>
        <v>0</v>
      </c>
      <c r="AS64" s="86">
        <f>$I$12*$AS$12</f>
        <v>0</v>
      </c>
      <c r="AT64" s="86">
        <f>$I$12*$AT$12</f>
        <v>0</v>
      </c>
      <c r="AU64" s="86">
        <f>$I$12*$AU$12</f>
        <v>0</v>
      </c>
      <c r="AV64" s="86">
        <f>$I$12*$AV$12</f>
        <v>0</v>
      </c>
      <c r="AW64" s="86">
        <f>$I$12*$AW$12</f>
        <v>0</v>
      </c>
      <c r="AX64" s="86">
        <f>$I$12*$AX$12</f>
        <v>0</v>
      </c>
      <c r="AY64" s="86">
        <f>$I$12*$AY$12</f>
        <v>3148.592423116841</v>
      </c>
      <c r="AZ64" s="86">
        <f>$I$12*$AZ$12</f>
        <v>0</v>
      </c>
      <c r="BA64" s="86">
        <f>$I$12*$BA$12</f>
        <v>54206.164428232543</v>
      </c>
      <c r="BB64" s="86">
        <f>$I$12*$BB$12</f>
        <v>0</v>
      </c>
      <c r="BC64" s="86">
        <f>$I$12*$BC$12</f>
        <v>10879.771581815339</v>
      </c>
      <c r="BD64" s="86">
        <f>$I$12*$BD$12</f>
        <v>0</v>
      </c>
    </row>
    <row r="65" spans="1:56" ht="11.25" customHeight="1" x14ac:dyDescent="0.25">
      <c r="A65" s="9" t="s">
        <v>33</v>
      </c>
      <c r="B65" s="9" t="s">
        <v>765</v>
      </c>
      <c r="C65" s="9" t="s">
        <v>766</v>
      </c>
      <c r="D65" s="9" t="s">
        <v>767</v>
      </c>
      <c r="E65" s="9" t="s">
        <v>773</v>
      </c>
      <c r="F65" s="9" t="s">
        <v>774</v>
      </c>
      <c r="G65" s="9" t="s">
        <v>775</v>
      </c>
      <c r="L65" s="86">
        <f>$I$13*$L$13</f>
        <v>0</v>
      </c>
      <c r="M65" s="86">
        <f>$I$13*$M$13</f>
        <v>0</v>
      </c>
      <c r="N65" s="86">
        <f ca="1">$I$13*$N$13</f>
        <v>0</v>
      </c>
      <c r="O65" s="86">
        <f>$I$13*$O$13</f>
        <v>0</v>
      </c>
      <c r="P65" s="86">
        <f>$I$13*$P$13</f>
        <v>0</v>
      </c>
      <c r="Q65" s="86">
        <f>$I$13*$Q$13</f>
        <v>0</v>
      </c>
      <c r="R65" s="86">
        <f>$I$13*$R$13</f>
        <v>0</v>
      </c>
      <c r="S65" s="86">
        <f>$I$13*$S$13</f>
        <v>0</v>
      </c>
      <c r="T65" s="86">
        <f>$I$13*$T$13</f>
        <v>0</v>
      </c>
      <c r="U65" s="86">
        <f>$I$13*$U$13</f>
        <v>0</v>
      </c>
      <c r="V65" s="86">
        <f>$I$13*$V$13</f>
        <v>0</v>
      </c>
      <c r="W65" s="86">
        <f>$I$13*$W$13</f>
        <v>0</v>
      </c>
      <c r="X65" s="86">
        <f>$I$13*$X$13</f>
        <v>0</v>
      </c>
      <c r="Y65" s="86">
        <f>$I$13*$Y$13</f>
        <v>0</v>
      </c>
      <c r="Z65" s="86">
        <f>$I$13*$Z$13</f>
        <v>0</v>
      </c>
      <c r="AA65" s="86">
        <f>$I$13*$AA$13</f>
        <v>0</v>
      </c>
      <c r="AB65" s="86">
        <f ca="1">$I$13*$AB$13</f>
        <v>0</v>
      </c>
      <c r="AC65" s="86">
        <f ca="1">$I$13*$AC$13</f>
        <v>0</v>
      </c>
      <c r="AD65" s="86">
        <f>$I$13*$AD$13</f>
        <v>0</v>
      </c>
      <c r="AE65" s="86">
        <f>$I$13*$AE$13</f>
        <v>0</v>
      </c>
      <c r="AF65" s="86">
        <f ca="1">$I$13*$AF$13</f>
        <v>0</v>
      </c>
      <c r="AG65" s="86">
        <f ca="1">$I$13*$AG$13</f>
        <v>0</v>
      </c>
      <c r="AI65" s="86">
        <f>$I$13*$AI$13</f>
        <v>0</v>
      </c>
      <c r="AJ65" s="86">
        <f>$I$13*$AJ$13</f>
        <v>0</v>
      </c>
      <c r="AK65" s="86">
        <f>$I$13*$AK$13</f>
        <v>0</v>
      </c>
      <c r="AL65" s="86">
        <f>$I$13*$AL$13</f>
        <v>0</v>
      </c>
      <c r="AM65" s="86">
        <f>$I$13*$AM$13</f>
        <v>0</v>
      </c>
      <c r="AN65" s="86">
        <f>$I$13*$AN$13</f>
        <v>0</v>
      </c>
      <c r="AO65" s="86">
        <f>$I$13*$AO$13</f>
        <v>0</v>
      </c>
      <c r="AP65" s="86">
        <f>$I$13*$AP$13</f>
        <v>0</v>
      </c>
      <c r="AQ65" s="86">
        <f>$I$13*$AQ$13</f>
        <v>0</v>
      </c>
      <c r="AR65" s="86">
        <f>$I$13*$AR$13</f>
        <v>0</v>
      </c>
      <c r="AS65" s="86">
        <f>$I$13*$AS$13</f>
        <v>0</v>
      </c>
      <c r="AT65" s="86">
        <f>$I$13*$AT$13</f>
        <v>0</v>
      </c>
      <c r="AU65" s="86">
        <f>$I$13*$AU$13</f>
        <v>0</v>
      </c>
      <c r="AV65" s="86">
        <f>$I$13*$AV$13</f>
        <v>0</v>
      </c>
      <c r="AW65" s="86">
        <f>$I$13*$AW$13</f>
        <v>0</v>
      </c>
      <c r="AX65" s="86">
        <f>$I$13*$AX$13</f>
        <v>0</v>
      </c>
      <c r="AY65" s="86">
        <f>$I$13*$AY$13</f>
        <v>0</v>
      </c>
      <c r="AZ65" s="86">
        <f>$I$13*$AZ$13</f>
        <v>0</v>
      </c>
      <c r="BA65" s="86">
        <f>$I$13*$BA$13</f>
        <v>0</v>
      </c>
      <c r="BB65" s="86">
        <f>$I$13*$BB$13</f>
        <v>0</v>
      </c>
      <c r="BC65" s="86">
        <f>$I$13*$BC$13</f>
        <v>0</v>
      </c>
      <c r="BD65" s="86">
        <f>$I$13*$BD$13</f>
        <v>0</v>
      </c>
    </row>
    <row r="66" spans="1:56" ht="11.25" customHeight="1" x14ac:dyDescent="0.25">
      <c r="A66" s="9" t="s">
        <v>33</v>
      </c>
      <c r="B66" s="9" t="s">
        <v>765</v>
      </c>
      <c r="C66" s="9" t="s">
        <v>766</v>
      </c>
      <c r="D66" s="9" t="s">
        <v>767</v>
      </c>
      <c r="E66" s="9" t="s">
        <v>773</v>
      </c>
      <c r="F66" s="9" t="s">
        <v>774</v>
      </c>
      <c r="G66" s="9" t="s">
        <v>776</v>
      </c>
      <c r="L66" s="86">
        <f>$I$14*$L$14</f>
        <v>0</v>
      </c>
      <c r="M66" s="86">
        <f>$I$14*$M$14</f>
        <v>0</v>
      </c>
      <c r="N66" s="86">
        <f ca="1">$I$14*$N$14</f>
        <v>0</v>
      </c>
      <c r="O66" s="86">
        <f>$I$14*$O$14</f>
        <v>0</v>
      </c>
      <c r="P66" s="86">
        <f>$I$14*$P$14</f>
        <v>0</v>
      </c>
      <c r="Q66" s="86">
        <f>$I$14*$Q$14</f>
        <v>0</v>
      </c>
      <c r="R66" s="86">
        <f>$I$14*$R$14</f>
        <v>0</v>
      </c>
      <c r="S66" s="86">
        <f>$I$14*$S$14</f>
        <v>0</v>
      </c>
      <c r="T66" s="86">
        <f>$I$14*$T$14</f>
        <v>0</v>
      </c>
      <c r="U66" s="86">
        <f>$I$14*$U$14</f>
        <v>0</v>
      </c>
      <c r="V66" s="86">
        <f>$I$14*$V$14</f>
        <v>0</v>
      </c>
      <c r="W66" s="86">
        <f>$I$14*$W$14</f>
        <v>0</v>
      </c>
      <c r="X66" s="86">
        <f>$I$14*$X$14</f>
        <v>0</v>
      </c>
      <c r="Y66" s="86">
        <f>$I$14*$Y$14</f>
        <v>0</v>
      </c>
      <c r="Z66" s="86">
        <f>$I$14*$Z$14</f>
        <v>0</v>
      </c>
      <c r="AA66" s="86">
        <f>$I$14*$AA$14</f>
        <v>0</v>
      </c>
      <c r="AB66" s="86">
        <f ca="1">$I$14*$AB$14</f>
        <v>0</v>
      </c>
      <c r="AC66" s="86">
        <f ca="1">$I$14*$AC$14</f>
        <v>0</v>
      </c>
      <c r="AD66" s="86">
        <f>$I$14*$AD$14</f>
        <v>0</v>
      </c>
      <c r="AE66" s="86">
        <f>$I$14*$AE$14</f>
        <v>0</v>
      </c>
      <c r="AF66" s="86">
        <f ca="1">$I$14*$AF$14</f>
        <v>0</v>
      </c>
      <c r="AG66" s="86">
        <f ca="1">$I$14*$AG$14</f>
        <v>0</v>
      </c>
      <c r="AI66" s="86">
        <f>$I$14*$AI$14</f>
        <v>0</v>
      </c>
      <c r="AJ66" s="86">
        <f>$I$14*$AJ$14</f>
        <v>0</v>
      </c>
      <c r="AK66" s="86">
        <f>$I$14*$AK$14</f>
        <v>0</v>
      </c>
      <c r="AL66" s="86">
        <f>$I$14*$AL$14</f>
        <v>0</v>
      </c>
      <c r="AM66" s="86">
        <f>$I$14*$AM$14</f>
        <v>0</v>
      </c>
      <c r="AN66" s="86">
        <f>$I$14*$AN$14</f>
        <v>0</v>
      </c>
      <c r="AO66" s="86">
        <f>$I$14*$AO$14</f>
        <v>0</v>
      </c>
      <c r="AP66" s="86">
        <f>$I$14*$AP$14</f>
        <v>0</v>
      </c>
      <c r="AQ66" s="86">
        <f>$I$14*$AQ$14</f>
        <v>0</v>
      </c>
      <c r="AR66" s="86">
        <f>$I$14*$AR$14</f>
        <v>0</v>
      </c>
      <c r="AS66" s="86">
        <f>$I$14*$AS$14</f>
        <v>0</v>
      </c>
      <c r="AT66" s="86">
        <f>$I$14*$AT$14</f>
        <v>0</v>
      </c>
      <c r="AU66" s="86">
        <f>$I$14*$AU$14</f>
        <v>0</v>
      </c>
      <c r="AV66" s="86">
        <f>$I$14*$AV$14</f>
        <v>0</v>
      </c>
      <c r="AW66" s="86">
        <f>$I$14*$AW$14</f>
        <v>0</v>
      </c>
      <c r="AX66" s="86">
        <f>$I$14*$AX$14</f>
        <v>0</v>
      </c>
      <c r="AY66" s="86">
        <f>$I$14*$AY$14</f>
        <v>0</v>
      </c>
      <c r="AZ66" s="86">
        <f>$I$14*$AZ$14</f>
        <v>0</v>
      </c>
      <c r="BA66" s="86">
        <f>$I$14*$BA$14</f>
        <v>0</v>
      </c>
      <c r="BB66" s="86">
        <f>$I$14*$BB$14</f>
        <v>0</v>
      </c>
      <c r="BC66" s="86">
        <f>$I$14*$BC$14</f>
        <v>0</v>
      </c>
      <c r="BD66" s="86">
        <f>$I$14*$BD$14</f>
        <v>0</v>
      </c>
    </row>
    <row r="67" spans="1:56" ht="11.25" customHeight="1" x14ac:dyDescent="0.25">
      <c r="A67" s="9" t="s">
        <v>81</v>
      </c>
      <c r="B67" s="9" t="s">
        <v>777</v>
      </c>
      <c r="C67" s="9" t="s">
        <v>778</v>
      </c>
      <c r="D67" s="9" t="s">
        <v>779</v>
      </c>
      <c r="E67" s="9" t="s">
        <v>780</v>
      </c>
      <c r="F67" s="9" t="s">
        <v>781</v>
      </c>
      <c r="G67" s="9" t="s">
        <v>782</v>
      </c>
      <c r="L67" s="86">
        <f>$I$15*$L$15</f>
        <v>0</v>
      </c>
      <c r="M67" s="86">
        <f>$I$15*$M$15</f>
        <v>1.1466651370535473E-10</v>
      </c>
      <c r="N67" s="86">
        <f ca="1">$I$15*$N$15</f>
        <v>0</v>
      </c>
      <c r="O67" s="86">
        <f>$I$15*$O$15</f>
        <v>0</v>
      </c>
      <c r="P67" s="86">
        <f>$I$15*$P$15</f>
        <v>0</v>
      </c>
      <c r="Q67" s="86">
        <f>$I$15*$Q$15</f>
        <v>0</v>
      </c>
      <c r="R67" s="86">
        <f>$I$15*$R$15</f>
        <v>0</v>
      </c>
      <c r="S67" s="86">
        <f>$I$15*$S$15</f>
        <v>0</v>
      </c>
      <c r="T67" s="86">
        <f>$I$15*$T$15</f>
        <v>0</v>
      </c>
      <c r="U67" s="86">
        <f>$I$15*$U$15</f>
        <v>0</v>
      </c>
      <c r="V67" s="86">
        <f>$I$15*$V$15</f>
        <v>0</v>
      </c>
      <c r="W67" s="86">
        <f>$I$15*$W$15</f>
        <v>0</v>
      </c>
      <c r="X67" s="86">
        <f>$I$15*$X$15</f>
        <v>0</v>
      </c>
      <c r="Y67" s="86">
        <f>$I$15*$Y$15</f>
        <v>0</v>
      </c>
      <c r="Z67" s="86">
        <f>$I$15*$Z$15</f>
        <v>0</v>
      </c>
      <c r="AA67" s="86">
        <f>$I$15*$AA$15</f>
        <v>7.1361643437985056E-8</v>
      </c>
      <c r="AB67" s="86">
        <f ca="1">$I$15*$AB$15</f>
        <v>0</v>
      </c>
      <c r="AC67" s="86">
        <f ca="1">$I$15*$AC$15</f>
        <v>0</v>
      </c>
      <c r="AD67" s="86">
        <f>$I$15*$AD$15</f>
        <v>0</v>
      </c>
      <c r="AE67" s="86">
        <f>$I$15*$AE$15</f>
        <v>0</v>
      </c>
      <c r="AF67" s="86">
        <f ca="1">$I$15*$AF$15</f>
        <v>0</v>
      </c>
      <c r="AG67" s="86">
        <f ca="1">$I$15*$AG$15</f>
        <v>0</v>
      </c>
      <c r="AI67" s="86">
        <f>$I$15*$AI$15</f>
        <v>0</v>
      </c>
      <c r="AJ67" s="86">
        <f>$I$15*$AJ$15</f>
        <v>1.1253713190614E-10</v>
      </c>
      <c r="AK67" s="86">
        <f>$I$15*$AK$15</f>
        <v>0</v>
      </c>
      <c r="AL67" s="86">
        <f>$I$15*$AL$15</f>
        <v>0</v>
      </c>
      <c r="AM67" s="86">
        <f>$I$15*$AM$15</f>
        <v>0</v>
      </c>
      <c r="AN67" s="86">
        <f>$I$15*$AN$15</f>
        <v>0</v>
      </c>
      <c r="AO67" s="86">
        <f>$I$15*$AO$15</f>
        <v>0</v>
      </c>
      <c r="AP67" s="86">
        <f>$I$15*$AP$15</f>
        <v>0</v>
      </c>
      <c r="AQ67" s="86">
        <f>$I$15*$AQ$15</f>
        <v>0</v>
      </c>
      <c r="AR67" s="86">
        <f>$I$15*$AR$15</f>
        <v>0</v>
      </c>
      <c r="AS67" s="86">
        <f>$I$15*$AS$15</f>
        <v>0</v>
      </c>
      <c r="AT67" s="86">
        <f>$I$15*$AT$15</f>
        <v>0</v>
      </c>
      <c r="AU67" s="86">
        <f>$I$15*$AU$15</f>
        <v>0</v>
      </c>
      <c r="AV67" s="86">
        <f>$I$15*$AV$15</f>
        <v>0</v>
      </c>
      <c r="AW67" s="86">
        <f>$I$15*$AW$15</f>
        <v>0</v>
      </c>
      <c r="AX67" s="86">
        <f>$I$15*$AX$15</f>
        <v>6.0682209392866511E-8</v>
      </c>
      <c r="AY67" s="86">
        <f>$I$15*$AY$15</f>
        <v>7.2809101039197997E-10</v>
      </c>
      <c r="AZ67" s="86">
        <f>$I$15*$AZ$15</f>
        <v>0</v>
      </c>
      <c r="BA67" s="86">
        <f>$I$15*$BA$15</f>
        <v>0</v>
      </c>
      <c r="BB67" s="86">
        <f>$I$15*$BB$15</f>
        <v>0</v>
      </c>
      <c r="BC67" s="86">
        <f>$I$15*$BC$15</f>
        <v>0</v>
      </c>
      <c r="BD67" s="86">
        <f>$I$15*$BD$15</f>
        <v>0</v>
      </c>
    </row>
    <row r="68" spans="1:56" ht="11.25" customHeight="1" x14ac:dyDescent="0.25">
      <c r="A68" s="9" t="s">
        <v>81</v>
      </c>
      <c r="B68" s="9" t="s">
        <v>777</v>
      </c>
      <c r="C68" s="9" t="s">
        <v>778</v>
      </c>
      <c r="D68" s="9" t="s">
        <v>779</v>
      </c>
      <c r="E68" s="9" t="s">
        <v>783</v>
      </c>
      <c r="F68" s="9" t="s">
        <v>784</v>
      </c>
      <c r="G68" s="9" t="s">
        <v>785</v>
      </c>
      <c r="L68" s="86">
        <f>$I$16*$L$16</f>
        <v>0</v>
      </c>
      <c r="M68" s="86">
        <f>$I$16*$M$16</f>
        <v>1.1466651370535473E-10</v>
      </c>
      <c r="N68" s="86">
        <f ca="1">$I$16*$N$16</f>
        <v>0</v>
      </c>
      <c r="O68" s="86">
        <f>$I$16*$O$16</f>
        <v>0</v>
      </c>
      <c r="P68" s="86">
        <f>$I$16*$P$16</f>
        <v>0</v>
      </c>
      <c r="Q68" s="86">
        <f>$I$16*$Q$16</f>
        <v>0</v>
      </c>
      <c r="R68" s="86">
        <f>$I$16*$R$16</f>
        <v>0</v>
      </c>
      <c r="S68" s="86">
        <f>$I$16*$S$16</f>
        <v>0</v>
      </c>
      <c r="T68" s="86">
        <f>$I$16*$T$16</f>
        <v>0</v>
      </c>
      <c r="U68" s="86">
        <f>$I$16*$U$16</f>
        <v>0</v>
      </c>
      <c r="V68" s="86">
        <f>$I$16*$V$16</f>
        <v>0</v>
      </c>
      <c r="W68" s="86">
        <f>$I$16*$W$16</f>
        <v>0</v>
      </c>
      <c r="X68" s="86">
        <f>$I$16*$X$16</f>
        <v>0</v>
      </c>
      <c r="Y68" s="86">
        <f>$I$16*$Y$16</f>
        <v>0</v>
      </c>
      <c r="Z68" s="86">
        <f>$I$16*$Z$16</f>
        <v>0</v>
      </c>
      <c r="AA68" s="86">
        <f>$I$16*$AA$16</f>
        <v>2.299990179022964E-7</v>
      </c>
      <c r="AB68" s="86">
        <f ca="1">$I$16*$AB$16</f>
        <v>0</v>
      </c>
      <c r="AC68" s="86">
        <f ca="1">$I$16*$AC$16</f>
        <v>0</v>
      </c>
      <c r="AD68" s="86">
        <f>$I$16*$AD$16</f>
        <v>0</v>
      </c>
      <c r="AE68" s="86">
        <f>$I$16*$AE$16</f>
        <v>0</v>
      </c>
      <c r="AF68" s="86">
        <f ca="1">$I$16*$AF$16</f>
        <v>0</v>
      </c>
      <c r="AG68" s="86">
        <f ca="1">$I$16*$AG$16</f>
        <v>0</v>
      </c>
      <c r="AI68" s="86">
        <f>$I$16*$AI$16</f>
        <v>0</v>
      </c>
      <c r="AJ68" s="86">
        <f>$I$16*$AJ$16</f>
        <v>1.1253713190614E-10</v>
      </c>
      <c r="AK68" s="86">
        <f>$I$16*$AK$16</f>
        <v>0</v>
      </c>
      <c r="AL68" s="86">
        <f>$I$16*$AL$16</f>
        <v>0</v>
      </c>
      <c r="AM68" s="86">
        <f>$I$16*$AM$16</f>
        <v>0</v>
      </c>
      <c r="AN68" s="86">
        <f>$I$16*$AN$16</f>
        <v>0</v>
      </c>
      <c r="AO68" s="86">
        <f>$I$16*$AO$16</f>
        <v>0</v>
      </c>
      <c r="AP68" s="86">
        <f>$I$16*$AP$16</f>
        <v>0</v>
      </c>
      <c r="AQ68" s="86">
        <f>$I$16*$AQ$16</f>
        <v>0</v>
      </c>
      <c r="AR68" s="86">
        <f>$I$16*$AR$16</f>
        <v>0</v>
      </c>
      <c r="AS68" s="86">
        <f>$I$16*$AS$16</f>
        <v>0</v>
      </c>
      <c r="AT68" s="86">
        <f>$I$16*$AT$16</f>
        <v>0</v>
      </c>
      <c r="AU68" s="86">
        <f>$I$16*$AU$16</f>
        <v>0</v>
      </c>
      <c r="AV68" s="86">
        <f>$I$16*$AV$16</f>
        <v>0</v>
      </c>
      <c r="AW68" s="86">
        <f>$I$16*$AW$16</f>
        <v>0</v>
      </c>
      <c r="AX68" s="86">
        <f>$I$16*$AX$16</f>
        <v>1.95577076263604E-7</v>
      </c>
      <c r="AY68" s="86">
        <f>$I$16*$AY$16</f>
        <v>2.34403542630266E-9</v>
      </c>
      <c r="AZ68" s="86">
        <f>$I$16*$AZ$16</f>
        <v>0</v>
      </c>
      <c r="BA68" s="86">
        <f>$I$16*$BA$16</f>
        <v>0</v>
      </c>
      <c r="BB68" s="86">
        <f>$I$16*$BB$16</f>
        <v>0</v>
      </c>
      <c r="BC68" s="86">
        <f>$I$16*$BC$16</f>
        <v>0</v>
      </c>
      <c r="BD68" s="86">
        <f>$I$16*$BD$16</f>
        <v>0</v>
      </c>
    </row>
    <row r="69" spans="1:56" ht="11.25" customHeight="1" x14ac:dyDescent="0.25">
      <c r="A69" s="9" t="s">
        <v>22</v>
      </c>
      <c r="B69" s="9" t="s">
        <v>786</v>
      </c>
      <c r="C69" s="9" t="s">
        <v>787</v>
      </c>
      <c r="D69" s="9" t="s">
        <v>788</v>
      </c>
      <c r="E69" s="9" t="s">
        <v>789</v>
      </c>
      <c r="F69" s="9" t="s">
        <v>790</v>
      </c>
      <c r="G69" s="9" t="s">
        <v>791</v>
      </c>
      <c r="L69" s="86">
        <f>$I$17*$L$17</f>
        <v>54.787149839576614</v>
      </c>
      <c r="M69" s="86">
        <f>$I$17*$M$17</f>
        <v>7.4740244433465648</v>
      </c>
      <c r="N69" s="86">
        <f ca="1">$I$17*$N$17</f>
        <v>0</v>
      </c>
      <c r="O69" s="86">
        <f>$I$17*$O$17</f>
        <v>0</v>
      </c>
      <c r="P69" s="86">
        <f>$I$17*$P$17</f>
        <v>0</v>
      </c>
      <c r="Q69" s="86">
        <f>$I$17*$Q$17</f>
        <v>214.97239308754084</v>
      </c>
      <c r="R69" s="86">
        <f>$I$17*$R$17</f>
        <v>35.052929546038563</v>
      </c>
      <c r="S69" s="86">
        <f>$I$17*$S$17</f>
        <v>0</v>
      </c>
      <c r="T69" s="86">
        <f>$I$17*$T$17</f>
        <v>0</v>
      </c>
      <c r="U69" s="86">
        <f>$I$17*$U$17</f>
        <v>0</v>
      </c>
      <c r="V69" s="86">
        <f>$I$17*$V$17</f>
        <v>0</v>
      </c>
      <c r="W69" s="86">
        <f>$I$17*$W$17</f>
        <v>0</v>
      </c>
      <c r="X69" s="86">
        <f>$I$17*$X$17</f>
        <v>1552.4125592404037</v>
      </c>
      <c r="Y69" s="86">
        <f>$I$17*$Y$17</f>
        <v>0</v>
      </c>
      <c r="Z69" s="86">
        <f>$I$17*$Z$17</f>
        <v>0</v>
      </c>
      <c r="AA69" s="86">
        <f>$I$17*$AA$17</f>
        <v>3351.4401209777147</v>
      </c>
      <c r="AB69" s="86">
        <f ca="1">$I$17*$AB$17</f>
        <v>0</v>
      </c>
      <c r="AC69" s="86">
        <f ca="1">$I$17*$AC$17</f>
        <v>0</v>
      </c>
      <c r="AD69" s="86">
        <f>$I$17*$AD$17</f>
        <v>105.16128715901729</v>
      </c>
      <c r="AE69" s="86">
        <f>$I$17*$AE$17</f>
        <v>0</v>
      </c>
      <c r="AF69" s="86">
        <f ca="1">$I$17*$AF$17</f>
        <v>9.7841739691902312</v>
      </c>
      <c r="AG69" s="86">
        <f ca="1">$I$17*$AG$17</f>
        <v>0</v>
      </c>
      <c r="AI69" s="86">
        <f>$I$17*$AI$17</f>
        <v>0</v>
      </c>
      <c r="AJ69" s="86">
        <f>$I$17*$AJ$17</f>
        <v>5.7108058282405061</v>
      </c>
      <c r="AK69" s="86">
        <f>$I$17*$AK$17</f>
        <v>1.4935193857927055E-8</v>
      </c>
      <c r="AL69" s="86">
        <f>$I$17*$AL$17</f>
        <v>0</v>
      </c>
      <c r="AM69" s="86">
        <f>$I$17*$AM$17</f>
        <v>0</v>
      </c>
      <c r="AN69" s="86">
        <f>$I$17*$AN$17</f>
        <v>190.57550520192567</v>
      </c>
      <c r="AO69" s="86">
        <f>$I$17*$AO$17</f>
        <v>21.344594709770494</v>
      </c>
      <c r="AP69" s="86">
        <f>$I$17*$AP$17</f>
        <v>0</v>
      </c>
      <c r="AQ69" s="86">
        <f>$I$17*$AQ$17</f>
        <v>0</v>
      </c>
      <c r="AR69" s="86">
        <f>$I$17*$AR$17</f>
        <v>0</v>
      </c>
      <c r="AS69" s="86">
        <f>$I$17*$AS$17</f>
        <v>0</v>
      </c>
      <c r="AT69" s="86">
        <f>$I$17*$AT$17</f>
        <v>0</v>
      </c>
      <c r="AU69" s="86">
        <f>$I$17*$AU$17</f>
        <v>1184.4962299401514</v>
      </c>
      <c r="AV69" s="86">
        <f>$I$17*$AV$17</f>
        <v>0</v>
      </c>
      <c r="AW69" s="86">
        <f>$I$17*$AW$17</f>
        <v>0</v>
      </c>
      <c r="AX69" s="86">
        <f>$I$17*$AX$17</f>
        <v>2849.8530562473179</v>
      </c>
      <c r="AY69" s="86">
        <f>$I$17*$AY$17</f>
        <v>48.209444394812316</v>
      </c>
      <c r="AZ69" s="86">
        <f>$I$17*$AZ$17</f>
        <v>0</v>
      </c>
      <c r="BA69" s="86">
        <f>$I$17*$BA$17</f>
        <v>90.714000313994205</v>
      </c>
      <c r="BB69" s="86">
        <f>$I$17*$BB$17</f>
        <v>0</v>
      </c>
      <c r="BC69" s="86">
        <f>$I$17*$BC$17</f>
        <v>11.407250139328831</v>
      </c>
      <c r="BD69" s="86">
        <f>$I$17*$BD$17</f>
        <v>0</v>
      </c>
    </row>
    <row r="70" spans="1:56" ht="11.25" customHeight="1" x14ac:dyDescent="0.25">
      <c r="A70" s="9" t="s">
        <v>22</v>
      </c>
      <c r="B70" s="9" t="s">
        <v>786</v>
      </c>
      <c r="C70" s="9" t="s">
        <v>787</v>
      </c>
      <c r="D70" s="9" t="s">
        <v>788</v>
      </c>
      <c r="E70" s="9" t="s">
        <v>789</v>
      </c>
      <c r="F70" s="9" t="s">
        <v>790</v>
      </c>
      <c r="G70" s="9" t="s">
        <v>792</v>
      </c>
      <c r="L70" s="86">
        <f>$I$18*$L$18</f>
        <v>28.956216185739933</v>
      </c>
      <c r="M70" s="86">
        <f>$I$18*$M$18</f>
        <v>3.9501866439986384</v>
      </c>
      <c r="N70" s="86">
        <f ca="1">$I$18*$N$18</f>
        <v>0</v>
      </c>
      <c r="O70" s="86">
        <f>$I$18*$O$18</f>
        <v>0</v>
      </c>
      <c r="P70" s="86">
        <f>$I$18*$P$18</f>
        <v>0</v>
      </c>
      <c r="Q70" s="86">
        <f>$I$18*$Q$18</f>
        <v>113.61764768628456</v>
      </c>
      <c r="R70" s="86">
        <f>$I$18*$R$18</f>
        <v>18.526245823165585</v>
      </c>
      <c r="S70" s="86">
        <f>$I$18*$S$18</f>
        <v>0</v>
      </c>
      <c r="T70" s="86">
        <f>$I$18*$T$18</f>
        <v>0</v>
      </c>
      <c r="U70" s="86">
        <f>$I$18*$U$18</f>
        <v>0</v>
      </c>
      <c r="V70" s="86">
        <f>$I$18*$V$18</f>
        <v>0</v>
      </c>
      <c r="W70" s="86">
        <f>$I$18*$W$18</f>
        <v>0</v>
      </c>
      <c r="X70" s="86">
        <f>$I$18*$X$18</f>
        <v>492.29055141340029</v>
      </c>
      <c r="Y70" s="86">
        <f>$I$18*$Y$18</f>
        <v>0</v>
      </c>
      <c r="Z70" s="86">
        <f>$I$18*$Z$18</f>
        <v>0</v>
      </c>
      <c r="AA70" s="86">
        <f>$I$18*$AA$18</f>
        <v>1062.7861918433948</v>
      </c>
      <c r="AB70" s="86">
        <f ca="1">$I$18*$AB$18</f>
        <v>0</v>
      </c>
      <c r="AC70" s="86">
        <f ca="1">$I$18*$AC$18</f>
        <v>0</v>
      </c>
      <c r="AD70" s="86">
        <f>$I$18*$AD$18</f>
        <v>55.580057992860048</v>
      </c>
      <c r="AE70" s="86">
        <f>$I$18*$AE$18</f>
        <v>0</v>
      </c>
      <c r="AF70" s="86">
        <f ca="1">$I$18*$AF$18</f>
        <v>5.171151583543498</v>
      </c>
      <c r="AG70" s="86">
        <f ca="1">$I$18*$AG$18</f>
        <v>0</v>
      </c>
      <c r="AI70" s="86">
        <f>$I$18*$AI$18</f>
        <v>0</v>
      </c>
      <c r="AJ70" s="86">
        <f>$I$18*$AJ$18</f>
        <v>3.0182867450035178</v>
      </c>
      <c r="AK70" s="86">
        <f>$I$18*$AK$18</f>
        <v>4.8150549750644524E-9</v>
      </c>
      <c r="AL70" s="86">
        <f>$I$18*$AL$18</f>
        <v>0</v>
      </c>
      <c r="AM70" s="86">
        <f>$I$18*$AM$18</f>
        <v>0</v>
      </c>
      <c r="AN70" s="86">
        <f>$I$18*$AN$18</f>
        <v>100.72335473723211</v>
      </c>
      <c r="AO70" s="86">
        <f>$I$18*$AO$18</f>
        <v>11.281088733815608</v>
      </c>
      <c r="AP70" s="86">
        <f>$I$18*$AP$18</f>
        <v>0</v>
      </c>
      <c r="AQ70" s="86">
        <f>$I$18*$AQ$18</f>
        <v>0</v>
      </c>
      <c r="AR70" s="86">
        <f>$I$18*$AR$18</f>
        <v>0</v>
      </c>
      <c r="AS70" s="86">
        <f>$I$18*$AS$18</f>
        <v>0</v>
      </c>
      <c r="AT70" s="86">
        <f>$I$18*$AT$18</f>
        <v>0</v>
      </c>
      <c r="AU70" s="86">
        <f>$I$18*$AU$18</f>
        <v>375.61826196664083</v>
      </c>
      <c r="AV70" s="86">
        <f>$I$18*$AV$18</f>
        <v>0</v>
      </c>
      <c r="AW70" s="86">
        <f>$I$18*$AW$18</f>
        <v>0</v>
      </c>
      <c r="AX70" s="86">
        <f>$I$18*$AX$18</f>
        <v>903.72592890486385</v>
      </c>
      <c r="AY70" s="86">
        <f>$I$18*$AY$18</f>
        <v>15.904654869672161</v>
      </c>
      <c r="AZ70" s="86">
        <f>$I$18*$AZ$18</f>
        <v>0</v>
      </c>
      <c r="BA70" s="86">
        <f>$I$18*$BA$18</f>
        <v>47.944348480559597</v>
      </c>
      <c r="BB70" s="86">
        <f>$I$18*$BB$18</f>
        <v>0</v>
      </c>
      <c r="BC70" s="86">
        <f>$I$18*$BC$18</f>
        <v>6.0289831116677446</v>
      </c>
      <c r="BD70" s="86">
        <f>$I$18*$BD$18</f>
        <v>0</v>
      </c>
    </row>
    <row r="71" spans="1:56" ht="11.25" customHeight="1" x14ac:dyDescent="0.25">
      <c r="A71" s="9" t="s">
        <v>22</v>
      </c>
      <c r="B71" s="9" t="s">
        <v>786</v>
      </c>
      <c r="C71" s="9" t="s">
        <v>787</v>
      </c>
      <c r="D71" s="9" t="s">
        <v>788</v>
      </c>
      <c r="E71" s="9" t="s">
        <v>789</v>
      </c>
      <c r="F71" s="9" t="s">
        <v>790</v>
      </c>
      <c r="G71" s="9" t="s">
        <v>793</v>
      </c>
      <c r="L71" s="86">
        <f>$I$19*$L$19</f>
        <v>373.75537915624744</v>
      </c>
      <c r="M71" s="86">
        <f>$I$19*$M$19</f>
        <v>50.987445921637381</v>
      </c>
      <c r="N71" s="86">
        <f ca="1">$I$19*$N$19</f>
        <v>0</v>
      </c>
      <c r="O71" s="86">
        <f>$I$19*$O$19</f>
        <v>0</v>
      </c>
      <c r="P71" s="86">
        <f>$I$19*$P$19</f>
        <v>0</v>
      </c>
      <c r="Q71" s="86">
        <f>$I$19*$Q$19</f>
        <v>1466.5316323595162</v>
      </c>
      <c r="R71" s="86">
        <f>$I$19*$R$19</f>
        <v>239.12944935772035</v>
      </c>
      <c r="S71" s="86">
        <f>$I$19*$S$19</f>
        <v>0</v>
      </c>
      <c r="T71" s="86">
        <f>$I$19*$T$19</f>
        <v>0</v>
      </c>
      <c r="U71" s="86">
        <f>$I$19*$U$19</f>
        <v>0</v>
      </c>
      <c r="V71" s="86">
        <f>$I$19*$V$19</f>
        <v>0</v>
      </c>
      <c r="W71" s="86">
        <f>$I$19*$W$19</f>
        <v>0</v>
      </c>
      <c r="X71" s="86">
        <f>$I$19*$X$19</f>
        <v>2118.1194797467065</v>
      </c>
      <c r="Y71" s="86">
        <f>$I$19*$Y$19</f>
        <v>0</v>
      </c>
      <c r="Z71" s="86">
        <f>$I$19*$Z$19</f>
        <v>0</v>
      </c>
      <c r="AA71" s="86">
        <f>$I$19*$AA$19</f>
        <v>4572.6722584127665</v>
      </c>
      <c r="AB71" s="86">
        <f ca="1">$I$19*$AB$19</f>
        <v>0</v>
      </c>
      <c r="AC71" s="86">
        <f ca="1">$I$19*$AC$19</f>
        <v>0</v>
      </c>
      <c r="AD71" s="86">
        <f>$I$19*$AD$19</f>
        <v>717.40539286613966</v>
      </c>
      <c r="AE71" s="86">
        <f>$I$19*$AE$19</f>
        <v>0</v>
      </c>
      <c r="AF71" s="86">
        <f ca="1">$I$19*$AF$19</f>
        <v>66.747178166653853</v>
      </c>
      <c r="AG71" s="86">
        <f ca="1">$I$19*$AG$19</f>
        <v>0</v>
      </c>
      <c r="AI71" s="86">
        <f>$I$19*$AI$19</f>
        <v>0</v>
      </c>
      <c r="AJ71" s="86">
        <f>$I$19*$AJ$19</f>
        <v>38.958850823078933</v>
      </c>
      <c r="AK71" s="86">
        <f>$I$19*$AK$19</f>
        <v>2.241452694096011E-8</v>
      </c>
      <c r="AL71" s="86">
        <f>$I$19*$AL$19</f>
        <v>0</v>
      </c>
      <c r="AM71" s="86">
        <f>$I$19*$AM$19</f>
        <v>0</v>
      </c>
      <c r="AN71" s="86">
        <f>$I$19*$AN$19</f>
        <v>1300.0972018658595</v>
      </c>
      <c r="AO71" s="86">
        <f>$I$19*$AO$19</f>
        <v>145.61182890597971</v>
      </c>
      <c r="AP71" s="86">
        <f>$I$19*$AP$19</f>
        <v>0</v>
      </c>
      <c r="AQ71" s="86">
        <f>$I$19*$AQ$19</f>
        <v>0</v>
      </c>
      <c r="AR71" s="86">
        <f>$I$19*$AR$19</f>
        <v>0</v>
      </c>
      <c r="AS71" s="86">
        <f>$I$19*$AS$19</f>
        <v>0</v>
      </c>
      <c r="AT71" s="86">
        <f>$I$19*$AT$19</f>
        <v>0</v>
      </c>
      <c r="AU71" s="86">
        <f>$I$19*$AU$19</f>
        <v>1616.1113357036654</v>
      </c>
      <c r="AV71" s="86">
        <f>$I$19*$AV$19</f>
        <v>0</v>
      </c>
      <c r="AW71" s="86">
        <f>$I$19*$AW$19</f>
        <v>0</v>
      </c>
      <c r="AX71" s="86">
        <f>$I$19*$AX$19</f>
        <v>3888.3113467837475</v>
      </c>
      <c r="AY71" s="86">
        <f>$I$19*$AY$19</f>
        <v>81.699674073245689</v>
      </c>
      <c r="AZ71" s="86">
        <f>$I$19*$AZ$19</f>
        <v>0</v>
      </c>
      <c r="BA71" s="86">
        <f>$I$19*$BA$19</f>
        <v>618.84667629935723</v>
      </c>
      <c r="BB71" s="86">
        <f>$I$19*$BB$19</f>
        <v>0</v>
      </c>
      <c r="BC71" s="86">
        <f>$I$19*$BC$19</f>
        <v>77.819728046432559</v>
      </c>
      <c r="BD71" s="86">
        <f>$I$19*$BD$19</f>
        <v>0</v>
      </c>
    </row>
    <row r="72" spans="1:56" ht="11.25" customHeight="1" x14ac:dyDescent="0.25">
      <c r="A72" s="9" t="s">
        <v>22</v>
      </c>
      <c r="B72" s="9" t="s">
        <v>794</v>
      </c>
      <c r="C72" s="9" t="s">
        <v>795</v>
      </c>
      <c r="D72" s="9" t="s">
        <v>796</v>
      </c>
      <c r="E72" s="9" t="s">
        <v>797</v>
      </c>
      <c r="F72" s="9" t="s">
        <v>798</v>
      </c>
      <c r="G72" s="9" t="s">
        <v>799</v>
      </c>
      <c r="L72" s="86">
        <f>$I$20*$L$20</f>
        <v>627663.06304140517</v>
      </c>
      <c r="M72" s="86">
        <f>$I$20*$M$20</f>
        <v>85625.353556327493</v>
      </c>
      <c r="N72" s="86">
        <f ca="1">$I$20*$N$20</f>
        <v>0</v>
      </c>
      <c r="O72" s="86">
        <f>$I$20*$O$20</f>
        <v>0</v>
      </c>
      <c r="P72" s="86">
        <f>$I$20*$P$20</f>
        <v>0</v>
      </c>
      <c r="Q72" s="86">
        <f>$I$20*$Q$20</f>
        <v>2462807.9962136904</v>
      </c>
      <c r="R72" s="86">
        <f>$I$20*$R$20</f>
        <v>401580.10029475851</v>
      </c>
      <c r="S72" s="86">
        <f>$I$20*$S$20</f>
        <v>0</v>
      </c>
      <c r="T72" s="86">
        <f>$I$20*$T$20</f>
        <v>0</v>
      </c>
      <c r="U72" s="86">
        <f>$I$20*$U$20</f>
        <v>0</v>
      </c>
      <c r="V72" s="86">
        <f>$I$20*$V$20</f>
        <v>0</v>
      </c>
      <c r="W72" s="86">
        <f>$I$20*$W$20</f>
        <v>0</v>
      </c>
      <c r="X72" s="86">
        <f>$I$20*$X$20</f>
        <v>6587064.0556871761</v>
      </c>
      <c r="Y72" s="86">
        <f>$I$20*$Y$20</f>
        <v>0</v>
      </c>
      <c r="Z72" s="86">
        <f>$I$20*$Z$20</f>
        <v>0</v>
      </c>
      <c r="AA72" s="86">
        <f>$I$20*$AA$20</f>
        <v>14220528.119828934</v>
      </c>
      <c r="AB72" s="86">
        <f ca="1">$I$20*$AB$20</f>
        <v>0</v>
      </c>
      <c r="AC72" s="86">
        <f ca="1">$I$20*$AC$20</f>
        <v>0</v>
      </c>
      <c r="AD72" s="86">
        <f>$I$20*$AD$20</f>
        <v>1204768.9249190495</v>
      </c>
      <c r="AE72" s="86">
        <f>$I$20*$AE$20</f>
        <v>0</v>
      </c>
      <c r="AF72" s="86">
        <f ca="1">$I$20*$AF$20</f>
        <v>112091.33201515311</v>
      </c>
      <c r="AG72" s="86">
        <f ca="1">$I$20*$AG$20</f>
        <v>0</v>
      </c>
      <c r="AI72" s="86">
        <f>$I$20*$AI$20</f>
        <v>0</v>
      </c>
      <c r="AJ72" s="86">
        <f>$I$20*$AJ$20</f>
        <v>65425.229987029481</v>
      </c>
      <c r="AK72" s="86">
        <f>$I$20*$AK$20</f>
        <v>6.6064091018559493E-5</v>
      </c>
      <c r="AL72" s="86">
        <f>$I$20*$AL$20</f>
        <v>0</v>
      </c>
      <c r="AM72" s="86">
        <f>$I$20*$AM$20</f>
        <v>0</v>
      </c>
      <c r="AN72" s="86">
        <f>$I$20*$AN$20</f>
        <v>2183307.6859438303</v>
      </c>
      <c r="AO72" s="86">
        <f>$I$20*$AO$20</f>
        <v>244532.0432645352</v>
      </c>
      <c r="AP72" s="86">
        <f>$I$20*$AP$20</f>
        <v>0</v>
      </c>
      <c r="AQ72" s="86">
        <f>$I$20*$AQ$20</f>
        <v>0</v>
      </c>
      <c r="AR72" s="86">
        <f>$I$20*$AR$20</f>
        <v>0</v>
      </c>
      <c r="AS72" s="86">
        <f>$I$20*$AS$20</f>
        <v>0</v>
      </c>
      <c r="AT72" s="86">
        <f>$I$20*$AT$20</f>
        <v>0</v>
      </c>
      <c r="AU72" s="86">
        <f>$I$20*$AU$20</f>
        <v>5025940.8144818135</v>
      </c>
      <c r="AV72" s="86">
        <f>$I$20*$AV$20</f>
        <v>0</v>
      </c>
      <c r="AW72" s="86">
        <f>$I$20*$AW$20</f>
        <v>0</v>
      </c>
      <c r="AX72" s="86">
        <f>$I$20*$AX$20</f>
        <v>12092237.192425411</v>
      </c>
      <c r="AY72" s="86">
        <f>$I$20*$AY$20</f>
        <v>225603.6545210598</v>
      </c>
      <c r="AZ72" s="86">
        <f>$I$20*$AZ$20</f>
        <v>0</v>
      </c>
      <c r="BA72" s="86">
        <f>$I$20*$BA$20</f>
        <v>1039255.1440354431</v>
      </c>
      <c r="BB72" s="86">
        <f>$I$20*$BB$20</f>
        <v>0</v>
      </c>
      <c r="BC72" s="86">
        <f>$I$20*$BC$20</f>
        <v>130685.92880439501</v>
      </c>
      <c r="BD72" s="86">
        <f>$I$20*$BD$20</f>
        <v>0</v>
      </c>
    </row>
    <row r="73" spans="1:56" ht="11.25" customHeight="1" x14ac:dyDescent="0.25">
      <c r="A73" s="9" t="s">
        <v>22</v>
      </c>
      <c r="B73" s="9" t="s">
        <v>794</v>
      </c>
      <c r="C73" s="9" t="s">
        <v>795</v>
      </c>
      <c r="D73" s="9" t="s">
        <v>800</v>
      </c>
      <c r="E73" s="9" t="s">
        <v>801</v>
      </c>
      <c r="F73" s="9" t="s">
        <v>802</v>
      </c>
      <c r="G73" s="9" t="s">
        <v>803</v>
      </c>
      <c r="L73" s="86">
        <f>$I$21*$L$21</f>
        <v>0</v>
      </c>
      <c r="M73" s="86">
        <f>$I$21*$M$21</f>
        <v>254.04722639497851</v>
      </c>
      <c r="N73" s="86">
        <f ca="1">$I$21*$N$21</f>
        <v>0</v>
      </c>
      <c r="O73" s="86">
        <f>$I$21*$O$21</f>
        <v>0</v>
      </c>
      <c r="P73" s="86">
        <f>$I$21*$P$21</f>
        <v>0</v>
      </c>
      <c r="Q73" s="86">
        <f>$I$21*$Q$21</f>
        <v>0</v>
      </c>
      <c r="R73" s="86">
        <f>$I$21*$R$21</f>
        <v>0</v>
      </c>
      <c r="S73" s="86">
        <f>$I$21*$S$21</f>
        <v>0</v>
      </c>
      <c r="T73" s="86">
        <f>$I$21*$T$21</f>
        <v>0</v>
      </c>
      <c r="U73" s="86">
        <f>$I$21*$U$21</f>
        <v>0</v>
      </c>
      <c r="V73" s="86">
        <f>$I$21*$V$21</f>
        <v>0</v>
      </c>
      <c r="W73" s="86">
        <f>$I$21*$W$21</f>
        <v>0</v>
      </c>
      <c r="X73" s="86">
        <f>$I$21*$X$21</f>
        <v>19543.573064869681</v>
      </c>
      <c r="Y73" s="86">
        <f>$I$21*$Y$21</f>
        <v>0</v>
      </c>
      <c r="Z73" s="86">
        <f>$I$21*$Z$21</f>
        <v>0</v>
      </c>
      <c r="AA73" s="86">
        <f>$I$21*$AA$21</f>
        <v>42191.775877897919</v>
      </c>
      <c r="AB73" s="86">
        <f ca="1">$I$21*$AB$21</f>
        <v>0</v>
      </c>
      <c r="AC73" s="86">
        <f ca="1">$I$21*$AC$21</f>
        <v>0</v>
      </c>
      <c r="AD73" s="86">
        <f>$I$21*$AD$21</f>
        <v>3574.5044091549562</v>
      </c>
      <c r="AE73" s="86">
        <f>$I$21*$AE$21</f>
        <v>0</v>
      </c>
      <c r="AF73" s="86">
        <f ca="1">$I$21*$AF$21</f>
        <v>332.57079613265978</v>
      </c>
      <c r="AG73" s="86">
        <f ca="1">$I$21*$AG$21</f>
        <v>0</v>
      </c>
      <c r="AI73" s="86">
        <f>$I$21*$AI$21</f>
        <v>0</v>
      </c>
      <c r="AJ73" s="86">
        <f>$I$21*$AJ$21</f>
        <v>194.11421412145739</v>
      </c>
      <c r="AK73" s="86">
        <f>$I$21*$AK$21</f>
        <v>1.9574547371898921E-7</v>
      </c>
      <c r="AL73" s="86">
        <f>$I$21*$AL$21</f>
        <v>0</v>
      </c>
      <c r="AM73" s="86">
        <f>$I$21*$AM$21</f>
        <v>0</v>
      </c>
      <c r="AN73" s="86">
        <f>$I$21*$AN$21</f>
        <v>0</v>
      </c>
      <c r="AO73" s="86">
        <f>$I$21*$AO$21</f>
        <v>0</v>
      </c>
      <c r="AP73" s="86">
        <f>$I$21*$AP$21</f>
        <v>0</v>
      </c>
      <c r="AQ73" s="86">
        <f>$I$21*$AQ$21</f>
        <v>0</v>
      </c>
      <c r="AR73" s="86">
        <f>$I$21*$AR$21</f>
        <v>0</v>
      </c>
      <c r="AS73" s="86">
        <f>$I$21*$AS$21</f>
        <v>0</v>
      </c>
      <c r="AT73" s="86">
        <f>$I$21*$AT$21</f>
        <v>0</v>
      </c>
      <c r="AU73" s="86">
        <f>$I$21*$AU$21</f>
        <v>14911.778707044768</v>
      </c>
      <c r="AV73" s="86">
        <f>$I$21*$AV$21</f>
        <v>0</v>
      </c>
      <c r="AW73" s="86">
        <f>$I$21*$AW$21</f>
        <v>0</v>
      </c>
      <c r="AX73" s="86">
        <f>$I$21*$AX$21</f>
        <v>35877.216175522117</v>
      </c>
      <c r="AY73" s="86">
        <f>$I$21*$AY$21</f>
        <v>596.90717141620223</v>
      </c>
      <c r="AZ73" s="86">
        <f>$I$21*$AZ$21</f>
        <v>0</v>
      </c>
      <c r="BA73" s="86">
        <f>$I$21*$BA$21</f>
        <v>3083.4312022459185</v>
      </c>
      <c r="BB73" s="86">
        <f>$I$21*$BB$21</f>
        <v>0</v>
      </c>
      <c r="BC73" s="86">
        <f>$I$21*$BC$21</f>
        <v>387.74027040679914</v>
      </c>
      <c r="BD73" s="86">
        <f>$I$21*$BD$21</f>
        <v>0</v>
      </c>
    </row>
    <row r="74" spans="1:56" ht="11.25" customHeight="1" x14ac:dyDescent="0.25">
      <c r="A74" s="9" t="s">
        <v>22</v>
      </c>
      <c r="B74" s="9" t="s">
        <v>794</v>
      </c>
      <c r="C74" s="9" t="s">
        <v>795</v>
      </c>
      <c r="D74" s="9" t="s">
        <v>804</v>
      </c>
      <c r="E74" s="9" t="s">
        <v>805</v>
      </c>
      <c r="F74" s="9" t="s">
        <v>806</v>
      </c>
      <c r="G74" s="9" t="s">
        <v>807</v>
      </c>
      <c r="L74" s="86">
        <f>$I$22*$L$22</f>
        <v>0</v>
      </c>
      <c r="M74" s="86">
        <f>$I$22*$M$22</f>
        <v>886.50327678363692</v>
      </c>
      <c r="N74" s="86">
        <f ca="1">$I$22*$N$22</f>
        <v>0</v>
      </c>
      <c r="O74" s="86">
        <f>$I$22*$O$22</f>
        <v>0</v>
      </c>
      <c r="P74" s="86">
        <f>$I$22*$P$22</f>
        <v>0</v>
      </c>
      <c r="Q74" s="86">
        <f>$I$22*$Q$22</f>
        <v>0</v>
      </c>
      <c r="R74" s="86">
        <f>$I$22*$R$22</f>
        <v>0</v>
      </c>
      <c r="S74" s="86">
        <f>$I$22*$S$22</f>
        <v>0</v>
      </c>
      <c r="T74" s="86">
        <f>$I$22*$T$22</f>
        <v>0</v>
      </c>
      <c r="U74" s="86">
        <f>$I$22*$U$22</f>
        <v>0</v>
      </c>
      <c r="V74" s="86">
        <f>$I$22*$V$22</f>
        <v>0</v>
      </c>
      <c r="W74" s="86">
        <f>$I$22*$W$22</f>
        <v>0</v>
      </c>
      <c r="X74" s="86">
        <f>$I$22*$X$22</f>
        <v>68197.719801635496</v>
      </c>
      <c r="Y74" s="86">
        <f>$I$22*$Y$22</f>
        <v>0</v>
      </c>
      <c r="Z74" s="86">
        <f>$I$22*$Z$22</f>
        <v>0</v>
      </c>
      <c r="AA74" s="86">
        <f>$I$22*$AA$22</f>
        <v>147229.11208219599</v>
      </c>
      <c r="AB74" s="86">
        <f ca="1">$I$22*$AB$22</f>
        <v>0</v>
      </c>
      <c r="AC74" s="86">
        <f ca="1">$I$22*$AC$22</f>
        <v>0</v>
      </c>
      <c r="AD74" s="86">
        <f>$I$22*$AD$22</f>
        <v>12473.310244555621</v>
      </c>
      <c r="AE74" s="86">
        <f>$I$22*$AE$22</f>
        <v>0</v>
      </c>
      <c r="AF74" s="86">
        <f ca="1">$I$22*$AF$22</f>
        <v>1160.5129672849414</v>
      </c>
      <c r="AG74" s="86">
        <f ca="1">$I$22*$AG$22</f>
        <v>0</v>
      </c>
      <c r="AI74" s="86">
        <f>$I$22*$AI$22</f>
        <v>0</v>
      </c>
      <c r="AJ74" s="86">
        <f>$I$22*$AJ$22</f>
        <v>677.36573758694669</v>
      </c>
      <c r="AK74" s="86">
        <f>$I$22*$AK$22</f>
        <v>6.8305805314188401E-7</v>
      </c>
      <c r="AL74" s="86">
        <f>$I$22*$AL$22</f>
        <v>0</v>
      </c>
      <c r="AM74" s="86">
        <f>$I$22*$AM$22</f>
        <v>0</v>
      </c>
      <c r="AN74" s="86">
        <f>$I$22*$AN$22</f>
        <v>0</v>
      </c>
      <c r="AO74" s="86">
        <f>$I$22*$AO$22</f>
        <v>0</v>
      </c>
      <c r="AP74" s="86">
        <f>$I$22*$AP$22</f>
        <v>0</v>
      </c>
      <c r="AQ74" s="86">
        <f>$I$22*$AQ$22</f>
        <v>0</v>
      </c>
      <c r="AR74" s="86">
        <f>$I$22*$AR$22</f>
        <v>0</v>
      </c>
      <c r="AS74" s="86">
        <f>$I$22*$AS$22</f>
        <v>0</v>
      </c>
      <c r="AT74" s="86">
        <f>$I$22*$AT$22</f>
        <v>0</v>
      </c>
      <c r="AU74" s="86">
        <f>$I$22*$AU$22</f>
        <v>52034.973473455495</v>
      </c>
      <c r="AV74" s="86">
        <f>$I$22*$AV$22</f>
        <v>0</v>
      </c>
      <c r="AW74" s="86">
        <f>$I$22*$AW$22</f>
        <v>0</v>
      </c>
      <c r="AX74" s="86">
        <f>$I$22*$AX$22</f>
        <v>125194.31978378007</v>
      </c>
      <c r="AY74" s="86">
        <f>$I$22*$AY$22</f>
        <v>2082.920451071589</v>
      </c>
      <c r="AZ74" s="86">
        <f>$I$22*$AZ$22</f>
        <v>0</v>
      </c>
      <c r="BA74" s="86">
        <f>$I$22*$BA$22</f>
        <v>10759.699695670208</v>
      </c>
      <c r="BB74" s="86">
        <f>$I$22*$BB$22</f>
        <v>0</v>
      </c>
      <c r="BC74" s="86">
        <f>$I$22*$BC$22</f>
        <v>1353.028037874278</v>
      </c>
      <c r="BD74" s="86">
        <f>$I$22*$BD$22</f>
        <v>0</v>
      </c>
    </row>
    <row r="75" spans="1:56" ht="11.25" customHeight="1" x14ac:dyDescent="0.25">
      <c r="A75" s="9" t="s">
        <v>22</v>
      </c>
      <c r="B75" s="9" t="s">
        <v>794</v>
      </c>
      <c r="C75" s="9" t="s">
        <v>795</v>
      </c>
      <c r="D75" s="9" t="s">
        <v>808</v>
      </c>
      <c r="E75" s="9" t="s">
        <v>809</v>
      </c>
      <c r="F75" s="9" t="s">
        <v>810</v>
      </c>
      <c r="G75" s="9" t="s">
        <v>811</v>
      </c>
      <c r="L75" s="86">
        <f>$I$23*$L$23</f>
        <v>0</v>
      </c>
      <c r="M75" s="86">
        <f>$I$23*$M$23</f>
        <v>1063.7190499612932</v>
      </c>
      <c r="N75" s="86">
        <f ca="1">$I$23*$N$23</f>
        <v>0</v>
      </c>
      <c r="O75" s="86">
        <f>$I$23*$O$23</f>
        <v>0</v>
      </c>
      <c r="P75" s="86">
        <f>$I$23*$P$23</f>
        <v>0</v>
      </c>
      <c r="Q75" s="86">
        <f>$I$23*$Q$23</f>
        <v>0</v>
      </c>
      <c r="R75" s="86">
        <f>$I$23*$R$23</f>
        <v>0</v>
      </c>
      <c r="S75" s="86">
        <f>$I$23*$S$23</f>
        <v>0</v>
      </c>
      <c r="T75" s="86">
        <f>$I$23*$T$23</f>
        <v>0</v>
      </c>
      <c r="U75" s="86">
        <f>$I$23*$U$23</f>
        <v>0</v>
      </c>
      <c r="V75" s="86">
        <f>$I$23*$V$23</f>
        <v>0</v>
      </c>
      <c r="W75" s="86">
        <f>$I$23*$W$23</f>
        <v>0</v>
      </c>
      <c r="X75" s="86">
        <f>$I$23*$X$23</f>
        <v>81830.733869500764</v>
      </c>
      <c r="Y75" s="86">
        <f>$I$23*$Y$23</f>
        <v>0</v>
      </c>
      <c r="Z75" s="86">
        <f>$I$23*$Z$23</f>
        <v>0</v>
      </c>
      <c r="AA75" s="86">
        <f>$I$23*$AA$23</f>
        <v>176660.83739580036</v>
      </c>
      <c r="AB75" s="86">
        <f ca="1">$I$23*$AB$23</f>
        <v>0</v>
      </c>
      <c r="AC75" s="86">
        <f ca="1">$I$23*$AC$23</f>
        <v>0</v>
      </c>
      <c r="AD75" s="86">
        <f>$I$23*$AD$23</f>
        <v>14966.77798118216</v>
      </c>
      <c r="AE75" s="86">
        <f>$I$23*$AE$23</f>
        <v>0</v>
      </c>
      <c r="AF75" s="86">
        <f ca="1">$I$23*$AF$23</f>
        <v>1392.5044422925303</v>
      </c>
      <c r="AG75" s="86">
        <f ca="1">$I$23*$AG$23</f>
        <v>0</v>
      </c>
      <c r="AI75" s="86">
        <f>$I$23*$AI$23</f>
        <v>0</v>
      </c>
      <c r="AJ75" s="86">
        <f>$I$23*$AJ$23</f>
        <v>812.77402772440075</v>
      </c>
      <c r="AK75" s="86">
        <f>$I$23*$AK$23</f>
        <v>8.1960426135438573E-7</v>
      </c>
      <c r="AL75" s="86">
        <f>$I$23*$AL$23</f>
        <v>0</v>
      </c>
      <c r="AM75" s="86">
        <f>$I$23*$AM$23</f>
        <v>0</v>
      </c>
      <c r="AN75" s="86">
        <f>$I$23*$AN$23</f>
        <v>0</v>
      </c>
      <c r="AO75" s="86">
        <f>$I$23*$AO$23</f>
        <v>0</v>
      </c>
      <c r="AP75" s="86">
        <f>$I$23*$AP$23</f>
        <v>0</v>
      </c>
      <c r="AQ75" s="86">
        <f>$I$23*$AQ$23</f>
        <v>0</v>
      </c>
      <c r="AR75" s="86">
        <f>$I$23*$AR$23</f>
        <v>0</v>
      </c>
      <c r="AS75" s="86">
        <f>$I$23*$AS$23</f>
        <v>0</v>
      </c>
      <c r="AT75" s="86">
        <f>$I$23*$AT$23</f>
        <v>0</v>
      </c>
      <c r="AU75" s="86">
        <f>$I$23*$AU$23</f>
        <v>62436.985849353186</v>
      </c>
      <c r="AV75" s="86">
        <f>$I$23*$AV$23</f>
        <v>0</v>
      </c>
      <c r="AW75" s="86">
        <f>$I$23*$AW$23</f>
        <v>0</v>
      </c>
      <c r="AX75" s="86">
        <f>$I$23*$AX$23</f>
        <v>150221.19645639541</v>
      </c>
      <c r="AY75" s="86">
        <f>$I$23*$AY$23</f>
        <v>2499.3051028502618</v>
      </c>
      <c r="AZ75" s="86">
        <f>$I$23*$AZ$23</f>
        <v>0</v>
      </c>
      <c r="BA75" s="86">
        <f>$I$23*$BA$23</f>
        <v>12910.609399744524</v>
      </c>
      <c r="BB75" s="86">
        <f>$I$23*$BB$23</f>
        <v>0</v>
      </c>
      <c r="BC75" s="86">
        <f>$I$23*$BC$23</f>
        <v>1623.5040937924123</v>
      </c>
      <c r="BD75" s="86">
        <f>$I$23*$BD$23</f>
        <v>0</v>
      </c>
    </row>
    <row r="76" spans="1:56" ht="11.25" customHeight="1" x14ac:dyDescent="0.25">
      <c r="A76" s="9" t="s">
        <v>22</v>
      </c>
      <c r="B76" s="9" t="s">
        <v>794</v>
      </c>
      <c r="C76" s="9" t="s">
        <v>795</v>
      </c>
      <c r="D76" s="9" t="s">
        <v>812</v>
      </c>
      <c r="E76" s="9" t="s">
        <v>813</v>
      </c>
      <c r="F76" s="9" t="s">
        <v>814</v>
      </c>
      <c r="G76" s="9" t="s">
        <v>815</v>
      </c>
      <c r="L76" s="86">
        <f>$I$24*$L$24</f>
        <v>0</v>
      </c>
      <c r="M76" s="86">
        <f>$I$24*$M$24</f>
        <v>264.03267162740207</v>
      </c>
      <c r="N76" s="86">
        <f ca="1">$I$24*$N$24</f>
        <v>0</v>
      </c>
      <c r="O76" s="86">
        <f>$I$24*$O$24</f>
        <v>0</v>
      </c>
      <c r="P76" s="86">
        <f>$I$24*$P$24</f>
        <v>0</v>
      </c>
      <c r="Q76" s="86">
        <f>$I$24*$Q$24</f>
        <v>0</v>
      </c>
      <c r="R76" s="86">
        <f>$I$24*$R$24</f>
        <v>0</v>
      </c>
      <c r="S76" s="86">
        <f>$I$24*$S$24</f>
        <v>0</v>
      </c>
      <c r="T76" s="86">
        <f>$I$24*$T$24</f>
        <v>0</v>
      </c>
      <c r="U76" s="86">
        <f>$I$24*$U$24</f>
        <v>0</v>
      </c>
      <c r="V76" s="86">
        <f>$I$24*$V$24</f>
        <v>0</v>
      </c>
      <c r="W76" s="86">
        <f>$I$24*$W$24</f>
        <v>0</v>
      </c>
      <c r="X76" s="86">
        <f>$I$24*$X$24</f>
        <v>20311.742358643878</v>
      </c>
      <c r="Y76" s="86">
        <f>$I$24*$Y$24</f>
        <v>0</v>
      </c>
      <c r="Z76" s="86">
        <f>$I$24*$Z$24</f>
        <v>0</v>
      </c>
      <c r="AA76" s="86">
        <f>$I$24*$AA$24</f>
        <v>43850.143391945952</v>
      </c>
      <c r="AB76" s="86">
        <f ca="1">$I$24*$AB$24</f>
        <v>0</v>
      </c>
      <c r="AC76" s="86">
        <f ca="1">$I$24*$AC$24</f>
        <v>0</v>
      </c>
      <c r="AD76" s="86">
        <f>$I$24*$AD$24</f>
        <v>3715.001979300358</v>
      </c>
      <c r="AE76" s="86">
        <f>$I$24*$AE$24</f>
        <v>0</v>
      </c>
      <c r="AF76" s="86">
        <f ca="1">$I$24*$AF$24</f>
        <v>345.6426470550669</v>
      </c>
      <c r="AG76" s="86">
        <f ca="1">$I$24*$AG$24</f>
        <v>0</v>
      </c>
      <c r="AI76" s="86">
        <f>$I$24*$AI$24</f>
        <v>0</v>
      </c>
      <c r="AJ76" s="86">
        <f>$I$24*$AJ$24</f>
        <v>201.74396423308059</v>
      </c>
      <c r="AK76" s="86">
        <f>$I$24*$AK$24</f>
        <v>2.0343934125319638E-7</v>
      </c>
      <c r="AL76" s="86">
        <f>$I$24*$AL$24</f>
        <v>0</v>
      </c>
      <c r="AM76" s="86">
        <f>$I$24*$AM$24</f>
        <v>0</v>
      </c>
      <c r="AN76" s="86">
        <f>$I$24*$AN$24</f>
        <v>0</v>
      </c>
      <c r="AO76" s="86">
        <f>$I$24*$AO$24</f>
        <v>0</v>
      </c>
      <c r="AP76" s="86">
        <f>$I$24*$AP$24</f>
        <v>0</v>
      </c>
      <c r="AQ76" s="86">
        <f>$I$24*$AQ$24</f>
        <v>0</v>
      </c>
      <c r="AR76" s="86">
        <f>$I$24*$AR$24</f>
        <v>0</v>
      </c>
      <c r="AS76" s="86">
        <f>$I$24*$AS$24</f>
        <v>0</v>
      </c>
      <c r="AT76" s="86">
        <f>$I$24*$AT$24</f>
        <v>0</v>
      </c>
      <c r="AU76" s="86">
        <f>$I$24*$AU$24</f>
        <v>15497.893153992958</v>
      </c>
      <c r="AV76" s="86">
        <f>$I$24*$AV$24</f>
        <v>0</v>
      </c>
      <c r="AW76" s="86">
        <f>$I$24*$AW$24</f>
        <v>0</v>
      </c>
      <c r="AX76" s="86">
        <f>$I$24*$AX$24</f>
        <v>37287.386962647826</v>
      </c>
      <c r="AY76" s="86">
        <f>$I$24*$AY$24</f>
        <v>620.36888738766652</v>
      </c>
      <c r="AZ76" s="86">
        <f>$I$24*$AZ$24</f>
        <v>0</v>
      </c>
      <c r="BA76" s="86">
        <f>$I$24*$BA$24</f>
        <v>3204.6269099687861</v>
      </c>
      <c r="BB76" s="86">
        <f>$I$24*$BB$24</f>
        <v>0</v>
      </c>
      <c r="BC76" s="86">
        <f>$I$24*$BC$24</f>
        <v>402.98058335763818</v>
      </c>
      <c r="BD76" s="86">
        <f>$I$24*$BD$24</f>
        <v>0</v>
      </c>
    </row>
    <row r="77" spans="1:56" ht="11.25" customHeight="1" x14ac:dyDescent="0.25">
      <c r="A77" s="9" t="s">
        <v>22</v>
      </c>
      <c r="B77" s="9" t="s">
        <v>816</v>
      </c>
      <c r="C77" s="9" t="s">
        <v>817</v>
      </c>
      <c r="D77" s="9" t="s">
        <v>818</v>
      </c>
      <c r="E77" s="9" t="s">
        <v>819</v>
      </c>
      <c r="F77" s="9" t="s">
        <v>820</v>
      </c>
      <c r="G77" s="9" t="s">
        <v>821</v>
      </c>
      <c r="L77" s="86">
        <f>$I$25*$L$25</f>
        <v>0</v>
      </c>
      <c r="M77" s="86">
        <f>$I$25*$M$25</f>
        <v>0</v>
      </c>
      <c r="N77" s="86">
        <f ca="1">$I$25*$N$25</f>
        <v>0</v>
      </c>
      <c r="O77" s="86">
        <f>$I$25*$O$25</f>
        <v>0</v>
      </c>
      <c r="P77" s="86">
        <f>$I$25*$P$25</f>
        <v>0</v>
      </c>
      <c r="Q77" s="86">
        <f>$I$25*$Q$25</f>
        <v>0</v>
      </c>
      <c r="R77" s="86">
        <f>$I$25*$R$25</f>
        <v>0</v>
      </c>
      <c r="S77" s="86">
        <f>$I$25*$S$25</f>
        <v>0</v>
      </c>
      <c r="T77" s="86">
        <f>$I$25*$T$25</f>
        <v>0</v>
      </c>
      <c r="U77" s="86">
        <f>$I$25*$U$25</f>
        <v>0</v>
      </c>
      <c r="V77" s="86">
        <f>$I$25*$V$25</f>
        <v>0</v>
      </c>
      <c r="W77" s="86">
        <f>$I$25*$W$25</f>
        <v>0</v>
      </c>
      <c r="X77" s="86">
        <f>$I$25*$X$25</f>
        <v>0</v>
      </c>
      <c r="Y77" s="86">
        <f>$I$25*$Y$25</f>
        <v>0</v>
      </c>
      <c r="Z77" s="86">
        <f>$I$25*$Z$25</f>
        <v>0</v>
      </c>
      <c r="AA77" s="86">
        <f>$I$25*$AA$25</f>
        <v>0</v>
      </c>
      <c r="AB77" s="86">
        <f ca="1">$I$25*$AB$25</f>
        <v>0</v>
      </c>
      <c r="AC77" s="86">
        <f ca="1">$I$25*$AC$25</f>
        <v>0</v>
      </c>
      <c r="AD77" s="86">
        <f>$I$25*$AD$25</f>
        <v>0</v>
      </c>
      <c r="AE77" s="86">
        <f>$I$25*$AE$25</f>
        <v>0</v>
      </c>
      <c r="AF77" s="86">
        <f ca="1">$I$25*$AF$25</f>
        <v>0</v>
      </c>
      <c r="AG77" s="86">
        <f ca="1">$I$25*$AG$25</f>
        <v>0</v>
      </c>
      <c r="AI77" s="86">
        <f>$I$25*$AI$25</f>
        <v>0</v>
      </c>
      <c r="AJ77" s="86">
        <f>$I$25*$AJ$25</f>
        <v>0</v>
      </c>
      <c r="AK77" s="86">
        <f>$I$25*$AK$25</f>
        <v>0</v>
      </c>
      <c r="AL77" s="86">
        <f>$I$25*$AL$25</f>
        <v>0</v>
      </c>
      <c r="AM77" s="86">
        <f>$I$25*$AM$25</f>
        <v>0</v>
      </c>
      <c r="AN77" s="86">
        <f>$I$25*$AN$25</f>
        <v>0</v>
      </c>
      <c r="AO77" s="86">
        <f>$I$25*$AO$25</f>
        <v>0</v>
      </c>
      <c r="AP77" s="86">
        <f>$I$25*$AP$25</f>
        <v>0</v>
      </c>
      <c r="AQ77" s="86">
        <f>$I$25*$AQ$25</f>
        <v>0</v>
      </c>
      <c r="AR77" s="86">
        <f>$I$25*$AR$25</f>
        <v>0</v>
      </c>
      <c r="AS77" s="86">
        <f>$I$25*$AS$25</f>
        <v>0</v>
      </c>
      <c r="AT77" s="86">
        <f>$I$25*$AT$25</f>
        <v>0</v>
      </c>
      <c r="AU77" s="86">
        <f>$I$25*$AU$25</f>
        <v>0</v>
      </c>
      <c r="AV77" s="86">
        <f>$I$25*$AV$25</f>
        <v>0</v>
      </c>
      <c r="AW77" s="86">
        <f>$I$25*$AW$25</f>
        <v>0</v>
      </c>
      <c r="AX77" s="86">
        <f>$I$25*$AX$25</f>
        <v>0</v>
      </c>
      <c r="AY77" s="86">
        <f>$I$25*$AY$25</f>
        <v>0</v>
      </c>
      <c r="AZ77" s="86">
        <f>$I$25*$AZ$25</f>
        <v>0</v>
      </c>
      <c r="BA77" s="86">
        <f>$I$25*$BA$25</f>
        <v>0</v>
      </c>
      <c r="BB77" s="86">
        <f>$I$25*$BB$25</f>
        <v>0</v>
      </c>
      <c r="BC77" s="86">
        <f>$I$25*$BC$25</f>
        <v>0</v>
      </c>
      <c r="BD77" s="86">
        <f>$I$25*$BD$25</f>
        <v>0</v>
      </c>
    </row>
    <row r="78" spans="1:56" ht="11.25" customHeight="1" x14ac:dyDescent="0.25">
      <c r="A78" s="9" t="s">
        <v>22</v>
      </c>
      <c r="B78" s="9" t="s">
        <v>816</v>
      </c>
      <c r="C78" s="9" t="s">
        <v>817</v>
      </c>
      <c r="D78" s="9" t="s">
        <v>822</v>
      </c>
      <c r="E78" s="9" t="s">
        <v>823</v>
      </c>
      <c r="F78" s="9" t="s">
        <v>824</v>
      </c>
      <c r="G78" s="9" t="s">
        <v>825</v>
      </c>
      <c r="L78" s="86">
        <f>$I$26*$L$26</f>
        <v>0</v>
      </c>
      <c r="M78" s="86">
        <f>$I$26*$M$26</f>
        <v>0</v>
      </c>
      <c r="N78" s="86">
        <f ca="1">$I$26*$N$26</f>
        <v>0</v>
      </c>
      <c r="O78" s="86">
        <f>$I$26*$O$26</f>
        <v>0</v>
      </c>
      <c r="P78" s="86">
        <f>$I$26*$P$26</f>
        <v>0</v>
      </c>
      <c r="Q78" s="86">
        <f>$I$26*$Q$26</f>
        <v>0</v>
      </c>
      <c r="R78" s="86">
        <f>$I$26*$R$26</f>
        <v>0</v>
      </c>
      <c r="S78" s="86">
        <f>$I$26*$S$26</f>
        <v>0</v>
      </c>
      <c r="T78" s="86">
        <f>$I$26*$T$26</f>
        <v>0</v>
      </c>
      <c r="U78" s="86">
        <f>$I$26*$U$26</f>
        <v>0</v>
      </c>
      <c r="V78" s="86">
        <f>$I$26*$V$26</f>
        <v>0</v>
      </c>
      <c r="W78" s="86">
        <f>$I$26*$W$26</f>
        <v>0</v>
      </c>
      <c r="X78" s="86">
        <f>$I$26*$X$26</f>
        <v>0</v>
      </c>
      <c r="Y78" s="86">
        <f>$I$26*$Y$26</f>
        <v>0</v>
      </c>
      <c r="Z78" s="86">
        <f>$I$26*$Z$26</f>
        <v>0</v>
      </c>
      <c r="AA78" s="86">
        <f>$I$26*$AA$26</f>
        <v>0</v>
      </c>
      <c r="AB78" s="86">
        <f ca="1">$I$26*$AB$26</f>
        <v>0</v>
      </c>
      <c r="AC78" s="86">
        <f ca="1">$I$26*$AC$26</f>
        <v>0</v>
      </c>
      <c r="AD78" s="86">
        <f>$I$26*$AD$26</f>
        <v>0</v>
      </c>
      <c r="AE78" s="86">
        <f>$I$26*$AE$26</f>
        <v>0</v>
      </c>
      <c r="AF78" s="86">
        <f ca="1">$I$26*$AF$26</f>
        <v>0</v>
      </c>
      <c r="AG78" s="86">
        <f ca="1">$I$26*$AG$26</f>
        <v>0</v>
      </c>
      <c r="AI78" s="86">
        <f>$I$26*$AI$26</f>
        <v>0</v>
      </c>
      <c r="AJ78" s="86">
        <f>$I$26*$AJ$26</f>
        <v>0</v>
      </c>
      <c r="AK78" s="86">
        <f>$I$26*$AK$26</f>
        <v>0</v>
      </c>
      <c r="AL78" s="86">
        <f>$I$26*$AL$26</f>
        <v>0</v>
      </c>
      <c r="AM78" s="86">
        <f>$I$26*$AM$26</f>
        <v>0</v>
      </c>
      <c r="AN78" s="86">
        <f>$I$26*$AN$26</f>
        <v>0</v>
      </c>
      <c r="AO78" s="86">
        <f>$I$26*$AO$26</f>
        <v>0</v>
      </c>
      <c r="AP78" s="86">
        <f>$I$26*$AP$26</f>
        <v>0</v>
      </c>
      <c r="AQ78" s="86">
        <f>$I$26*$AQ$26</f>
        <v>0</v>
      </c>
      <c r="AR78" s="86">
        <f>$I$26*$AR$26</f>
        <v>0</v>
      </c>
      <c r="AS78" s="86">
        <f>$I$26*$AS$26</f>
        <v>0</v>
      </c>
      <c r="AT78" s="86">
        <f>$I$26*$AT$26</f>
        <v>0</v>
      </c>
      <c r="AU78" s="86">
        <f>$I$26*$AU$26</f>
        <v>0</v>
      </c>
      <c r="AV78" s="86">
        <f>$I$26*$AV$26</f>
        <v>0</v>
      </c>
      <c r="AW78" s="86">
        <f>$I$26*$AW$26</f>
        <v>0</v>
      </c>
      <c r="AX78" s="86">
        <f>$I$26*$AX$26</f>
        <v>0</v>
      </c>
      <c r="AY78" s="86">
        <f>$I$26*$AY$26</f>
        <v>0</v>
      </c>
      <c r="AZ78" s="86">
        <f>$I$26*$AZ$26</f>
        <v>0</v>
      </c>
      <c r="BA78" s="86">
        <f>$I$26*$BA$26</f>
        <v>0</v>
      </c>
      <c r="BB78" s="86">
        <f>$I$26*$BB$26</f>
        <v>0</v>
      </c>
      <c r="BC78" s="86">
        <f>$I$26*$BC$26</f>
        <v>0</v>
      </c>
      <c r="BD78" s="86">
        <f>$I$26*$BD$26</f>
        <v>0</v>
      </c>
    </row>
    <row r="79" spans="1:56" ht="11.25" customHeight="1" x14ac:dyDescent="0.25">
      <c r="A79" s="9" t="s">
        <v>22</v>
      </c>
      <c r="B79" s="9" t="s">
        <v>816</v>
      </c>
      <c r="C79" s="9" t="s">
        <v>817</v>
      </c>
      <c r="D79" s="9" t="s">
        <v>826</v>
      </c>
      <c r="E79" s="9" t="s">
        <v>827</v>
      </c>
      <c r="F79" s="9" t="s">
        <v>828</v>
      </c>
      <c r="G79" s="9" t="s">
        <v>829</v>
      </c>
      <c r="L79" s="86">
        <f>$I$27*$L$27</f>
        <v>0</v>
      </c>
      <c r="M79" s="86">
        <f>$I$27*$M$27</f>
        <v>0</v>
      </c>
      <c r="N79" s="86">
        <f ca="1">$I$27*$N$27</f>
        <v>0</v>
      </c>
      <c r="O79" s="86">
        <f>$I$27*$O$27</f>
        <v>0</v>
      </c>
      <c r="P79" s="86">
        <f>$I$27*$P$27</f>
        <v>0</v>
      </c>
      <c r="Q79" s="86">
        <f>$I$27*$Q$27</f>
        <v>0</v>
      </c>
      <c r="R79" s="86">
        <f>$I$27*$R$27</f>
        <v>0</v>
      </c>
      <c r="S79" s="86">
        <f>$I$27*$S$27</f>
        <v>0</v>
      </c>
      <c r="T79" s="86">
        <f>$I$27*$T$27</f>
        <v>0</v>
      </c>
      <c r="U79" s="86">
        <f>$I$27*$U$27</f>
        <v>0</v>
      </c>
      <c r="V79" s="86">
        <f>$I$27*$V$27</f>
        <v>0</v>
      </c>
      <c r="W79" s="86">
        <f>$I$27*$W$27</f>
        <v>0</v>
      </c>
      <c r="X79" s="86">
        <f>$I$27*$X$27</f>
        <v>0</v>
      </c>
      <c r="Y79" s="86">
        <f>$I$27*$Y$27</f>
        <v>0</v>
      </c>
      <c r="Z79" s="86">
        <f>$I$27*$Z$27</f>
        <v>0</v>
      </c>
      <c r="AA79" s="86">
        <f>$I$27*$AA$27</f>
        <v>0</v>
      </c>
      <c r="AB79" s="86">
        <f ca="1">$I$27*$AB$27</f>
        <v>0</v>
      </c>
      <c r="AC79" s="86">
        <f ca="1">$I$27*$AC$27</f>
        <v>0</v>
      </c>
      <c r="AD79" s="86">
        <f>$I$27*$AD$27</f>
        <v>0</v>
      </c>
      <c r="AE79" s="86">
        <f>$I$27*$AE$27</f>
        <v>0</v>
      </c>
      <c r="AF79" s="86">
        <f ca="1">$I$27*$AF$27</f>
        <v>0</v>
      </c>
      <c r="AG79" s="86">
        <f ca="1">$I$27*$AG$27</f>
        <v>0</v>
      </c>
      <c r="AI79" s="86">
        <f>$I$27*$AI$27</f>
        <v>0</v>
      </c>
      <c r="AJ79" s="86">
        <f>$I$27*$AJ$27</f>
        <v>0</v>
      </c>
      <c r="AK79" s="86">
        <f>$I$27*$AK$27</f>
        <v>0</v>
      </c>
      <c r="AL79" s="86">
        <f>$I$27*$AL$27</f>
        <v>0</v>
      </c>
      <c r="AM79" s="86">
        <f>$I$27*$AM$27</f>
        <v>0</v>
      </c>
      <c r="AN79" s="86">
        <f>$I$27*$AN$27</f>
        <v>0</v>
      </c>
      <c r="AO79" s="86">
        <f>$I$27*$AO$27</f>
        <v>0</v>
      </c>
      <c r="AP79" s="86">
        <f>$I$27*$AP$27</f>
        <v>0</v>
      </c>
      <c r="AQ79" s="86">
        <f>$I$27*$AQ$27</f>
        <v>0</v>
      </c>
      <c r="AR79" s="86">
        <f>$I$27*$AR$27</f>
        <v>0</v>
      </c>
      <c r="AS79" s="86">
        <f>$I$27*$AS$27</f>
        <v>0</v>
      </c>
      <c r="AT79" s="86">
        <f>$I$27*$AT$27</f>
        <v>0</v>
      </c>
      <c r="AU79" s="86">
        <f>$I$27*$AU$27</f>
        <v>0</v>
      </c>
      <c r="AV79" s="86">
        <f>$I$27*$AV$27</f>
        <v>0</v>
      </c>
      <c r="AW79" s="86">
        <f>$I$27*$AW$27</f>
        <v>0</v>
      </c>
      <c r="AX79" s="86">
        <f>$I$27*$AX$27</f>
        <v>0</v>
      </c>
      <c r="AY79" s="86">
        <f>$I$27*$AY$27</f>
        <v>0</v>
      </c>
      <c r="AZ79" s="86">
        <f>$I$27*$AZ$27</f>
        <v>0</v>
      </c>
      <c r="BA79" s="86">
        <f>$I$27*$BA$27</f>
        <v>0</v>
      </c>
      <c r="BB79" s="86">
        <f>$I$27*$BB$27</f>
        <v>0</v>
      </c>
      <c r="BC79" s="86">
        <f>$I$27*$BC$27</f>
        <v>0</v>
      </c>
      <c r="BD79" s="86">
        <f>$I$27*$BD$27</f>
        <v>0</v>
      </c>
    </row>
    <row r="80" spans="1:56" ht="11.25" customHeight="1" x14ac:dyDescent="0.25">
      <c r="A80" s="9" t="s">
        <v>22</v>
      </c>
      <c r="B80" s="9" t="s">
        <v>816</v>
      </c>
      <c r="C80" s="9" t="s">
        <v>817</v>
      </c>
      <c r="D80" s="9" t="s">
        <v>830</v>
      </c>
      <c r="E80" s="9" t="s">
        <v>831</v>
      </c>
      <c r="F80" s="9" t="s">
        <v>832</v>
      </c>
      <c r="G80" s="9" t="s">
        <v>833</v>
      </c>
      <c r="L80" s="86">
        <f>$I$28*$L$28</f>
        <v>0</v>
      </c>
      <c r="M80" s="86">
        <f>$I$28*$M$28</f>
        <v>0</v>
      </c>
      <c r="N80" s="86">
        <f ca="1">$I$28*$N$28</f>
        <v>0</v>
      </c>
      <c r="O80" s="86">
        <f>$I$28*$O$28</f>
        <v>0</v>
      </c>
      <c r="P80" s="86">
        <f>$I$28*$P$28</f>
        <v>0</v>
      </c>
      <c r="Q80" s="86">
        <f>$I$28*$Q$28</f>
        <v>0</v>
      </c>
      <c r="R80" s="86">
        <f>$I$28*$R$28</f>
        <v>0</v>
      </c>
      <c r="S80" s="86">
        <f>$I$28*$S$28</f>
        <v>0</v>
      </c>
      <c r="T80" s="86">
        <f>$I$28*$T$28</f>
        <v>0</v>
      </c>
      <c r="U80" s="86">
        <f>$I$28*$U$28</f>
        <v>0</v>
      </c>
      <c r="V80" s="86">
        <f>$I$28*$V$28</f>
        <v>0</v>
      </c>
      <c r="W80" s="86">
        <f>$I$28*$W$28</f>
        <v>0</v>
      </c>
      <c r="X80" s="86">
        <f>$I$28*$X$28</f>
        <v>0</v>
      </c>
      <c r="Y80" s="86">
        <f>$I$28*$Y$28</f>
        <v>0</v>
      </c>
      <c r="Z80" s="86">
        <f>$I$28*$Z$28</f>
        <v>0</v>
      </c>
      <c r="AA80" s="86">
        <f>$I$28*$AA$28</f>
        <v>0</v>
      </c>
      <c r="AB80" s="86">
        <f ca="1">$I$28*$AB$28</f>
        <v>0</v>
      </c>
      <c r="AC80" s="86">
        <f ca="1">$I$28*$AC$28</f>
        <v>0</v>
      </c>
      <c r="AD80" s="86">
        <f>$I$28*$AD$28</f>
        <v>0</v>
      </c>
      <c r="AE80" s="86">
        <f>$I$28*$AE$28</f>
        <v>0</v>
      </c>
      <c r="AF80" s="86">
        <f ca="1">$I$28*$AF$28</f>
        <v>0</v>
      </c>
      <c r="AG80" s="86">
        <f ca="1">$I$28*$AG$28</f>
        <v>0</v>
      </c>
      <c r="AI80" s="86">
        <f>$I$28*$AI$28</f>
        <v>0</v>
      </c>
      <c r="AJ80" s="86">
        <f>$I$28*$AJ$28</f>
        <v>0</v>
      </c>
      <c r="AK80" s="86">
        <f>$I$28*$AK$28</f>
        <v>0</v>
      </c>
      <c r="AL80" s="86">
        <f>$I$28*$AL$28</f>
        <v>0</v>
      </c>
      <c r="AM80" s="86">
        <f>$I$28*$AM$28</f>
        <v>0</v>
      </c>
      <c r="AN80" s="86">
        <f>$I$28*$AN$28</f>
        <v>0</v>
      </c>
      <c r="AO80" s="86">
        <f>$I$28*$AO$28</f>
        <v>0</v>
      </c>
      <c r="AP80" s="86">
        <f>$I$28*$AP$28</f>
        <v>0</v>
      </c>
      <c r="AQ80" s="86">
        <f>$I$28*$AQ$28</f>
        <v>0</v>
      </c>
      <c r="AR80" s="86">
        <f>$I$28*$AR$28</f>
        <v>0</v>
      </c>
      <c r="AS80" s="86">
        <f>$I$28*$AS$28</f>
        <v>0</v>
      </c>
      <c r="AT80" s="86">
        <f>$I$28*$AT$28</f>
        <v>0</v>
      </c>
      <c r="AU80" s="86">
        <f>$I$28*$AU$28</f>
        <v>0</v>
      </c>
      <c r="AV80" s="86">
        <f>$I$28*$AV$28</f>
        <v>0</v>
      </c>
      <c r="AW80" s="86">
        <f>$I$28*$AW$28</f>
        <v>0</v>
      </c>
      <c r="AX80" s="86">
        <f>$I$28*$AX$28</f>
        <v>0</v>
      </c>
      <c r="AY80" s="86">
        <f>$I$28*$AY$28</f>
        <v>0</v>
      </c>
      <c r="AZ80" s="86">
        <f>$I$28*$AZ$28</f>
        <v>0</v>
      </c>
      <c r="BA80" s="86">
        <f>$I$28*$BA$28</f>
        <v>0</v>
      </c>
      <c r="BB80" s="86">
        <f>$I$28*$BB$28</f>
        <v>0</v>
      </c>
      <c r="BC80" s="86">
        <f>$I$28*$BC$28</f>
        <v>0</v>
      </c>
      <c r="BD80" s="86">
        <f>$I$28*$BD$28</f>
        <v>0</v>
      </c>
    </row>
    <row r="81" spans="1:56" ht="11.25" customHeight="1" x14ac:dyDescent="0.25">
      <c r="A81" s="9" t="s">
        <v>22</v>
      </c>
      <c r="B81" s="9" t="s">
        <v>816</v>
      </c>
      <c r="C81" s="9" t="s">
        <v>817</v>
      </c>
      <c r="D81" s="9" t="s">
        <v>834</v>
      </c>
      <c r="E81" s="9" t="s">
        <v>835</v>
      </c>
      <c r="F81" s="9" t="s">
        <v>836</v>
      </c>
      <c r="G81" s="9" t="s">
        <v>837</v>
      </c>
      <c r="L81" s="86">
        <f>$I$29*$L$29</f>
        <v>0</v>
      </c>
      <c r="M81" s="86">
        <f>$I$29*$M$29</f>
        <v>0</v>
      </c>
      <c r="N81" s="86">
        <f ca="1">$I$29*$N$29</f>
        <v>0</v>
      </c>
      <c r="O81" s="86">
        <f>$I$29*$O$29</f>
        <v>0</v>
      </c>
      <c r="P81" s="86">
        <f>$I$29*$P$29</f>
        <v>0</v>
      </c>
      <c r="Q81" s="86">
        <f>$I$29*$Q$29</f>
        <v>0</v>
      </c>
      <c r="R81" s="86">
        <f>$I$29*$R$29</f>
        <v>0</v>
      </c>
      <c r="S81" s="86">
        <f>$I$29*$S$29</f>
        <v>0</v>
      </c>
      <c r="T81" s="86">
        <f>$I$29*$T$29</f>
        <v>0</v>
      </c>
      <c r="U81" s="86">
        <f>$I$29*$U$29</f>
        <v>0</v>
      </c>
      <c r="V81" s="86">
        <f>$I$29*$V$29</f>
        <v>0</v>
      </c>
      <c r="W81" s="86">
        <f>$I$29*$W$29</f>
        <v>0</v>
      </c>
      <c r="X81" s="86">
        <f>$I$29*$X$29</f>
        <v>0</v>
      </c>
      <c r="Y81" s="86">
        <f>$I$29*$Y$29</f>
        <v>0</v>
      </c>
      <c r="Z81" s="86">
        <f>$I$29*$Z$29</f>
        <v>0</v>
      </c>
      <c r="AA81" s="86">
        <f>$I$29*$AA$29</f>
        <v>0</v>
      </c>
      <c r="AB81" s="86">
        <f ca="1">$I$29*$AB$29</f>
        <v>0</v>
      </c>
      <c r="AC81" s="86">
        <f ca="1">$I$29*$AC$29</f>
        <v>0</v>
      </c>
      <c r="AD81" s="86">
        <f>$I$29*$AD$29</f>
        <v>0</v>
      </c>
      <c r="AE81" s="86">
        <f>$I$29*$AE$29</f>
        <v>0</v>
      </c>
      <c r="AF81" s="86">
        <f ca="1">$I$29*$AF$29</f>
        <v>0</v>
      </c>
      <c r="AG81" s="86">
        <f ca="1">$I$29*$AG$29</f>
        <v>0</v>
      </c>
      <c r="AI81" s="86">
        <f>$I$29*$AI$29</f>
        <v>0</v>
      </c>
      <c r="AJ81" s="86">
        <f>$I$29*$AJ$29</f>
        <v>0</v>
      </c>
      <c r="AK81" s="86">
        <f>$I$29*$AK$29</f>
        <v>0</v>
      </c>
      <c r="AL81" s="86">
        <f>$I$29*$AL$29</f>
        <v>0</v>
      </c>
      <c r="AM81" s="86">
        <f>$I$29*$AM$29</f>
        <v>0</v>
      </c>
      <c r="AN81" s="86">
        <f>$I$29*$AN$29</f>
        <v>0</v>
      </c>
      <c r="AO81" s="86">
        <f>$I$29*$AO$29</f>
        <v>0</v>
      </c>
      <c r="AP81" s="86">
        <f>$I$29*$AP$29</f>
        <v>0</v>
      </c>
      <c r="AQ81" s="86">
        <f>$I$29*$AQ$29</f>
        <v>0</v>
      </c>
      <c r="AR81" s="86">
        <f>$I$29*$AR$29</f>
        <v>0</v>
      </c>
      <c r="AS81" s="86">
        <f>$I$29*$AS$29</f>
        <v>0</v>
      </c>
      <c r="AT81" s="86">
        <f>$I$29*$AT$29</f>
        <v>0</v>
      </c>
      <c r="AU81" s="86">
        <f>$I$29*$AU$29</f>
        <v>0</v>
      </c>
      <c r="AV81" s="86">
        <f>$I$29*$AV$29</f>
        <v>0</v>
      </c>
      <c r="AW81" s="86">
        <f>$I$29*$AW$29</f>
        <v>0</v>
      </c>
      <c r="AX81" s="86">
        <f>$I$29*$AX$29</f>
        <v>0</v>
      </c>
      <c r="AY81" s="86">
        <f>$I$29*$AY$29</f>
        <v>0</v>
      </c>
      <c r="AZ81" s="86">
        <f>$I$29*$AZ$29</f>
        <v>0</v>
      </c>
      <c r="BA81" s="86">
        <f>$I$29*$BA$29</f>
        <v>0</v>
      </c>
      <c r="BB81" s="86">
        <f>$I$29*$BB$29</f>
        <v>0</v>
      </c>
      <c r="BC81" s="86">
        <f>$I$29*$BC$29</f>
        <v>0</v>
      </c>
      <c r="BD81" s="86">
        <f>$I$29*$BD$29</f>
        <v>0</v>
      </c>
    </row>
    <row r="82" spans="1:56" ht="11.25" customHeight="1" x14ac:dyDescent="0.25">
      <c r="A82" s="9" t="s">
        <v>43</v>
      </c>
      <c r="B82" s="9" t="s">
        <v>838</v>
      </c>
      <c r="C82" s="9" t="s">
        <v>839</v>
      </c>
      <c r="D82" s="9" t="s">
        <v>840</v>
      </c>
      <c r="E82" s="9" t="s">
        <v>841</v>
      </c>
      <c r="F82" s="9" t="s">
        <v>842</v>
      </c>
      <c r="G82" s="9" t="s">
        <v>843</v>
      </c>
      <c r="L82" s="86">
        <f>$I$30*$L$30</f>
        <v>0</v>
      </c>
      <c r="M82" s="86">
        <f>$I$30*$M$30</f>
        <v>0</v>
      </c>
      <c r="N82" s="86">
        <f ca="1">$I$30*$N$30</f>
        <v>0</v>
      </c>
      <c r="O82" s="86">
        <f>$I$30*$O$30</f>
        <v>0</v>
      </c>
      <c r="P82" s="86">
        <f>$I$30*$P$30</f>
        <v>0</v>
      </c>
      <c r="Q82" s="86">
        <f>$I$30*$Q$30</f>
        <v>0</v>
      </c>
      <c r="R82" s="86">
        <f>$I$30*$R$30</f>
        <v>0</v>
      </c>
      <c r="S82" s="86">
        <f>$I$30*$S$30</f>
        <v>0</v>
      </c>
      <c r="T82" s="86">
        <f>$I$30*$T$30</f>
        <v>0</v>
      </c>
      <c r="U82" s="86">
        <f>$I$30*$U$30</f>
        <v>0</v>
      </c>
      <c r="V82" s="86">
        <f>$I$30*$V$30</f>
        <v>0</v>
      </c>
      <c r="W82" s="86">
        <f>$I$30*$W$30</f>
        <v>0</v>
      </c>
      <c r="X82" s="86">
        <f>$I$30*$X$30</f>
        <v>0</v>
      </c>
      <c r="Y82" s="86">
        <f>$I$30*$Y$30</f>
        <v>0</v>
      </c>
      <c r="Z82" s="86">
        <f>$I$30*$Z$30</f>
        <v>0</v>
      </c>
      <c r="AA82" s="86">
        <f>$I$30*$AA$30</f>
        <v>0</v>
      </c>
      <c r="AB82" s="86">
        <f ca="1">$I$30*$AB$30</f>
        <v>0</v>
      </c>
      <c r="AC82" s="86">
        <f ca="1">$I$30*$AC$30</f>
        <v>0</v>
      </c>
      <c r="AD82" s="86">
        <f>$I$30*$AD$30</f>
        <v>0</v>
      </c>
      <c r="AE82" s="86">
        <f>$I$30*$AE$30</f>
        <v>0</v>
      </c>
      <c r="AF82" s="86">
        <f ca="1">$I$30*$AF$30</f>
        <v>0</v>
      </c>
      <c r="AG82" s="86">
        <f ca="1">$I$30*$AG$30</f>
        <v>0</v>
      </c>
      <c r="AI82" s="86">
        <f>$I$30*$AI$30</f>
        <v>0</v>
      </c>
      <c r="AJ82" s="86">
        <f>$I$30*$AJ$30</f>
        <v>0</v>
      </c>
      <c r="AK82" s="86">
        <f>$I$30*$AK$30</f>
        <v>0</v>
      </c>
      <c r="AL82" s="86">
        <f>$I$30*$AL$30</f>
        <v>0</v>
      </c>
      <c r="AM82" s="86">
        <f>$I$30*$AM$30</f>
        <v>0</v>
      </c>
      <c r="AN82" s="86">
        <f>$I$30*$AN$30</f>
        <v>0</v>
      </c>
      <c r="AO82" s="86">
        <f>$I$30*$AO$30</f>
        <v>0</v>
      </c>
      <c r="AP82" s="86">
        <f>$I$30*$AP$30</f>
        <v>0</v>
      </c>
      <c r="AQ82" s="86">
        <f>$I$30*$AQ$30</f>
        <v>0</v>
      </c>
      <c r="AR82" s="86">
        <f>$I$30*$AR$30</f>
        <v>0</v>
      </c>
      <c r="AS82" s="86">
        <f>$I$30*$AS$30</f>
        <v>0</v>
      </c>
      <c r="AT82" s="86">
        <f>$I$30*$AT$30</f>
        <v>0</v>
      </c>
      <c r="AU82" s="86">
        <f>$I$30*$AU$30</f>
        <v>0</v>
      </c>
      <c r="AV82" s="86">
        <f>$I$30*$AV$30</f>
        <v>0</v>
      </c>
      <c r="AW82" s="86">
        <f>$I$30*$AW$30</f>
        <v>0</v>
      </c>
      <c r="AX82" s="86">
        <f>$I$30*$AX$30</f>
        <v>0</v>
      </c>
      <c r="AY82" s="86">
        <f>$I$30*$AY$30</f>
        <v>0</v>
      </c>
      <c r="AZ82" s="86">
        <f>$I$30*$AZ$30</f>
        <v>0</v>
      </c>
      <c r="BA82" s="86">
        <f>$I$30*$BA$30</f>
        <v>0</v>
      </c>
      <c r="BB82" s="86">
        <f>$I$30*$BB$30</f>
        <v>0</v>
      </c>
      <c r="BC82" s="86">
        <f>$I$30*$BC$30</f>
        <v>0</v>
      </c>
      <c r="BD82" s="86">
        <f>$I$30*$BD$30</f>
        <v>0</v>
      </c>
    </row>
    <row r="83" spans="1:56" ht="11.25" customHeight="1" x14ac:dyDescent="0.25">
      <c r="A83" s="9" t="s">
        <v>43</v>
      </c>
      <c r="B83" s="9" t="s">
        <v>838</v>
      </c>
      <c r="C83" s="9" t="s">
        <v>839</v>
      </c>
      <c r="D83" s="9" t="s">
        <v>840</v>
      </c>
      <c r="E83" s="9" t="s">
        <v>841</v>
      </c>
      <c r="F83" s="9" t="s">
        <v>842</v>
      </c>
      <c r="G83" s="9" t="s">
        <v>844</v>
      </c>
      <c r="L83" s="86">
        <f>$I$31*$L$31</f>
        <v>0</v>
      </c>
      <c r="M83" s="86">
        <f>$I$31*$M$31</f>
        <v>0</v>
      </c>
      <c r="N83" s="86">
        <f ca="1">$I$31*$N$31</f>
        <v>0</v>
      </c>
      <c r="O83" s="86">
        <f>$I$31*$O$31</f>
        <v>0</v>
      </c>
      <c r="P83" s="86">
        <f>$I$31*$P$31</f>
        <v>0</v>
      </c>
      <c r="Q83" s="86">
        <f>$I$31*$Q$31</f>
        <v>0</v>
      </c>
      <c r="R83" s="86">
        <f>$I$31*$R$31</f>
        <v>0</v>
      </c>
      <c r="S83" s="86">
        <f>$I$31*$S$31</f>
        <v>0</v>
      </c>
      <c r="T83" s="86">
        <f>$I$31*$T$31</f>
        <v>0</v>
      </c>
      <c r="U83" s="86">
        <f>$I$31*$U$31</f>
        <v>0</v>
      </c>
      <c r="V83" s="86">
        <f>$I$31*$V$31</f>
        <v>0</v>
      </c>
      <c r="W83" s="86">
        <f>$I$31*$W$31</f>
        <v>0</v>
      </c>
      <c r="X83" s="86">
        <f>$I$31*$X$31</f>
        <v>0</v>
      </c>
      <c r="Y83" s="86">
        <f>$I$31*$Y$31</f>
        <v>0</v>
      </c>
      <c r="Z83" s="86">
        <f>$I$31*$Z$31</f>
        <v>0</v>
      </c>
      <c r="AA83" s="86">
        <f>$I$31*$AA$31</f>
        <v>0</v>
      </c>
      <c r="AB83" s="86">
        <f ca="1">$I$31*$AB$31</f>
        <v>0</v>
      </c>
      <c r="AC83" s="86">
        <f ca="1">$I$31*$AC$31</f>
        <v>0</v>
      </c>
      <c r="AD83" s="86">
        <f>$I$31*$AD$31</f>
        <v>0</v>
      </c>
      <c r="AE83" s="86">
        <f>$I$31*$AE$31</f>
        <v>0</v>
      </c>
      <c r="AF83" s="86">
        <f ca="1">$I$31*$AF$31</f>
        <v>0</v>
      </c>
      <c r="AG83" s="86">
        <f ca="1">$I$31*$AG$31</f>
        <v>0</v>
      </c>
      <c r="AI83" s="86">
        <f>$I$31*$AI$31</f>
        <v>0</v>
      </c>
      <c r="AJ83" s="86">
        <f>$I$31*$AJ$31</f>
        <v>0</v>
      </c>
      <c r="AK83" s="86">
        <f>$I$31*$AK$31</f>
        <v>0</v>
      </c>
      <c r="AL83" s="86">
        <f>$I$31*$AL$31</f>
        <v>0</v>
      </c>
      <c r="AM83" s="86">
        <f>$I$31*$AM$31</f>
        <v>0</v>
      </c>
      <c r="AN83" s="86">
        <f>$I$31*$AN$31</f>
        <v>0</v>
      </c>
      <c r="AO83" s="86">
        <f>$I$31*$AO$31</f>
        <v>0</v>
      </c>
      <c r="AP83" s="86">
        <f>$I$31*$AP$31</f>
        <v>0</v>
      </c>
      <c r="AQ83" s="86">
        <f>$I$31*$AQ$31</f>
        <v>0</v>
      </c>
      <c r="AR83" s="86">
        <f>$I$31*$AR$31</f>
        <v>0</v>
      </c>
      <c r="AS83" s="86">
        <f>$I$31*$AS$31</f>
        <v>0</v>
      </c>
      <c r="AT83" s="86">
        <f>$I$31*$AT$31</f>
        <v>0</v>
      </c>
      <c r="AU83" s="86">
        <f>$I$31*$AU$31</f>
        <v>0</v>
      </c>
      <c r="AV83" s="86">
        <f>$I$31*$AV$31</f>
        <v>0</v>
      </c>
      <c r="AW83" s="86">
        <f>$I$31*$AW$31</f>
        <v>0</v>
      </c>
      <c r="AX83" s="86">
        <f>$I$31*$AX$31</f>
        <v>0</v>
      </c>
      <c r="AY83" s="86">
        <f>$I$31*$AY$31</f>
        <v>0</v>
      </c>
      <c r="AZ83" s="86">
        <f>$I$31*$AZ$31</f>
        <v>0</v>
      </c>
      <c r="BA83" s="86">
        <f>$I$31*$BA$31</f>
        <v>0</v>
      </c>
      <c r="BB83" s="86">
        <f>$I$31*$BB$31</f>
        <v>0</v>
      </c>
      <c r="BC83" s="86">
        <f>$I$31*$BC$31</f>
        <v>0</v>
      </c>
      <c r="BD83" s="86">
        <f>$I$31*$BD$31</f>
        <v>0</v>
      </c>
    </row>
    <row r="84" spans="1:56" ht="11.25" customHeight="1" x14ac:dyDescent="0.25">
      <c r="A84" s="9" t="s">
        <v>43</v>
      </c>
      <c r="B84" s="9" t="s">
        <v>838</v>
      </c>
      <c r="C84" s="9" t="s">
        <v>839</v>
      </c>
      <c r="D84" s="9" t="s">
        <v>840</v>
      </c>
      <c r="E84" s="9" t="s">
        <v>841</v>
      </c>
      <c r="F84" s="9" t="s">
        <v>842</v>
      </c>
      <c r="G84" s="9" t="s">
        <v>845</v>
      </c>
      <c r="L84" s="86">
        <f>$I$32*$L$32</f>
        <v>0</v>
      </c>
      <c r="M84" s="86">
        <f>$I$32*$M$32</f>
        <v>0</v>
      </c>
      <c r="N84" s="86">
        <f ca="1">$I$32*$N$32</f>
        <v>0</v>
      </c>
      <c r="O84" s="86">
        <f>$I$32*$O$32</f>
        <v>0</v>
      </c>
      <c r="P84" s="86">
        <f>$I$32*$P$32</f>
        <v>0</v>
      </c>
      <c r="Q84" s="86">
        <f>$I$32*$Q$32</f>
        <v>0</v>
      </c>
      <c r="R84" s="86">
        <f>$I$32*$R$32</f>
        <v>0</v>
      </c>
      <c r="S84" s="86">
        <f>$I$32*$S$32</f>
        <v>0</v>
      </c>
      <c r="T84" s="86">
        <f>$I$32*$T$32</f>
        <v>0</v>
      </c>
      <c r="U84" s="86">
        <f>$I$32*$U$32</f>
        <v>0</v>
      </c>
      <c r="V84" s="86">
        <f>$I$32*$V$32</f>
        <v>0</v>
      </c>
      <c r="W84" s="86">
        <f>$I$32*$W$32</f>
        <v>0</v>
      </c>
      <c r="X84" s="86">
        <f>$I$32*$X$32</f>
        <v>0</v>
      </c>
      <c r="Y84" s="86">
        <f>$I$32*$Y$32</f>
        <v>0</v>
      </c>
      <c r="Z84" s="86">
        <f>$I$32*$Z$32</f>
        <v>0</v>
      </c>
      <c r="AA84" s="86">
        <f>$I$32*$AA$32</f>
        <v>0</v>
      </c>
      <c r="AB84" s="86">
        <f ca="1">$I$32*$AB$32</f>
        <v>0</v>
      </c>
      <c r="AC84" s="86">
        <f ca="1">$I$32*$AC$32</f>
        <v>0</v>
      </c>
      <c r="AD84" s="86">
        <f>$I$32*$AD$32</f>
        <v>0</v>
      </c>
      <c r="AE84" s="86">
        <f>$I$32*$AE$32</f>
        <v>0</v>
      </c>
      <c r="AF84" s="86">
        <f ca="1">$I$32*$AF$32</f>
        <v>0</v>
      </c>
      <c r="AG84" s="86">
        <f ca="1">$I$32*$AG$32</f>
        <v>0</v>
      </c>
      <c r="AI84" s="86">
        <f>$I$32*$AI$32</f>
        <v>0</v>
      </c>
      <c r="AJ84" s="86">
        <f>$I$32*$AJ$32</f>
        <v>0</v>
      </c>
      <c r="AK84" s="86">
        <f>$I$32*$AK$32</f>
        <v>0</v>
      </c>
      <c r="AL84" s="86">
        <f>$I$32*$AL$32</f>
        <v>0</v>
      </c>
      <c r="AM84" s="86">
        <f>$I$32*$AM$32</f>
        <v>0</v>
      </c>
      <c r="AN84" s="86">
        <f>$I$32*$AN$32</f>
        <v>0</v>
      </c>
      <c r="AO84" s="86">
        <f>$I$32*$AO$32</f>
        <v>0</v>
      </c>
      <c r="AP84" s="86">
        <f>$I$32*$AP$32</f>
        <v>0</v>
      </c>
      <c r="AQ84" s="86">
        <f>$I$32*$AQ$32</f>
        <v>0</v>
      </c>
      <c r="AR84" s="86">
        <f>$I$32*$AR$32</f>
        <v>0</v>
      </c>
      <c r="AS84" s="86">
        <f>$I$32*$AS$32</f>
        <v>0</v>
      </c>
      <c r="AT84" s="86">
        <f>$I$32*$AT$32</f>
        <v>0</v>
      </c>
      <c r="AU84" s="86">
        <f>$I$32*$AU$32</f>
        <v>0</v>
      </c>
      <c r="AV84" s="86">
        <f>$I$32*$AV$32</f>
        <v>0</v>
      </c>
      <c r="AW84" s="86">
        <f>$I$32*$AW$32</f>
        <v>0</v>
      </c>
      <c r="AX84" s="86">
        <f>$I$32*$AX$32</f>
        <v>0</v>
      </c>
      <c r="AY84" s="86">
        <f>$I$32*$AY$32</f>
        <v>0</v>
      </c>
      <c r="AZ84" s="86">
        <f>$I$32*$AZ$32</f>
        <v>0</v>
      </c>
      <c r="BA84" s="86">
        <f>$I$32*$BA$32</f>
        <v>0</v>
      </c>
      <c r="BB84" s="86">
        <f>$I$32*$BB$32</f>
        <v>0</v>
      </c>
      <c r="BC84" s="86">
        <f>$I$32*$BC$32</f>
        <v>0</v>
      </c>
      <c r="BD84" s="86">
        <f>$I$32*$BD$32</f>
        <v>0</v>
      </c>
    </row>
    <row r="85" spans="1:56" ht="11.25" customHeight="1" x14ac:dyDescent="0.25">
      <c r="A85" s="9" t="s">
        <v>43</v>
      </c>
      <c r="B85" s="9" t="s">
        <v>846</v>
      </c>
      <c r="C85" s="9" t="s">
        <v>847</v>
      </c>
      <c r="D85" s="9" t="s">
        <v>848</v>
      </c>
      <c r="E85" s="9" t="s">
        <v>849</v>
      </c>
      <c r="F85" s="9" t="s">
        <v>850</v>
      </c>
      <c r="G85" s="9" t="s">
        <v>851</v>
      </c>
      <c r="L85" s="86">
        <f>$I$33*$L$33</f>
        <v>73742.478496694137</v>
      </c>
      <c r="M85" s="86">
        <f>$I$33*$M$33</f>
        <v>10059.897045403772</v>
      </c>
      <c r="N85" s="86">
        <f ca="1">$I$33*$N$33</f>
        <v>0</v>
      </c>
      <c r="O85" s="86">
        <f>$I$33*$O$33</f>
        <v>0</v>
      </c>
      <c r="P85" s="86">
        <f>$I$33*$P$33</f>
        <v>0</v>
      </c>
      <c r="Q85" s="86">
        <f>$I$33*$Q$33</f>
        <v>289348.81849227741</v>
      </c>
      <c r="R85" s="86">
        <f>$I$33*$R$33</f>
        <v>47180.587252006226</v>
      </c>
      <c r="S85" s="86">
        <f>$I$33*$S$33</f>
        <v>0</v>
      </c>
      <c r="T85" s="86">
        <f>$I$33*$T$33</f>
        <v>0</v>
      </c>
      <c r="U85" s="86">
        <f>$I$33*$U$33</f>
        <v>0</v>
      </c>
      <c r="V85" s="86">
        <f>$I$33*$V$33</f>
        <v>0</v>
      </c>
      <c r="W85" s="86">
        <f>$I$33*$W$33</f>
        <v>0</v>
      </c>
      <c r="X85" s="86">
        <f>$I$33*$X$33</f>
        <v>773896.78967107728</v>
      </c>
      <c r="Y85" s="86">
        <f>$I$33*$Y$33</f>
        <v>0</v>
      </c>
      <c r="Z85" s="86">
        <f>$I$33*$Z$33</f>
        <v>0</v>
      </c>
      <c r="AA85" s="86">
        <f>$I$33*$AA$33</f>
        <v>1670732.3575912614</v>
      </c>
      <c r="AB85" s="86">
        <f ca="1">$I$33*$AB$33</f>
        <v>0</v>
      </c>
      <c r="AC85" s="86">
        <f ca="1">$I$33*$AC$33</f>
        <v>0</v>
      </c>
      <c r="AD85" s="86">
        <f>$I$33*$AD$33</f>
        <v>141545.12471839943</v>
      </c>
      <c r="AE85" s="86">
        <f>$I$33*$AE$33</f>
        <v>0</v>
      </c>
      <c r="AF85" s="86">
        <f ca="1">$I$33*$AF$33</f>
        <v>13169.315079240137</v>
      </c>
      <c r="AG85" s="86">
        <f ca="1">$I$33*$AG$33</f>
        <v>0</v>
      </c>
      <c r="AI85" s="86">
        <f>$I$33*$AI$33</f>
        <v>0</v>
      </c>
      <c r="AJ85" s="86">
        <f>$I$33*$AJ$33</f>
        <v>7196.0013289035069</v>
      </c>
      <c r="AK85" s="86">
        <f>$I$33*$AK$33</f>
        <v>7.2662684847512689E-6</v>
      </c>
      <c r="AL85" s="86">
        <f>$I$33*$AL$33</f>
        <v>0</v>
      </c>
      <c r="AM85" s="86">
        <f>$I$33*$AM$33</f>
        <v>0</v>
      </c>
      <c r="AN85" s="86">
        <f>$I$33*$AN$33</f>
        <v>240138.01728433731</v>
      </c>
      <c r="AO85" s="86">
        <f>$I$33*$AO$33</f>
        <v>26895.631985396682</v>
      </c>
      <c r="AP85" s="86">
        <f>$I$33*$AP$33</f>
        <v>0</v>
      </c>
      <c r="AQ85" s="86">
        <f>$I$33*$AQ$33</f>
        <v>0</v>
      </c>
      <c r="AR85" s="86">
        <f>$I$33*$AR$33</f>
        <v>0</v>
      </c>
      <c r="AS85" s="86">
        <f>$I$33*$AS$33</f>
        <v>0</v>
      </c>
      <c r="AT85" s="86">
        <f>$I$33*$AT$33</f>
        <v>0</v>
      </c>
      <c r="AU85" s="86">
        <f>$I$33*$AU$33</f>
        <v>552794.0335428922</v>
      </c>
      <c r="AV85" s="86">
        <f>$I$33*$AV$33</f>
        <v>0</v>
      </c>
      <c r="AW85" s="86">
        <f>$I$33*$AW$33</f>
        <v>0</v>
      </c>
      <c r="AX85" s="86">
        <f>$I$33*$AX$33</f>
        <v>1330003.041997107</v>
      </c>
      <c r="AY85" s="86">
        <f>$I$33*$AY$33</f>
        <v>24813.733143328314</v>
      </c>
      <c r="AZ85" s="86">
        <f>$I$33*$AZ$33</f>
        <v>0</v>
      </c>
      <c r="BA85" s="86">
        <f>$I$33*$BA$33</f>
        <v>114305.77162711475</v>
      </c>
      <c r="BB85" s="86">
        <f>$I$33*$BB$33</f>
        <v>0</v>
      </c>
      <c r="BC85" s="86">
        <f>$I$33*$BC$33</f>
        <v>14373.906175520528</v>
      </c>
      <c r="BD85" s="86">
        <f>$I$33*$BD$33</f>
        <v>0</v>
      </c>
    </row>
    <row r="86" spans="1:56" ht="11.25" customHeight="1" x14ac:dyDescent="0.25">
      <c r="A86" s="9" t="s">
        <v>43</v>
      </c>
      <c r="B86" s="9" t="s">
        <v>838</v>
      </c>
      <c r="C86" s="9" t="s">
        <v>839</v>
      </c>
      <c r="D86" s="9" t="s">
        <v>852</v>
      </c>
      <c r="E86" s="9" t="s">
        <v>853</v>
      </c>
      <c r="F86" s="9" t="s">
        <v>854</v>
      </c>
      <c r="G86" s="9" t="s">
        <v>855</v>
      </c>
      <c r="L86" s="86">
        <f>$I$34*$L$34</f>
        <v>0</v>
      </c>
      <c r="M86" s="86">
        <f>$I$34*$M$34</f>
        <v>0</v>
      </c>
      <c r="N86" s="86">
        <f ca="1">$I$34*$N$34</f>
        <v>0</v>
      </c>
      <c r="O86" s="86">
        <f>$I$34*$O$34</f>
        <v>0</v>
      </c>
      <c r="P86" s="86">
        <f>$I$34*$P$34</f>
        <v>0</v>
      </c>
      <c r="Q86" s="86">
        <f>$I$34*$Q$34</f>
        <v>0</v>
      </c>
      <c r="R86" s="86">
        <f>$I$34*$R$34</f>
        <v>0</v>
      </c>
      <c r="S86" s="86">
        <f>$I$34*$S$34</f>
        <v>0</v>
      </c>
      <c r="T86" s="86">
        <f>$I$34*$T$34</f>
        <v>0</v>
      </c>
      <c r="U86" s="86">
        <f>$I$34*$U$34</f>
        <v>0</v>
      </c>
      <c r="V86" s="86">
        <f>$I$34*$V$34</f>
        <v>0</v>
      </c>
      <c r="W86" s="86">
        <f>$I$34*$W$34</f>
        <v>0</v>
      </c>
      <c r="X86" s="86">
        <f>$I$34*$X$34</f>
        <v>0</v>
      </c>
      <c r="Y86" s="86">
        <f>$I$34*$Y$34</f>
        <v>0</v>
      </c>
      <c r="Z86" s="86">
        <f>$I$34*$Z$34</f>
        <v>0</v>
      </c>
      <c r="AA86" s="86">
        <f>$I$34*$AA$34</f>
        <v>0</v>
      </c>
      <c r="AB86" s="86">
        <f ca="1">$I$34*$AB$34</f>
        <v>0</v>
      </c>
      <c r="AC86" s="86">
        <f ca="1">$I$34*$AC$34</f>
        <v>0</v>
      </c>
      <c r="AD86" s="86">
        <f>$I$34*$AD$34</f>
        <v>0</v>
      </c>
      <c r="AE86" s="86">
        <f>$I$34*$AE$34</f>
        <v>0</v>
      </c>
      <c r="AF86" s="86">
        <f ca="1">$I$34*$AF$34</f>
        <v>0</v>
      </c>
      <c r="AG86" s="86">
        <f ca="1">$I$34*$AG$34</f>
        <v>0</v>
      </c>
      <c r="AI86" s="86">
        <f>$I$34*$AI$34</f>
        <v>0</v>
      </c>
      <c r="AJ86" s="86">
        <f>$I$34*$AJ$34</f>
        <v>0</v>
      </c>
      <c r="AK86" s="86">
        <f>$I$34*$AK$34</f>
        <v>0</v>
      </c>
      <c r="AL86" s="86">
        <f>$I$34*$AL$34</f>
        <v>0</v>
      </c>
      <c r="AM86" s="86">
        <f>$I$34*$AM$34</f>
        <v>0</v>
      </c>
      <c r="AN86" s="86">
        <f>$I$34*$AN$34</f>
        <v>0</v>
      </c>
      <c r="AO86" s="86">
        <f>$I$34*$AO$34</f>
        <v>0</v>
      </c>
      <c r="AP86" s="86">
        <f>$I$34*$AP$34</f>
        <v>0</v>
      </c>
      <c r="AQ86" s="86">
        <f>$I$34*$AQ$34</f>
        <v>0</v>
      </c>
      <c r="AR86" s="86">
        <f>$I$34*$AR$34</f>
        <v>0</v>
      </c>
      <c r="AS86" s="86">
        <f>$I$34*$AS$34</f>
        <v>0</v>
      </c>
      <c r="AT86" s="86">
        <f>$I$34*$AT$34</f>
        <v>0</v>
      </c>
      <c r="AU86" s="86">
        <f>$I$34*$AU$34</f>
        <v>0</v>
      </c>
      <c r="AV86" s="86">
        <f>$I$34*$AV$34</f>
        <v>0</v>
      </c>
      <c r="AW86" s="86">
        <f>$I$34*$AW$34</f>
        <v>0</v>
      </c>
      <c r="AX86" s="86">
        <f>$I$34*$AX$34</f>
        <v>0</v>
      </c>
      <c r="AY86" s="86">
        <f>$I$34*$AY$34</f>
        <v>0</v>
      </c>
      <c r="AZ86" s="86">
        <f>$I$34*$AZ$34</f>
        <v>0</v>
      </c>
      <c r="BA86" s="86">
        <f>$I$34*$BA$34</f>
        <v>0</v>
      </c>
      <c r="BB86" s="86">
        <f>$I$34*$BB$34</f>
        <v>0</v>
      </c>
      <c r="BC86" s="86">
        <f>$I$34*$BC$34</f>
        <v>0</v>
      </c>
      <c r="BD86" s="86">
        <f>$I$34*$BD$34</f>
        <v>0</v>
      </c>
    </row>
    <row r="87" spans="1:56" ht="11.25" customHeight="1" x14ac:dyDescent="0.25">
      <c r="A87" s="9" t="s">
        <v>43</v>
      </c>
      <c r="B87" s="9" t="s">
        <v>838</v>
      </c>
      <c r="C87" s="9" t="s">
        <v>839</v>
      </c>
      <c r="D87" s="9" t="s">
        <v>852</v>
      </c>
      <c r="E87" s="9" t="s">
        <v>853</v>
      </c>
      <c r="F87" s="9" t="s">
        <v>854</v>
      </c>
      <c r="G87" s="9" t="s">
        <v>856</v>
      </c>
      <c r="L87" s="86">
        <f>$I$35*$L$35</f>
        <v>0</v>
      </c>
      <c r="M87" s="86">
        <f>$I$35*$M$35</f>
        <v>0</v>
      </c>
      <c r="N87" s="86">
        <f ca="1">$I$35*$N$35</f>
        <v>0</v>
      </c>
      <c r="O87" s="86">
        <f>$I$35*$O$35</f>
        <v>0</v>
      </c>
      <c r="P87" s="86">
        <f>$I$35*$P$35</f>
        <v>0</v>
      </c>
      <c r="Q87" s="86">
        <f>$I$35*$Q$35</f>
        <v>0</v>
      </c>
      <c r="R87" s="86">
        <f>$I$35*$R$35</f>
        <v>0</v>
      </c>
      <c r="S87" s="86">
        <f>$I$35*$S$35</f>
        <v>0</v>
      </c>
      <c r="T87" s="86">
        <f>$I$35*$T$35</f>
        <v>0</v>
      </c>
      <c r="U87" s="86">
        <f>$I$35*$U$35</f>
        <v>0</v>
      </c>
      <c r="V87" s="86">
        <f>$I$35*$V$35</f>
        <v>0</v>
      </c>
      <c r="W87" s="86">
        <f>$I$35*$W$35</f>
        <v>0</v>
      </c>
      <c r="X87" s="86">
        <f>$I$35*$X$35</f>
        <v>0</v>
      </c>
      <c r="Y87" s="86">
        <f>$I$35*$Y$35</f>
        <v>0</v>
      </c>
      <c r="Z87" s="86">
        <f>$I$35*$Z$35</f>
        <v>0</v>
      </c>
      <c r="AA87" s="86">
        <f>$I$35*$AA$35</f>
        <v>0</v>
      </c>
      <c r="AB87" s="86">
        <f ca="1">$I$35*$AB$35</f>
        <v>0</v>
      </c>
      <c r="AC87" s="86">
        <f ca="1">$I$35*$AC$35</f>
        <v>0</v>
      </c>
      <c r="AD87" s="86">
        <f>$I$35*$AD$35</f>
        <v>0</v>
      </c>
      <c r="AE87" s="86">
        <f>$I$35*$AE$35</f>
        <v>0</v>
      </c>
      <c r="AF87" s="86">
        <f ca="1">$I$35*$AF$35</f>
        <v>0</v>
      </c>
      <c r="AG87" s="86">
        <f ca="1">$I$35*$AG$35</f>
        <v>0</v>
      </c>
      <c r="AI87" s="86">
        <f>$I$35*$AI$35</f>
        <v>0</v>
      </c>
      <c r="AJ87" s="86">
        <f>$I$35*$AJ$35</f>
        <v>0</v>
      </c>
      <c r="AK87" s="86">
        <f>$I$35*$AK$35</f>
        <v>0</v>
      </c>
      <c r="AL87" s="86">
        <f>$I$35*$AL$35</f>
        <v>0</v>
      </c>
      <c r="AM87" s="86">
        <f>$I$35*$AM$35</f>
        <v>0</v>
      </c>
      <c r="AN87" s="86">
        <f>$I$35*$AN$35</f>
        <v>0</v>
      </c>
      <c r="AO87" s="86">
        <f>$I$35*$AO$35</f>
        <v>0</v>
      </c>
      <c r="AP87" s="86">
        <f>$I$35*$AP$35</f>
        <v>0</v>
      </c>
      <c r="AQ87" s="86">
        <f>$I$35*$AQ$35</f>
        <v>0</v>
      </c>
      <c r="AR87" s="86">
        <f>$I$35*$AR$35</f>
        <v>0</v>
      </c>
      <c r="AS87" s="86">
        <f>$I$35*$AS$35</f>
        <v>0</v>
      </c>
      <c r="AT87" s="86">
        <f>$I$35*$AT$35</f>
        <v>0</v>
      </c>
      <c r="AU87" s="86">
        <f>$I$35*$AU$35</f>
        <v>0</v>
      </c>
      <c r="AV87" s="86">
        <f>$I$35*$AV$35</f>
        <v>0</v>
      </c>
      <c r="AW87" s="86">
        <f>$I$35*$AW$35</f>
        <v>0</v>
      </c>
      <c r="AX87" s="86">
        <f>$I$35*$AX$35</f>
        <v>0</v>
      </c>
      <c r="AY87" s="86">
        <f>$I$35*$AY$35</f>
        <v>0</v>
      </c>
      <c r="AZ87" s="86">
        <f>$I$35*$AZ$35</f>
        <v>0</v>
      </c>
      <c r="BA87" s="86">
        <f>$I$35*$BA$35</f>
        <v>0</v>
      </c>
      <c r="BB87" s="86">
        <f>$I$35*$BB$35</f>
        <v>0</v>
      </c>
      <c r="BC87" s="86">
        <f>$I$35*$BC$35</f>
        <v>0</v>
      </c>
      <c r="BD87" s="86">
        <f>$I$35*$BD$35</f>
        <v>0</v>
      </c>
    </row>
    <row r="88" spans="1:56" ht="11.25" customHeight="1" x14ac:dyDescent="0.25">
      <c r="A88" s="9" t="s">
        <v>43</v>
      </c>
      <c r="B88" s="9" t="s">
        <v>838</v>
      </c>
      <c r="C88" s="9" t="s">
        <v>839</v>
      </c>
      <c r="D88" s="9" t="s">
        <v>852</v>
      </c>
      <c r="E88" s="9" t="s">
        <v>853</v>
      </c>
      <c r="F88" s="9" t="s">
        <v>854</v>
      </c>
      <c r="G88" s="9" t="s">
        <v>857</v>
      </c>
      <c r="L88" s="86">
        <f>$I$36*$L$36</f>
        <v>0</v>
      </c>
      <c r="M88" s="86">
        <f>$I$36*$M$36</f>
        <v>0</v>
      </c>
      <c r="N88" s="86">
        <f ca="1">$I$36*$N$36</f>
        <v>0</v>
      </c>
      <c r="O88" s="86">
        <f>$I$36*$O$36</f>
        <v>0</v>
      </c>
      <c r="P88" s="86">
        <f>$I$36*$P$36</f>
        <v>0</v>
      </c>
      <c r="Q88" s="86">
        <f>$I$36*$Q$36</f>
        <v>0</v>
      </c>
      <c r="R88" s="86">
        <f>$I$36*$R$36</f>
        <v>0</v>
      </c>
      <c r="S88" s="86">
        <f>$I$36*$S$36</f>
        <v>0</v>
      </c>
      <c r="T88" s="86">
        <f>$I$36*$T$36</f>
        <v>0</v>
      </c>
      <c r="U88" s="86">
        <f>$I$36*$U$36</f>
        <v>0</v>
      </c>
      <c r="V88" s="86">
        <f>$I$36*$V$36</f>
        <v>0</v>
      </c>
      <c r="W88" s="86">
        <f>$I$36*$W$36</f>
        <v>0</v>
      </c>
      <c r="X88" s="86">
        <f>$I$36*$X$36</f>
        <v>0</v>
      </c>
      <c r="Y88" s="86">
        <f>$I$36*$Y$36</f>
        <v>0</v>
      </c>
      <c r="Z88" s="86">
        <f>$I$36*$Z$36</f>
        <v>0</v>
      </c>
      <c r="AA88" s="86">
        <f>$I$36*$AA$36</f>
        <v>0</v>
      </c>
      <c r="AB88" s="86">
        <f ca="1">$I$36*$AB$36</f>
        <v>0</v>
      </c>
      <c r="AC88" s="86">
        <f ca="1">$I$36*$AC$36</f>
        <v>0</v>
      </c>
      <c r="AD88" s="86">
        <f>$I$36*$AD$36</f>
        <v>0</v>
      </c>
      <c r="AE88" s="86">
        <f>$I$36*$AE$36</f>
        <v>0</v>
      </c>
      <c r="AF88" s="86">
        <f ca="1">$I$36*$AF$36</f>
        <v>0</v>
      </c>
      <c r="AG88" s="86">
        <f ca="1">$I$36*$AG$36</f>
        <v>0</v>
      </c>
      <c r="AI88" s="86">
        <f>$I$36*$AI$36</f>
        <v>0</v>
      </c>
      <c r="AJ88" s="86">
        <f>$I$36*$AJ$36</f>
        <v>0</v>
      </c>
      <c r="AK88" s="86">
        <f>$I$36*$AK$36</f>
        <v>0</v>
      </c>
      <c r="AL88" s="86">
        <f>$I$36*$AL$36</f>
        <v>0</v>
      </c>
      <c r="AM88" s="86">
        <f>$I$36*$AM$36</f>
        <v>0</v>
      </c>
      <c r="AN88" s="86">
        <f>$I$36*$AN$36</f>
        <v>0</v>
      </c>
      <c r="AO88" s="86">
        <f>$I$36*$AO$36</f>
        <v>0</v>
      </c>
      <c r="AP88" s="86">
        <f>$I$36*$AP$36</f>
        <v>0</v>
      </c>
      <c r="AQ88" s="86">
        <f>$I$36*$AQ$36</f>
        <v>0</v>
      </c>
      <c r="AR88" s="86">
        <f>$I$36*$AR$36</f>
        <v>0</v>
      </c>
      <c r="AS88" s="86">
        <f>$I$36*$AS$36</f>
        <v>0</v>
      </c>
      <c r="AT88" s="86">
        <f>$I$36*$AT$36</f>
        <v>0</v>
      </c>
      <c r="AU88" s="86">
        <f>$I$36*$AU$36</f>
        <v>0</v>
      </c>
      <c r="AV88" s="86">
        <f>$I$36*$AV$36</f>
        <v>0</v>
      </c>
      <c r="AW88" s="86">
        <f>$I$36*$AW$36</f>
        <v>0</v>
      </c>
      <c r="AX88" s="86">
        <f>$I$36*$AX$36</f>
        <v>0</v>
      </c>
      <c r="AY88" s="86">
        <f>$I$36*$AY$36</f>
        <v>0</v>
      </c>
      <c r="AZ88" s="86">
        <f>$I$36*$AZ$36</f>
        <v>0</v>
      </c>
      <c r="BA88" s="86">
        <f>$I$36*$BA$36</f>
        <v>0</v>
      </c>
      <c r="BB88" s="86">
        <f>$I$36*$BB$36</f>
        <v>0</v>
      </c>
      <c r="BC88" s="86">
        <f>$I$36*$BC$36</f>
        <v>0</v>
      </c>
      <c r="BD88" s="86">
        <f>$I$36*$BD$36</f>
        <v>0</v>
      </c>
    </row>
    <row r="89" spans="1:56" ht="11.25" customHeight="1" x14ac:dyDescent="0.25">
      <c r="A89" s="9" t="s">
        <v>43</v>
      </c>
      <c r="B89" s="9" t="s">
        <v>846</v>
      </c>
      <c r="C89" s="9" t="s">
        <v>847</v>
      </c>
      <c r="D89" s="9" t="s">
        <v>858</v>
      </c>
      <c r="E89" s="9" t="s">
        <v>859</v>
      </c>
      <c r="F89" s="9" t="s">
        <v>860</v>
      </c>
      <c r="G89" s="9" t="s">
        <v>861</v>
      </c>
      <c r="L89" s="86">
        <f>$I$37*$L$37</f>
        <v>0</v>
      </c>
      <c r="M89" s="86">
        <f>$I$37*$M$37</f>
        <v>0</v>
      </c>
      <c r="N89" s="86">
        <f ca="1">$I$37*$N$37</f>
        <v>0</v>
      </c>
      <c r="O89" s="86">
        <f>$I$37*$O$37</f>
        <v>0</v>
      </c>
      <c r="P89" s="86">
        <f>$I$37*$P$37</f>
        <v>0</v>
      </c>
      <c r="Q89" s="86">
        <f>$I$37*$Q$37</f>
        <v>0</v>
      </c>
      <c r="R89" s="86">
        <f>$I$37*$R$37</f>
        <v>0</v>
      </c>
      <c r="S89" s="86">
        <f>$I$37*$S$37</f>
        <v>0</v>
      </c>
      <c r="T89" s="86">
        <f>$I$37*$T$37</f>
        <v>0</v>
      </c>
      <c r="U89" s="86">
        <f>$I$37*$U$37</f>
        <v>0</v>
      </c>
      <c r="V89" s="86">
        <f>$I$37*$V$37</f>
        <v>0</v>
      </c>
      <c r="W89" s="86">
        <f>$I$37*$W$37</f>
        <v>0</v>
      </c>
      <c r="X89" s="86">
        <f>$I$37*$X$37</f>
        <v>0</v>
      </c>
      <c r="Y89" s="86">
        <f>$I$37*$Y$37</f>
        <v>0</v>
      </c>
      <c r="Z89" s="86">
        <f>$I$37*$Z$37</f>
        <v>0</v>
      </c>
      <c r="AA89" s="86">
        <f>$I$37*$AA$37</f>
        <v>0</v>
      </c>
      <c r="AB89" s="86">
        <f ca="1">$I$37*$AB$37</f>
        <v>0</v>
      </c>
      <c r="AC89" s="86">
        <f ca="1">$I$37*$AC$37</f>
        <v>0</v>
      </c>
      <c r="AD89" s="86">
        <f>$I$37*$AD$37</f>
        <v>0</v>
      </c>
      <c r="AE89" s="86">
        <f>$I$37*$AE$37</f>
        <v>0</v>
      </c>
      <c r="AF89" s="86">
        <f ca="1">$I$37*$AF$37</f>
        <v>0</v>
      </c>
      <c r="AG89" s="86">
        <f ca="1">$I$37*$AG$37</f>
        <v>0</v>
      </c>
      <c r="AI89" s="86">
        <f>$I$37*$AI$37</f>
        <v>0</v>
      </c>
      <c r="AJ89" s="86">
        <f>$I$37*$AJ$37</f>
        <v>0</v>
      </c>
      <c r="AK89" s="86">
        <f>$I$37*$AK$37</f>
        <v>0</v>
      </c>
      <c r="AL89" s="86">
        <f>$I$37*$AL$37</f>
        <v>0</v>
      </c>
      <c r="AM89" s="86">
        <f>$I$37*$AM$37</f>
        <v>0</v>
      </c>
      <c r="AN89" s="86">
        <f>$I$37*$AN$37</f>
        <v>0</v>
      </c>
      <c r="AO89" s="86">
        <f>$I$37*$AO$37</f>
        <v>0</v>
      </c>
      <c r="AP89" s="86">
        <f>$I$37*$AP$37</f>
        <v>0</v>
      </c>
      <c r="AQ89" s="86">
        <f>$I$37*$AQ$37</f>
        <v>0</v>
      </c>
      <c r="AR89" s="86">
        <f>$I$37*$AR$37</f>
        <v>0</v>
      </c>
      <c r="AS89" s="86">
        <f>$I$37*$AS$37</f>
        <v>0</v>
      </c>
      <c r="AT89" s="86">
        <f>$I$37*$AT$37</f>
        <v>0</v>
      </c>
      <c r="AU89" s="86">
        <f>$I$37*$AU$37</f>
        <v>0</v>
      </c>
      <c r="AV89" s="86">
        <f>$I$37*$AV$37</f>
        <v>0</v>
      </c>
      <c r="AW89" s="86">
        <f>$I$37*$AW$37</f>
        <v>0</v>
      </c>
      <c r="AX89" s="86">
        <f>$I$37*$AX$37</f>
        <v>0</v>
      </c>
      <c r="AY89" s="86">
        <f>$I$37*$AY$37</f>
        <v>0</v>
      </c>
      <c r="AZ89" s="86">
        <f>$I$37*$AZ$37</f>
        <v>0</v>
      </c>
      <c r="BA89" s="86">
        <f>$I$37*$BA$37</f>
        <v>0</v>
      </c>
      <c r="BB89" s="86">
        <f>$I$37*$BB$37</f>
        <v>0</v>
      </c>
      <c r="BC89" s="86">
        <f>$I$37*$BC$37</f>
        <v>0</v>
      </c>
      <c r="BD89" s="86">
        <f>$I$37*$BD$37</f>
        <v>0</v>
      </c>
    </row>
    <row r="90" spans="1:56" ht="11.25" customHeight="1" x14ac:dyDescent="0.25">
      <c r="A90" s="9" t="s">
        <v>43</v>
      </c>
      <c r="B90" s="9" t="s">
        <v>838</v>
      </c>
      <c r="C90" s="9" t="s">
        <v>839</v>
      </c>
      <c r="D90" s="9" t="s">
        <v>862</v>
      </c>
      <c r="E90" s="9" t="s">
        <v>863</v>
      </c>
      <c r="F90" s="9" t="s">
        <v>864</v>
      </c>
      <c r="G90" s="9" t="s">
        <v>865</v>
      </c>
      <c r="L90" s="86">
        <f>$I$38*$L$38</f>
        <v>0</v>
      </c>
      <c r="M90" s="86">
        <f>$I$38*$M$38</f>
        <v>0</v>
      </c>
      <c r="N90" s="86">
        <f ca="1">$I$38*$N$38</f>
        <v>0</v>
      </c>
      <c r="O90" s="86">
        <f>$I$38*$O$38</f>
        <v>0</v>
      </c>
      <c r="P90" s="86">
        <f>$I$38*$P$38</f>
        <v>0</v>
      </c>
      <c r="Q90" s="86">
        <f>$I$38*$Q$38</f>
        <v>0</v>
      </c>
      <c r="R90" s="86">
        <f>$I$38*$R$38</f>
        <v>0</v>
      </c>
      <c r="S90" s="86">
        <f>$I$38*$S$38</f>
        <v>0</v>
      </c>
      <c r="T90" s="86">
        <f>$I$38*$T$38</f>
        <v>0</v>
      </c>
      <c r="U90" s="86">
        <f>$I$38*$U$38</f>
        <v>0</v>
      </c>
      <c r="V90" s="86">
        <f>$I$38*$V$38</f>
        <v>0</v>
      </c>
      <c r="W90" s="86">
        <f>$I$38*$W$38</f>
        <v>0</v>
      </c>
      <c r="X90" s="86">
        <f>$I$38*$X$38</f>
        <v>0</v>
      </c>
      <c r="Y90" s="86">
        <f>$I$38*$Y$38</f>
        <v>0</v>
      </c>
      <c r="Z90" s="86">
        <f>$I$38*$Z$38</f>
        <v>0</v>
      </c>
      <c r="AA90" s="86">
        <f>$I$38*$AA$38</f>
        <v>0</v>
      </c>
      <c r="AB90" s="86">
        <f ca="1">$I$38*$AB$38</f>
        <v>0</v>
      </c>
      <c r="AC90" s="86">
        <f ca="1">$I$38*$AC$38</f>
        <v>0</v>
      </c>
      <c r="AD90" s="86">
        <f>$I$38*$AD$38</f>
        <v>0</v>
      </c>
      <c r="AE90" s="86">
        <f>$I$38*$AE$38</f>
        <v>0</v>
      </c>
      <c r="AF90" s="86">
        <f ca="1">$I$38*$AF$38</f>
        <v>0</v>
      </c>
      <c r="AG90" s="86">
        <f ca="1">$I$38*$AG$38</f>
        <v>0</v>
      </c>
      <c r="AI90" s="86">
        <f>$I$38*$AI$38</f>
        <v>0</v>
      </c>
      <c r="AJ90" s="86">
        <f>$I$38*$AJ$38</f>
        <v>0</v>
      </c>
      <c r="AK90" s="86">
        <f>$I$38*$AK$38</f>
        <v>0</v>
      </c>
      <c r="AL90" s="86">
        <f>$I$38*$AL$38</f>
        <v>0</v>
      </c>
      <c r="AM90" s="86">
        <f>$I$38*$AM$38</f>
        <v>0</v>
      </c>
      <c r="AN90" s="86">
        <f>$I$38*$AN$38</f>
        <v>0</v>
      </c>
      <c r="AO90" s="86">
        <f>$I$38*$AO$38</f>
        <v>0</v>
      </c>
      <c r="AP90" s="86">
        <f>$I$38*$AP$38</f>
        <v>0</v>
      </c>
      <c r="AQ90" s="86">
        <f>$I$38*$AQ$38</f>
        <v>0</v>
      </c>
      <c r="AR90" s="86">
        <f>$I$38*$AR$38</f>
        <v>0</v>
      </c>
      <c r="AS90" s="86">
        <f>$I$38*$AS$38</f>
        <v>0</v>
      </c>
      <c r="AT90" s="86">
        <f>$I$38*$AT$38</f>
        <v>0</v>
      </c>
      <c r="AU90" s="86">
        <f>$I$38*$AU$38</f>
        <v>0</v>
      </c>
      <c r="AV90" s="86">
        <f>$I$38*$AV$38</f>
        <v>0</v>
      </c>
      <c r="AW90" s="86">
        <f>$I$38*$AW$38</f>
        <v>0</v>
      </c>
      <c r="AX90" s="86">
        <f>$I$38*$AX$38</f>
        <v>0</v>
      </c>
      <c r="AY90" s="86">
        <f>$I$38*$AY$38</f>
        <v>0</v>
      </c>
      <c r="AZ90" s="86">
        <f>$I$38*$AZ$38</f>
        <v>0</v>
      </c>
      <c r="BA90" s="86">
        <f>$I$38*$BA$38</f>
        <v>0</v>
      </c>
      <c r="BB90" s="86">
        <f>$I$38*$BB$38</f>
        <v>0</v>
      </c>
      <c r="BC90" s="86">
        <f>$I$38*$BC$38</f>
        <v>0</v>
      </c>
      <c r="BD90" s="86">
        <f>$I$38*$BD$38</f>
        <v>0</v>
      </c>
    </row>
    <row r="91" spans="1:56" ht="11.25" customHeight="1" x14ac:dyDescent="0.25">
      <c r="A91" s="9" t="s">
        <v>43</v>
      </c>
      <c r="B91" s="9" t="s">
        <v>838</v>
      </c>
      <c r="C91" s="9" t="s">
        <v>839</v>
      </c>
      <c r="D91" s="9" t="s">
        <v>862</v>
      </c>
      <c r="E91" s="9" t="s">
        <v>863</v>
      </c>
      <c r="F91" s="9" t="s">
        <v>864</v>
      </c>
      <c r="G91" s="9" t="s">
        <v>866</v>
      </c>
      <c r="L91" s="86">
        <f>$I$39*$L$39</f>
        <v>0</v>
      </c>
      <c r="M91" s="86">
        <f>$I$39*$M$39</f>
        <v>0</v>
      </c>
      <c r="N91" s="86">
        <f ca="1">$I$39*$N$39</f>
        <v>0</v>
      </c>
      <c r="O91" s="86">
        <f>$I$39*$O$39</f>
        <v>0</v>
      </c>
      <c r="P91" s="86">
        <f>$I$39*$P$39</f>
        <v>0</v>
      </c>
      <c r="Q91" s="86">
        <f>$I$39*$Q$39</f>
        <v>0</v>
      </c>
      <c r="R91" s="86">
        <f>$I$39*$R$39</f>
        <v>0</v>
      </c>
      <c r="S91" s="86">
        <f>$I$39*$S$39</f>
        <v>0</v>
      </c>
      <c r="T91" s="86">
        <f>$I$39*$T$39</f>
        <v>0</v>
      </c>
      <c r="U91" s="86">
        <f>$I$39*$U$39</f>
        <v>0</v>
      </c>
      <c r="V91" s="86">
        <f>$I$39*$V$39</f>
        <v>0</v>
      </c>
      <c r="W91" s="86">
        <f>$I$39*$W$39</f>
        <v>0</v>
      </c>
      <c r="X91" s="86">
        <f>$I$39*$X$39</f>
        <v>0</v>
      </c>
      <c r="Y91" s="86">
        <f>$I$39*$Y$39</f>
        <v>0</v>
      </c>
      <c r="Z91" s="86">
        <f>$I$39*$Z$39</f>
        <v>0</v>
      </c>
      <c r="AA91" s="86">
        <f>$I$39*$AA$39</f>
        <v>0</v>
      </c>
      <c r="AB91" s="86">
        <f ca="1">$I$39*$AB$39</f>
        <v>0</v>
      </c>
      <c r="AC91" s="86">
        <f ca="1">$I$39*$AC$39</f>
        <v>0</v>
      </c>
      <c r="AD91" s="86">
        <f>$I$39*$AD$39</f>
        <v>0</v>
      </c>
      <c r="AE91" s="86">
        <f>$I$39*$AE$39</f>
        <v>0</v>
      </c>
      <c r="AF91" s="86">
        <f ca="1">$I$39*$AF$39</f>
        <v>0</v>
      </c>
      <c r="AG91" s="86">
        <f ca="1">$I$39*$AG$39</f>
        <v>0</v>
      </c>
      <c r="AI91" s="86">
        <f>$I$39*$AI$39</f>
        <v>0</v>
      </c>
      <c r="AJ91" s="86">
        <f>$I$39*$AJ$39</f>
        <v>0</v>
      </c>
      <c r="AK91" s="86">
        <f>$I$39*$AK$39</f>
        <v>0</v>
      </c>
      <c r="AL91" s="86">
        <f>$I$39*$AL$39</f>
        <v>0</v>
      </c>
      <c r="AM91" s="86">
        <f>$I$39*$AM$39</f>
        <v>0</v>
      </c>
      <c r="AN91" s="86">
        <f>$I$39*$AN$39</f>
        <v>0</v>
      </c>
      <c r="AO91" s="86">
        <f>$I$39*$AO$39</f>
        <v>0</v>
      </c>
      <c r="AP91" s="86">
        <f>$I$39*$AP$39</f>
        <v>0</v>
      </c>
      <c r="AQ91" s="86">
        <f>$I$39*$AQ$39</f>
        <v>0</v>
      </c>
      <c r="AR91" s="86">
        <f>$I$39*$AR$39</f>
        <v>0</v>
      </c>
      <c r="AS91" s="86">
        <f>$I$39*$AS$39</f>
        <v>0</v>
      </c>
      <c r="AT91" s="86">
        <f>$I$39*$AT$39</f>
        <v>0</v>
      </c>
      <c r="AU91" s="86">
        <f>$I$39*$AU$39</f>
        <v>0</v>
      </c>
      <c r="AV91" s="86">
        <f>$I$39*$AV$39</f>
        <v>0</v>
      </c>
      <c r="AW91" s="86">
        <f>$I$39*$AW$39</f>
        <v>0</v>
      </c>
      <c r="AX91" s="86">
        <f>$I$39*$AX$39</f>
        <v>0</v>
      </c>
      <c r="AY91" s="86">
        <f>$I$39*$AY$39</f>
        <v>0</v>
      </c>
      <c r="AZ91" s="86">
        <f>$I$39*$AZ$39</f>
        <v>0</v>
      </c>
      <c r="BA91" s="86">
        <f>$I$39*$BA$39</f>
        <v>0</v>
      </c>
      <c r="BB91" s="86">
        <f>$I$39*$BB$39</f>
        <v>0</v>
      </c>
      <c r="BC91" s="86">
        <f>$I$39*$BC$39</f>
        <v>0</v>
      </c>
      <c r="BD91" s="86">
        <f>$I$39*$BD$39</f>
        <v>0</v>
      </c>
    </row>
    <row r="92" spans="1:56" ht="11.25" customHeight="1" x14ac:dyDescent="0.25">
      <c r="A92" s="9" t="s">
        <v>43</v>
      </c>
      <c r="B92" s="9" t="s">
        <v>838</v>
      </c>
      <c r="C92" s="9" t="s">
        <v>839</v>
      </c>
      <c r="D92" s="9" t="s">
        <v>862</v>
      </c>
      <c r="E92" s="9" t="s">
        <v>863</v>
      </c>
      <c r="F92" s="9" t="s">
        <v>864</v>
      </c>
      <c r="G92" s="9" t="s">
        <v>867</v>
      </c>
      <c r="L92" s="86">
        <f>$I$40*$L$40</f>
        <v>0</v>
      </c>
      <c r="M92" s="86">
        <f>$I$40*$M$40</f>
        <v>0</v>
      </c>
      <c r="N92" s="86">
        <f ca="1">$I$40*$N$40</f>
        <v>0</v>
      </c>
      <c r="O92" s="86">
        <f>$I$40*$O$40</f>
        <v>0</v>
      </c>
      <c r="P92" s="86">
        <f>$I$40*$P$40</f>
        <v>0</v>
      </c>
      <c r="Q92" s="86">
        <f>$I$40*$Q$40</f>
        <v>0</v>
      </c>
      <c r="R92" s="86">
        <f>$I$40*$R$40</f>
        <v>0</v>
      </c>
      <c r="S92" s="86">
        <f>$I$40*$S$40</f>
        <v>0</v>
      </c>
      <c r="T92" s="86">
        <f>$I$40*$T$40</f>
        <v>0</v>
      </c>
      <c r="U92" s="86">
        <f>$I$40*$U$40</f>
        <v>0</v>
      </c>
      <c r="V92" s="86">
        <f>$I$40*$V$40</f>
        <v>0</v>
      </c>
      <c r="W92" s="86">
        <f>$I$40*$W$40</f>
        <v>0</v>
      </c>
      <c r="X92" s="86">
        <f>$I$40*$X$40</f>
        <v>0</v>
      </c>
      <c r="Y92" s="86">
        <f>$I$40*$Y$40</f>
        <v>0</v>
      </c>
      <c r="Z92" s="86">
        <f>$I$40*$Z$40</f>
        <v>0</v>
      </c>
      <c r="AA92" s="86">
        <f>$I$40*$AA$40</f>
        <v>0</v>
      </c>
      <c r="AB92" s="86">
        <f ca="1">$I$40*$AB$40</f>
        <v>0</v>
      </c>
      <c r="AC92" s="86">
        <f ca="1">$I$40*$AC$40</f>
        <v>0</v>
      </c>
      <c r="AD92" s="86">
        <f>$I$40*$AD$40</f>
        <v>0</v>
      </c>
      <c r="AE92" s="86">
        <f>$I$40*$AE$40</f>
        <v>0</v>
      </c>
      <c r="AF92" s="86">
        <f ca="1">$I$40*$AF$40</f>
        <v>0</v>
      </c>
      <c r="AG92" s="86">
        <f ca="1">$I$40*$AG$40</f>
        <v>0</v>
      </c>
      <c r="AI92" s="86">
        <f>$I$40*$AI$40</f>
        <v>0</v>
      </c>
      <c r="AJ92" s="86">
        <f>$I$40*$AJ$40</f>
        <v>0</v>
      </c>
      <c r="AK92" s="86">
        <f>$I$40*$AK$40</f>
        <v>0</v>
      </c>
      <c r="AL92" s="86">
        <f>$I$40*$AL$40</f>
        <v>0</v>
      </c>
      <c r="AM92" s="86">
        <f>$I$40*$AM$40</f>
        <v>0</v>
      </c>
      <c r="AN92" s="86">
        <f>$I$40*$AN$40</f>
        <v>0</v>
      </c>
      <c r="AO92" s="86">
        <f>$I$40*$AO$40</f>
        <v>0</v>
      </c>
      <c r="AP92" s="86">
        <f>$I$40*$AP$40</f>
        <v>0</v>
      </c>
      <c r="AQ92" s="86">
        <f>$I$40*$AQ$40</f>
        <v>0</v>
      </c>
      <c r="AR92" s="86">
        <f>$I$40*$AR$40</f>
        <v>0</v>
      </c>
      <c r="AS92" s="86">
        <f>$I$40*$AS$40</f>
        <v>0</v>
      </c>
      <c r="AT92" s="86">
        <f>$I$40*$AT$40</f>
        <v>0</v>
      </c>
      <c r="AU92" s="86">
        <f>$I$40*$AU$40</f>
        <v>0</v>
      </c>
      <c r="AV92" s="86">
        <f>$I$40*$AV$40</f>
        <v>0</v>
      </c>
      <c r="AW92" s="86">
        <f>$I$40*$AW$40</f>
        <v>0</v>
      </c>
      <c r="AX92" s="86">
        <f>$I$40*$AX$40</f>
        <v>0</v>
      </c>
      <c r="AY92" s="86">
        <f>$I$40*$AY$40</f>
        <v>0</v>
      </c>
      <c r="AZ92" s="86">
        <f>$I$40*$AZ$40</f>
        <v>0</v>
      </c>
      <c r="BA92" s="86">
        <f>$I$40*$BA$40</f>
        <v>0</v>
      </c>
      <c r="BB92" s="86">
        <f>$I$40*$BB$40</f>
        <v>0</v>
      </c>
      <c r="BC92" s="86">
        <f>$I$40*$BC$40</f>
        <v>0</v>
      </c>
      <c r="BD92" s="86">
        <f>$I$40*$BD$40</f>
        <v>0</v>
      </c>
    </row>
    <row r="93" spans="1:56" ht="11.25" customHeight="1" x14ac:dyDescent="0.25">
      <c r="A93" s="9" t="s">
        <v>43</v>
      </c>
      <c r="B93" s="9" t="s">
        <v>846</v>
      </c>
      <c r="C93" s="9" t="s">
        <v>847</v>
      </c>
      <c r="D93" s="9" t="s">
        <v>868</v>
      </c>
      <c r="E93" s="9" t="s">
        <v>869</v>
      </c>
      <c r="F93" s="9" t="s">
        <v>870</v>
      </c>
      <c r="G93" s="9" t="s">
        <v>871</v>
      </c>
      <c r="L93" s="86">
        <f>$I$41*$L$41</f>
        <v>0</v>
      </c>
      <c r="M93" s="86">
        <f>$I$41*$M$41</f>
        <v>0</v>
      </c>
      <c r="N93" s="86">
        <f ca="1">$I$41*$N$41</f>
        <v>0</v>
      </c>
      <c r="O93" s="86">
        <f>$I$41*$O$41</f>
        <v>0</v>
      </c>
      <c r="P93" s="86">
        <f>$I$41*$P$41</f>
        <v>0</v>
      </c>
      <c r="Q93" s="86">
        <f>$I$41*$Q$41</f>
        <v>0</v>
      </c>
      <c r="R93" s="86">
        <f>$I$41*$R$41</f>
        <v>0</v>
      </c>
      <c r="S93" s="86">
        <f>$I$41*$S$41</f>
        <v>0</v>
      </c>
      <c r="T93" s="86">
        <f>$I$41*$T$41</f>
        <v>0</v>
      </c>
      <c r="U93" s="86">
        <f>$I$41*$U$41</f>
        <v>0</v>
      </c>
      <c r="V93" s="86">
        <f>$I$41*$V$41</f>
        <v>0</v>
      </c>
      <c r="W93" s="86">
        <f>$I$41*$W$41</f>
        <v>0</v>
      </c>
      <c r="X93" s="86">
        <f>$I$41*$X$41</f>
        <v>0</v>
      </c>
      <c r="Y93" s="86">
        <f>$I$41*$Y$41</f>
        <v>0</v>
      </c>
      <c r="Z93" s="86">
        <f>$I$41*$Z$41</f>
        <v>0</v>
      </c>
      <c r="AA93" s="86">
        <f>$I$41*$AA$41</f>
        <v>0</v>
      </c>
      <c r="AB93" s="86">
        <f ca="1">$I$41*$AB$41</f>
        <v>0</v>
      </c>
      <c r="AC93" s="86">
        <f ca="1">$I$41*$AC$41</f>
        <v>0</v>
      </c>
      <c r="AD93" s="86">
        <f>$I$41*$AD$41</f>
        <v>0</v>
      </c>
      <c r="AE93" s="86">
        <f>$I$41*$AE$41</f>
        <v>0</v>
      </c>
      <c r="AF93" s="86">
        <f ca="1">$I$41*$AF$41</f>
        <v>0</v>
      </c>
      <c r="AG93" s="86">
        <f ca="1">$I$41*$AG$41</f>
        <v>0</v>
      </c>
      <c r="AI93" s="86">
        <f>$I$41*$AI$41</f>
        <v>0</v>
      </c>
      <c r="AJ93" s="86">
        <f>$I$41*$AJ$41</f>
        <v>0</v>
      </c>
      <c r="AK93" s="86">
        <f>$I$41*$AK$41</f>
        <v>0</v>
      </c>
      <c r="AL93" s="86">
        <f>$I$41*$AL$41</f>
        <v>0</v>
      </c>
      <c r="AM93" s="86">
        <f>$I$41*$AM$41</f>
        <v>0</v>
      </c>
      <c r="AN93" s="86">
        <f>$I$41*$AN$41</f>
        <v>0</v>
      </c>
      <c r="AO93" s="86">
        <f>$I$41*$AO$41</f>
        <v>0</v>
      </c>
      <c r="AP93" s="86">
        <f>$I$41*$AP$41</f>
        <v>0</v>
      </c>
      <c r="AQ93" s="86">
        <f>$I$41*$AQ$41</f>
        <v>0</v>
      </c>
      <c r="AR93" s="86">
        <f>$I$41*$AR$41</f>
        <v>0</v>
      </c>
      <c r="AS93" s="86">
        <f>$I$41*$AS$41</f>
        <v>0</v>
      </c>
      <c r="AT93" s="86">
        <f>$I$41*$AT$41</f>
        <v>0</v>
      </c>
      <c r="AU93" s="86">
        <f>$I$41*$AU$41</f>
        <v>0</v>
      </c>
      <c r="AV93" s="86">
        <f>$I$41*$AV$41</f>
        <v>0</v>
      </c>
      <c r="AW93" s="86">
        <f>$I$41*$AW$41</f>
        <v>0</v>
      </c>
      <c r="AX93" s="86">
        <f>$I$41*$AX$41</f>
        <v>0</v>
      </c>
      <c r="AY93" s="86">
        <f>$I$41*$AY$41</f>
        <v>0</v>
      </c>
      <c r="AZ93" s="86">
        <f>$I$41*$AZ$41</f>
        <v>0</v>
      </c>
      <c r="BA93" s="86">
        <f>$I$41*$BA$41</f>
        <v>0</v>
      </c>
      <c r="BB93" s="86">
        <f>$I$41*$BB$41</f>
        <v>0</v>
      </c>
      <c r="BC93" s="86">
        <f>$I$41*$BC$41</f>
        <v>0</v>
      </c>
      <c r="BD93" s="86">
        <f>$I$41*$BD$41</f>
        <v>0</v>
      </c>
    </row>
    <row r="94" spans="1:56" ht="11.25" customHeight="1" x14ac:dyDescent="0.25">
      <c r="A94" s="9" t="s">
        <v>43</v>
      </c>
      <c r="B94" s="9" t="s">
        <v>872</v>
      </c>
      <c r="C94" s="9" t="s">
        <v>873</v>
      </c>
      <c r="D94" s="9" t="s">
        <v>874</v>
      </c>
      <c r="E94" s="9" t="s">
        <v>875</v>
      </c>
      <c r="F94" s="9" t="s">
        <v>876</v>
      </c>
      <c r="G94" s="9" t="s">
        <v>877</v>
      </c>
      <c r="L94" s="86">
        <f>$I$42*$L$42</f>
        <v>0</v>
      </c>
      <c r="M94" s="86">
        <f>$I$42*$M$42</f>
        <v>0</v>
      </c>
      <c r="N94" s="86">
        <f ca="1">$I$42*$N$42</f>
        <v>0</v>
      </c>
      <c r="O94" s="86">
        <f>$I$42*$O$42</f>
        <v>0</v>
      </c>
      <c r="P94" s="86">
        <f>$I$42*$P$42</f>
        <v>0</v>
      </c>
      <c r="Q94" s="86">
        <f>$I$42*$Q$42</f>
        <v>0</v>
      </c>
      <c r="R94" s="86">
        <f>$I$42*$R$42</f>
        <v>0</v>
      </c>
      <c r="S94" s="86">
        <f>$I$42*$S$42</f>
        <v>0</v>
      </c>
      <c r="T94" s="86">
        <f>$I$42*$T$42</f>
        <v>0</v>
      </c>
      <c r="U94" s="86">
        <f>$I$42*$U$42</f>
        <v>0</v>
      </c>
      <c r="V94" s="86">
        <f>$I$42*$V$42</f>
        <v>0</v>
      </c>
      <c r="W94" s="86">
        <f>$I$42*$W$42</f>
        <v>0</v>
      </c>
      <c r="X94" s="86">
        <f>$I$42*$X$42</f>
        <v>0</v>
      </c>
      <c r="Y94" s="86">
        <f>$I$42*$Y$42</f>
        <v>0</v>
      </c>
      <c r="Z94" s="86">
        <f>$I$42*$Z$42</f>
        <v>0</v>
      </c>
      <c r="AA94" s="86">
        <f>$I$42*$AA$42</f>
        <v>0</v>
      </c>
      <c r="AB94" s="86">
        <f ca="1">$I$42*$AB$42</f>
        <v>0</v>
      </c>
      <c r="AC94" s="86">
        <f ca="1">$I$42*$AC$42</f>
        <v>0</v>
      </c>
      <c r="AD94" s="86">
        <f>$I$42*$AD$42</f>
        <v>0</v>
      </c>
      <c r="AE94" s="86">
        <f>$I$42*$AE$42</f>
        <v>0</v>
      </c>
      <c r="AF94" s="86">
        <f ca="1">$I$42*$AF$42</f>
        <v>0</v>
      </c>
      <c r="AG94" s="86">
        <f ca="1">$I$42*$AG$42</f>
        <v>0</v>
      </c>
      <c r="AI94" s="86">
        <f>$I$42*$AI$42</f>
        <v>0</v>
      </c>
      <c r="AJ94" s="86">
        <f>$I$42*$AJ$42</f>
        <v>0</v>
      </c>
      <c r="AK94" s="86">
        <f>$I$42*$AK$42</f>
        <v>0</v>
      </c>
      <c r="AL94" s="86">
        <f>$I$42*$AL$42</f>
        <v>0</v>
      </c>
      <c r="AM94" s="86">
        <f>$I$42*$AM$42</f>
        <v>0</v>
      </c>
      <c r="AN94" s="86">
        <f>$I$42*$AN$42</f>
        <v>0</v>
      </c>
      <c r="AO94" s="86">
        <f>$I$42*$AO$42</f>
        <v>0</v>
      </c>
      <c r="AP94" s="86">
        <f>$I$42*$AP$42</f>
        <v>0</v>
      </c>
      <c r="AQ94" s="86">
        <f>$I$42*$AQ$42</f>
        <v>0</v>
      </c>
      <c r="AR94" s="86">
        <f>$I$42*$AR$42</f>
        <v>0</v>
      </c>
      <c r="AS94" s="86">
        <f>$I$42*$AS$42</f>
        <v>0</v>
      </c>
      <c r="AT94" s="86">
        <f>$I$42*$AT$42</f>
        <v>0</v>
      </c>
      <c r="AU94" s="86">
        <f>$I$42*$AU$42</f>
        <v>0</v>
      </c>
      <c r="AV94" s="86">
        <f>$I$42*$AV$42</f>
        <v>0</v>
      </c>
      <c r="AW94" s="86">
        <f>$I$42*$AW$42</f>
        <v>0</v>
      </c>
      <c r="AX94" s="86">
        <f>$I$42*$AX$42</f>
        <v>0</v>
      </c>
      <c r="AY94" s="86">
        <f>$I$42*$AY$42</f>
        <v>0</v>
      </c>
      <c r="AZ94" s="86">
        <f>$I$42*$AZ$42</f>
        <v>0</v>
      </c>
      <c r="BA94" s="86">
        <f>$I$42*$BA$42</f>
        <v>0</v>
      </c>
      <c r="BB94" s="86">
        <f>$I$42*$BB$42</f>
        <v>0</v>
      </c>
      <c r="BC94" s="86">
        <f>$I$42*$BC$42</f>
        <v>0</v>
      </c>
      <c r="BD94" s="86">
        <f>$I$42*$BD$42</f>
        <v>0</v>
      </c>
    </row>
    <row r="95" spans="1:56" ht="11.25" customHeight="1" x14ac:dyDescent="0.25">
      <c r="A95" s="9" t="s">
        <v>43</v>
      </c>
      <c r="B95" s="9" t="s">
        <v>872</v>
      </c>
      <c r="C95" s="9" t="s">
        <v>873</v>
      </c>
      <c r="D95" s="9" t="s">
        <v>878</v>
      </c>
      <c r="E95" s="9" t="s">
        <v>879</v>
      </c>
      <c r="F95" s="9" t="s">
        <v>880</v>
      </c>
      <c r="G95" s="9" t="s">
        <v>881</v>
      </c>
      <c r="L95" s="86">
        <f>$I$43*$L$43</f>
        <v>0</v>
      </c>
      <c r="M95" s="86">
        <f>$I$43*$M$43</f>
        <v>0</v>
      </c>
      <c r="N95" s="86">
        <f ca="1">$I$43*$N$43</f>
        <v>0</v>
      </c>
      <c r="O95" s="86">
        <f>$I$43*$O$43</f>
        <v>0</v>
      </c>
      <c r="P95" s="86">
        <f>$I$43*$P$43</f>
        <v>0</v>
      </c>
      <c r="Q95" s="86">
        <f>$I$43*$Q$43</f>
        <v>0</v>
      </c>
      <c r="R95" s="86">
        <f>$I$43*$R$43</f>
        <v>0</v>
      </c>
      <c r="S95" s="86">
        <f>$I$43*$S$43</f>
        <v>0</v>
      </c>
      <c r="T95" s="86">
        <f>$I$43*$T$43</f>
        <v>0</v>
      </c>
      <c r="U95" s="86">
        <f>$I$43*$U$43</f>
        <v>0</v>
      </c>
      <c r="V95" s="86">
        <f>$I$43*$V$43</f>
        <v>0</v>
      </c>
      <c r="W95" s="86">
        <f>$I$43*$W$43</f>
        <v>0</v>
      </c>
      <c r="X95" s="86">
        <f>$I$43*$X$43</f>
        <v>0</v>
      </c>
      <c r="Y95" s="86">
        <f>$I$43*$Y$43</f>
        <v>0</v>
      </c>
      <c r="Z95" s="86">
        <f>$I$43*$Z$43</f>
        <v>0</v>
      </c>
      <c r="AA95" s="86">
        <f>$I$43*$AA$43</f>
        <v>0</v>
      </c>
      <c r="AB95" s="86">
        <f ca="1">$I$43*$AB$43</f>
        <v>0</v>
      </c>
      <c r="AC95" s="86">
        <f ca="1">$I$43*$AC$43</f>
        <v>0</v>
      </c>
      <c r="AD95" s="86">
        <f>$I$43*$AD$43</f>
        <v>0</v>
      </c>
      <c r="AE95" s="86">
        <f>$I$43*$AE$43</f>
        <v>0</v>
      </c>
      <c r="AF95" s="86">
        <f ca="1">$I$43*$AF$43</f>
        <v>0</v>
      </c>
      <c r="AG95" s="86">
        <f ca="1">$I$43*$AG$43</f>
        <v>0</v>
      </c>
      <c r="AI95" s="86">
        <f>$I$43*$AI$43</f>
        <v>0</v>
      </c>
      <c r="AJ95" s="86">
        <f>$I$43*$AJ$43</f>
        <v>0</v>
      </c>
      <c r="AK95" s="86">
        <f>$I$43*$AK$43</f>
        <v>0</v>
      </c>
      <c r="AL95" s="86">
        <f>$I$43*$AL$43</f>
        <v>0</v>
      </c>
      <c r="AM95" s="86">
        <f>$I$43*$AM$43</f>
        <v>0</v>
      </c>
      <c r="AN95" s="86">
        <f>$I$43*$AN$43</f>
        <v>0</v>
      </c>
      <c r="AO95" s="86">
        <f>$I$43*$AO$43</f>
        <v>0</v>
      </c>
      <c r="AP95" s="86">
        <f>$I$43*$AP$43</f>
        <v>0</v>
      </c>
      <c r="AQ95" s="86">
        <f>$I$43*$AQ$43</f>
        <v>0</v>
      </c>
      <c r="AR95" s="86">
        <f>$I$43*$AR$43</f>
        <v>0</v>
      </c>
      <c r="AS95" s="86">
        <f>$I$43*$AS$43</f>
        <v>0</v>
      </c>
      <c r="AT95" s="86">
        <f>$I$43*$AT$43</f>
        <v>0</v>
      </c>
      <c r="AU95" s="86">
        <f>$I$43*$AU$43</f>
        <v>0</v>
      </c>
      <c r="AV95" s="86">
        <f>$I$43*$AV$43</f>
        <v>0</v>
      </c>
      <c r="AW95" s="86">
        <f>$I$43*$AW$43</f>
        <v>0</v>
      </c>
      <c r="AX95" s="86">
        <f>$I$43*$AX$43</f>
        <v>0</v>
      </c>
      <c r="AY95" s="86">
        <f>$I$43*$AY$43</f>
        <v>0</v>
      </c>
      <c r="AZ95" s="86">
        <f>$I$43*$AZ$43</f>
        <v>0</v>
      </c>
      <c r="BA95" s="86">
        <f>$I$43*$BA$43</f>
        <v>0</v>
      </c>
      <c r="BB95" s="86">
        <f>$I$43*$BB$43</f>
        <v>0</v>
      </c>
      <c r="BC95" s="86">
        <f>$I$43*$BC$43</f>
        <v>0</v>
      </c>
      <c r="BD95" s="86">
        <f>$I$43*$BD$43</f>
        <v>0</v>
      </c>
    </row>
    <row r="96" spans="1:56" ht="11.25" customHeight="1" x14ac:dyDescent="0.25">
      <c r="A96" s="9" t="s">
        <v>43</v>
      </c>
      <c r="B96" s="9" t="s">
        <v>872</v>
      </c>
      <c r="C96" s="9" t="s">
        <v>873</v>
      </c>
      <c r="D96" s="9" t="s">
        <v>882</v>
      </c>
      <c r="E96" s="9" t="s">
        <v>883</v>
      </c>
      <c r="F96" s="9" t="s">
        <v>884</v>
      </c>
      <c r="G96" s="9" t="s">
        <v>885</v>
      </c>
      <c r="L96" s="86">
        <f>$I$44*$L$44</f>
        <v>0</v>
      </c>
      <c r="M96" s="86">
        <f>$I$44*$M$44</f>
        <v>0</v>
      </c>
      <c r="N96" s="86">
        <f ca="1">$I$44*$N$44</f>
        <v>0</v>
      </c>
      <c r="O96" s="86">
        <f>$I$44*$O$44</f>
        <v>0</v>
      </c>
      <c r="P96" s="86">
        <f>$I$44*$P$44</f>
        <v>0</v>
      </c>
      <c r="Q96" s="86">
        <f>$I$44*$Q$44</f>
        <v>0</v>
      </c>
      <c r="R96" s="86">
        <f>$I$44*$R$44</f>
        <v>0</v>
      </c>
      <c r="S96" s="86">
        <f>$I$44*$S$44</f>
        <v>0</v>
      </c>
      <c r="T96" s="86">
        <f>$I$44*$T$44</f>
        <v>0</v>
      </c>
      <c r="U96" s="86">
        <f>$I$44*$U$44</f>
        <v>0</v>
      </c>
      <c r="V96" s="86">
        <f>$I$44*$V$44</f>
        <v>0</v>
      </c>
      <c r="W96" s="86">
        <f>$I$44*$W$44</f>
        <v>0</v>
      </c>
      <c r="X96" s="86">
        <f>$I$44*$X$44</f>
        <v>0</v>
      </c>
      <c r="Y96" s="86">
        <f>$I$44*$Y$44</f>
        <v>0</v>
      </c>
      <c r="Z96" s="86">
        <f>$I$44*$Z$44</f>
        <v>0</v>
      </c>
      <c r="AA96" s="86">
        <f>$I$44*$AA$44</f>
        <v>0</v>
      </c>
      <c r="AB96" s="86">
        <f ca="1">$I$44*$AB$44</f>
        <v>0</v>
      </c>
      <c r="AC96" s="86">
        <f ca="1">$I$44*$AC$44</f>
        <v>0</v>
      </c>
      <c r="AD96" s="86">
        <f>$I$44*$AD$44</f>
        <v>0</v>
      </c>
      <c r="AE96" s="86">
        <f>$I$44*$AE$44</f>
        <v>0</v>
      </c>
      <c r="AF96" s="86">
        <f ca="1">$I$44*$AF$44</f>
        <v>0</v>
      </c>
      <c r="AG96" s="86">
        <f ca="1">$I$44*$AG$44</f>
        <v>0</v>
      </c>
      <c r="AI96" s="86">
        <f>$I$44*$AI$44</f>
        <v>0</v>
      </c>
      <c r="AJ96" s="86">
        <f>$I$44*$AJ$44</f>
        <v>0</v>
      </c>
      <c r="AK96" s="86">
        <f>$I$44*$AK$44</f>
        <v>0</v>
      </c>
      <c r="AL96" s="86">
        <f>$I$44*$AL$44</f>
        <v>0</v>
      </c>
      <c r="AM96" s="86">
        <f>$I$44*$AM$44</f>
        <v>0</v>
      </c>
      <c r="AN96" s="86">
        <f>$I$44*$AN$44</f>
        <v>0</v>
      </c>
      <c r="AO96" s="86">
        <f>$I$44*$AO$44</f>
        <v>0</v>
      </c>
      <c r="AP96" s="86">
        <f>$I$44*$AP$44</f>
        <v>0</v>
      </c>
      <c r="AQ96" s="86">
        <f>$I$44*$AQ$44</f>
        <v>0</v>
      </c>
      <c r="AR96" s="86">
        <f>$I$44*$AR$44</f>
        <v>0</v>
      </c>
      <c r="AS96" s="86">
        <f>$I$44*$AS$44</f>
        <v>0</v>
      </c>
      <c r="AT96" s="86">
        <f>$I$44*$AT$44</f>
        <v>0</v>
      </c>
      <c r="AU96" s="86">
        <f>$I$44*$AU$44</f>
        <v>0</v>
      </c>
      <c r="AV96" s="86">
        <f>$I$44*$AV$44</f>
        <v>0</v>
      </c>
      <c r="AW96" s="86">
        <f>$I$44*$AW$44</f>
        <v>0</v>
      </c>
      <c r="AX96" s="86">
        <f>$I$44*$AX$44</f>
        <v>0</v>
      </c>
      <c r="AY96" s="86">
        <f>$I$44*$AY$44</f>
        <v>0</v>
      </c>
      <c r="AZ96" s="86">
        <f>$I$44*$AZ$44</f>
        <v>0</v>
      </c>
      <c r="BA96" s="86">
        <f>$I$44*$BA$44</f>
        <v>0</v>
      </c>
      <c r="BB96" s="86">
        <f>$I$44*$BB$44</f>
        <v>0</v>
      </c>
      <c r="BC96" s="86">
        <f>$I$44*$BC$44</f>
        <v>0</v>
      </c>
      <c r="BD96" s="86">
        <f>$I$44*$BD$44</f>
        <v>0</v>
      </c>
    </row>
    <row r="97" spans="1:56" ht="11.25" customHeight="1" x14ac:dyDescent="0.25">
      <c r="A97" s="9" t="s">
        <v>39</v>
      </c>
      <c r="B97" s="9" t="s">
        <v>886</v>
      </c>
      <c r="C97" s="9" t="s">
        <v>887</v>
      </c>
      <c r="D97" s="9" t="s">
        <v>888</v>
      </c>
      <c r="E97" s="9" t="s">
        <v>889</v>
      </c>
      <c r="F97" s="9" t="s">
        <v>890</v>
      </c>
      <c r="G97" s="9" t="s">
        <v>891</v>
      </c>
      <c r="L97" s="86">
        <f>$I$45*$L$45</f>
        <v>0</v>
      </c>
      <c r="M97" s="86">
        <f>$I$45*$M$45</f>
        <v>0</v>
      </c>
      <c r="N97" s="86">
        <f ca="1">$I$45*$N$45</f>
        <v>0</v>
      </c>
      <c r="O97" s="86">
        <f>$I$45*$O$45</f>
        <v>0</v>
      </c>
      <c r="P97" s="86">
        <f>$I$45*$P$45</f>
        <v>0</v>
      </c>
      <c r="Q97" s="86">
        <f>$I$45*$Q$45</f>
        <v>0</v>
      </c>
      <c r="R97" s="86">
        <f>$I$45*$R$45</f>
        <v>0</v>
      </c>
      <c r="S97" s="86">
        <f>$I$45*$S$45</f>
        <v>0</v>
      </c>
      <c r="T97" s="86">
        <f>$I$45*$T$45</f>
        <v>0</v>
      </c>
      <c r="U97" s="86">
        <f>$I$45*$U$45</f>
        <v>0</v>
      </c>
      <c r="V97" s="86">
        <f>$I$45*$V$45</f>
        <v>0</v>
      </c>
      <c r="W97" s="86">
        <f>$I$45*$W$45</f>
        <v>0</v>
      </c>
      <c r="X97" s="86">
        <f>$I$45*$X$45</f>
        <v>0</v>
      </c>
      <c r="Y97" s="86">
        <f>$I$45*$Y$45</f>
        <v>0</v>
      </c>
      <c r="Z97" s="86">
        <f>$I$45*$Z$45</f>
        <v>0</v>
      </c>
      <c r="AA97" s="86">
        <f>$I$45*$AA$45</f>
        <v>0</v>
      </c>
      <c r="AB97" s="86">
        <f ca="1">$I$45*$AB$45</f>
        <v>0</v>
      </c>
      <c r="AC97" s="86">
        <f ca="1">$I$45*$AC$45</f>
        <v>0</v>
      </c>
      <c r="AD97" s="86">
        <f>$I$45*$AD$45</f>
        <v>0</v>
      </c>
      <c r="AE97" s="86">
        <f>$I$45*$AE$45</f>
        <v>0</v>
      </c>
      <c r="AF97" s="86">
        <f ca="1">$I$45*$AF$45</f>
        <v>0</v>
      </c>
      <c r="AG97" s="86">
        <f ca="1">$I$45*$AG$45</f>
        <v>0</v>
      </c>
      <c r="AI97" s="86">
        <f>$I$45*$AI$45</f>
        <v>0</v>
      </c>
      <c r="AJ97" s="86">
        <f>$I$45*$AJ$45</f>
        <v>0</v>
      </c>
      <c r="AK97" s="86">
        <f>$I$45*$AK$45</f>
        <v>0</v>
      </c>
      <c r="AL97" s="86">
        <f>$I$45*$AL$45</f>
        <v>0</v>
      </c>
      <c r="AM97" s="86">
        <f>$I$45*$AM$45</f>
        <v>0</v>
      </c>
      <c r="AN97" s="86">
        <f>$I$45*$AN$45</f>
        <v>0</v>
      </c>
      <c r="AO97" s="86">
        <f>$I$45*$AO$45</f>
        <v>0</v>
      </c>
      <c r="AP97" s="86">
        <f>$I$45*$AP$45</f>
        <v>0</v>
      </c>
      <c r="AQ97" s="86">
        <f>$I$45*$AQ$45</f>
        <v>0</v>
      </c>
      <c r="AR97" s="86">
        <f>$I$45*$AR$45</f>
        <v>0</v>
      </c>
      <c r="AS97" s="86">
        <f>$I$45*$AS$45</f>
        <v>0</v>
      </c>
      <c r="AT97" s="86">
        <f>$I$45*$AT$45</f>
        <v>0</v>
      </c>
      <c r="AU97" s="86">
        <f>$I$45*$AU$45</f>
        <v>0</v>
      </c>
      <c r="AV97" s="86">
        <f>$I$45*$AV$45</f>
        <v>0</v>
      </c>
      <c r="AW97" s="86">
        <f>$I$45*$AW$45</f>
        <v>0</v>
      </c>
      <c r="AX97" s="86">
        <f>$I$45*$AX$45</f>
        <v>0</v>
      </c>
      <c r="AY97" s="86">
        <f>$I$45*$AY$45</f>
        <v>0</v>
      </c>
      <c r="AZ97" s="86">
        <f>$I$45*$AZ$45</f>
        <v>0</v>
      </c>
      <c r="BA97" s="86">
        <f>$I$45*$BA$45</f>
        <v>0</v>
      </c>
      <c r="BB97" s="86">
        <f>$I$45*$BB$45</f>
        <v>0</v>
      </c>
      <c r="BC97" s="86">
        <f>$I$45*$BC$45</f>
        <v>0</v>
      </c>
      <c r="BD97" s="86">
        <f>$I$45*$BD$45</f>
        <v>0</v>
      </c>
    </row>
    <row r="98" spans="1:56" ht="11.25" customHeight="1" x14ac:dyDescent="0.25">
      <c r="A98" s="9" t="s">
        <v>39</v>
      </c>
      <c r="B98" s="9" t="s">
        <v>886</v>
      </c>
      <c r="C98" s="9" t="s">
        <v>887</v>
      </c>
      <c r="D98" s="9" t="s">
        <v>888</v>
      </c>
      <c r="E98" s="9" t="s">
        <v>889</v>
      </c>
      <c r="F98" s="9" t="s">
        <v>890</v>
      </c>
      <c r="G98" s="9" t="s">
        <v>892</v>
      </c>
      <c r="L98" s="86">
        <f>$I$46*$L$46</f>
        <v>0</v>
      </c>
      <c r="M98" s="86">
        <f>$I$46*$M$46</f>
        <v>0</v>
      </c>
      <c r="N98" s="86">
        <f ca="1">$I$46*$N$46</f>
        <v>0</v>
      </c>
      <c r="O98" s="86">
        <f>$I$46*$O$46</f>
        <v>0</v>
      </c>
      <c r="P98" s="86">
        <f>$I$46*$P$46</f>
        <v>0</v>
      </c>
      <c r="Q98" s="86">
        <f>$I$46*$Q$46</f>
        <v>0</v>
      </c>
      <c r="R98" s="86">
        <f>$I$46*$R$46</f>
        <v>0</v>
      </c>
      <c r="S98" s="86">
        <f>$I$46*$S$46</f>
        <v>0</v>
      </c>
      <c r="T98" s="86">
        <f>$I$46*$T$46</f>
        <v>0</v>
      </c>
      <c r="U98" s="86">
        <f>$I$46*$U$46</f>
        <v>0</v>
      </c>
      <c r="V98" s="86">
        <f>$I$46*$V$46</f>
        <v>0</v>
      </c>
      <c r="W98" s="86">
        <f>$I$46*$W$46</f>
        <v>0</v>
      </c>
      <c r="X98" s="86">
        <f>$I$46*$X$46</f>
        <v>0</v>
      </c>
      <c r="Y98" s="86">
        <f>$I$46*$Y$46</f>
        <v>0</v>
      </c>
      <c r="Z98" s="86">
        <f>$I$46*$Z$46</f>
        <v>0</v>
      </c>
      <c r="AA98" s="86">
        <f>$I$46*$AA$46</f>
        <v>0</v>
      </c>
      <c r="AB98" s="86">
        <f ca="1">$I$46*$AB$46</f>
        <v>0</v>
      </c>
      <c r="AC98" s="86">
        <f ca="1">$I$46*$AC$46</f>
        <v>0</v>
      </c>
      <c r="AD98" s="86">
        <f>$I$46*$AD$46</f>
        <v>0</v>
      </c>
      <c r="AE98" s="86">
        <f>$I$46*$AE$46</f>
        <v>0</v>
      </c>
      <c r="AF98" s="86">
        <f ca="1">$I$46*$AF$46</f>
        <v>0</v>
      </c>
      <c r="AG98" s="86">
        <f ca="1">$I$46*$AG$46</f>
        <v>0</v>
      </c>
      <c r="AI98" s="86">
        <f>$I$46*$AI$46</f>
        <v>0</v>
      </c>
      <c r="AJ98" s="86">
        <f>$I$46*$AJ$46</f>
        <v>0</v>
      </c>
      <c r="AK98" s="86">
        <f>$I$46*$AK$46</f>
        <v>0</v>
      </c>
      <c r="AL98" s="86">
        <f>$I$46*$AL$46</f>
        <v>0</v>
      </c>
      <c r="AM98" s="86">
        <f>$I$46*$AM$46</f>
        <v>0</v>
      </c>
      <c r="AN98" s="86">
        <f>$I$46*$AN$46</f>
        <v>0</v>
      </c>
      <c r="AO98" s="86">
        <f>$I$46*$AO$46</f>
        <v>0</v>
      </c>
      <c r="AP98" s="86">
        <f>$I$46*$AP$46</f>
        <v>0</v>
      </c>
      <c r="AQ98" s="86">
        <f>$I$46*$AQ$46</f>
        <v>0</v>
      </c>
      <c r="AR98" s="86">
        <f>$I$46*$AR$46</f>
        <v>0</v>
      </c>
      <c r="AS98" s="86">
        <f>$I$46*$AS$46</f>
        <v>0</v>
      </c>
      <c r="AT98" s="86">
        <f>$I$46*$AT$46</f>
        <v>0</v>
      </c>
      <c r="AU98" s="86">
        <f>$I$46*$AU$46</f>
        <v>0</v>
      </c>
      <c r="AV98" s="86">
        <f>$I$46*$AV$46</f>
        <v>0</v>
      </c>
      <c r="AW98" s="86">
        <f>$I$46*$AW$46</f>
        <v>0</v>
      </c>
      <c r="AX98" s="86">
        <f>$I$46*$AX$46</f>
        <v>0</v>
      </c>
      <c r="AY98" s="86">
        <f>$I$46*$AY$46</f>
        <v>0</v>
      </c>
      <c r="AZ98" s="86">
        <f>$I$46*$AZ$46</f>
        <v>0</v>
      </c>
      <c r="BA98" s="86">
        <f>$I$46*$BA$46</f>
        <v>0</v>
      </c>
      <c r="BB98" s="86">
        <f>$I$46*$BB$46</f>
        <v>0</v>
      </c>
      <c r="BC98" s="86">
        <f>$I$46*$BC$46</f>
        <v>0</v>
      </c>
      <c r="BD98" s="86">
        <f>$I$46*$BD$46</f>
        <v>0</v>
      </c>
    </row>
    <row r="99" spans="1:56" ht="11.25" customHeight="1" x14ac:dyDescent="0.25">
      <c r="A99" s="9" t="s">
        <v>39</v>
      </c>
      <c r="B99" s="9" t="s">
        <v>886</v>
      </c>
      <c r="C99" s="9" t="s">
        <v>887</v>
      </c>
      <c r="D99" s="9" t="s">
        <v>888</v>
      </c>
      <c r="E99" s="9" t="s">
        <v>889</v>
      </c>
      <c r="F99" s="9" t="s">
        <v>890</v>
      </c>
      <c r="G99" s="9" t="s">
        <v>893</v>
      </c>
      <c r="L99" s="86">
        <f>$I$47*$L$47</f>
        <v>0</v>
      </c>
      <c r="M99" s="86">
        <f>$I$47*$M$47</f>
        <v>0</v>
      </c>
      <c r="N99" s="86">
        <f ca="1">$I$47*$N$47</f>
        <v>0</v>
      </c>
      <c r="O99" s="86">
        <f>$I$47*$O$47</f>
        <v>0</v>
      </c>
      <c r="P99" s="86">
        <f>$I$47*$P$47</f>
        <v>0</v>
      </c>
      <c r="Q99" s="86">
        <f>$I$47*$Q$47</f>
        <v>0</v>
      </c>
      <c r="R99" s="86">
        <f>$I$47*$R$47</f>
        <v>0</v>
      </c>
      <c r="S99" s="86">
        <f>$I$47*$S$47</f>
        <v>0</v>
      </c>
      <c r="T99" s="86">
        <f>$I$47*$T$47</f>
        <v>0</v>
      </c>
      <c r="U99" s="86">
        <f>$I$47*$U$47</f>
        <v>0</v>
      </c>
      <c r="V99" s="86">
        <f>$I$47*$V$47</f>
        <v>0</v>
      </c>
      <c r="W99" s="86">
        <f>$I$47*$W$47</f>
        <v>0</v>
      </c>
      <c r="X99" s="86">
        <f>$I$47*$X$47</f>
        <v>0</v>
      </c>
      <c r="Y99" s="86">
        <f>$I$47*$Y$47</f>
        <v>0</v>
      </c>
      <c r="Z99" s="86">
        <f>$I$47*$Z$47</f>
        <v>0</v>
      </c>
      <c r="AA99" s="86">
        <f>$I$47*$AA$47</f>
        <v>0</v>
      </c>
      <c r="AB99" s="86">
        <f ca="1">$I$47*$AB$47</f>
        <v>0</v>
      </c>
      <c r="AC99" s="86">
        <f ca="1">$I$47*$AC$47</f>
        <v>0</v>
      </c>
      <c r="AD99" s="86">
        <f>$I$47*$AD$47</f>
        <v>0</v>
      </c>
      <c r="AE99" s="86">
        <f>$I$47*$AE$47</f>
        <v>0</v>
      </c>
      <c r="AF99" s="86">
        <f ca="1">$I$47*$AF$47</f>
        <v>0</v>
      </c>
      <c r="AG99" s="86">
        <f ca="1">$I$47*$AG$47</f>
        <v>0</v>
      </c>
      <c r="AI99" s="86">
        <f>$I$47*$AI$47</f>
        <v>0</v>
      </c>
      <c r="AJ99" s="86">
        <f>$I$47*$AJ$47</f>
        <v>0</v>
      </c>
      <c r="AK99" s="86">
        <f>$I$47*$AK$47</f>
        <v>0</v>
      </c>
      <c r="AL99" s="86">
        <f>$I$47*$AL$47</f>
        <v>0</v>
      </c>
      <c r="AM99" s="86">
        <f>$I$47*$AM$47</f>
        <v>0</v>
      </c>
      <c r="AN99" s="86">
        <f>$I$47*$AN$47</f>
        <v>0</v>
      </c>
      <c r="AO99" s="86">
        <f>$I$47*$AO$47</f>
        <v>0</v>
      </c>
      <c r="AP99" s="86">
        <f>$I$47*$AP$47</f>
        <v>0</v>
      </c>
      <c r="AQ99" s="86">
        <f>$I$47*$AQ$47</f>
        <v>0</v>
      </c>
      <c r="AR99" s="86">
        <f>$I$47*$AR$47</f>
        <v>0</v>
      </c>
      <c r="AS99" s="86">
        <f>$I$47*$AS$47</f>
        <v>0</v>
      </c>
      <c r="AT99" s="86">
        <f>$I$47*$AT$47</f>
        <v>0</v>
      </c>
      <c r="AU99" s="86">
        <f>$I$47*$AU$47</f>
        <v>0</v>
      </c>
      <c r="AV99" s="86">
        <f>$I$47*$AV$47</f>
        <v>0</v>
      </c>
      <c r="AW99" s="86">
        <f>$I$47*$AW$47</f>
        <v>0</v>
      </c>
      <c r="AX99" s="86">
        <f>$I$47*$AX$47</f>
        <v>0</v>
      </c>
      <c r="AY99" s="86">
        <f>$I$47*$AY$47</f>
        <v>0</v>
      </c>
      <c r="AZ99" s="86">
        <f>$I$47*$AZ$47</f>
        <v>0</v>
      </c>
      <c r="BA99" s="86">
        <f>$I$47*$BA$47</f>
        <v>0</v>
      </c>
      <c r="BB99" s="86">
        <f>$I$47*$BB$47</f>
        <v>0</v>
      </c>
      <c r="BC99" s="86">
        <f>$I$47*$BC$47</f>
        <v>0</v>
      </c>
      <c r="BD99" s="86">
        <f>$I$47*$BD$47</f>
        <v>0</v>
      </c>
    </row>
    <row r="100" spans="1:56" ht="11.25" customHeight="1" x14ac:dyDescent="0.25">
      <c r="A100" s="9" t="s">
        <v>39</v>
      </c>
      <c r="B100" s="9" t="s">
        <v>894</v>
      </c>
      <c r="C100" s="9" t="s">
        <v>895</v>
      </c>
      <c r="D100" s="9" t="s">
        <v>896</v>
      </c>
      <c r="E100" s="9" t="s">
        <v>897</v>
      </c>
      <c r="F100" s="9" t="s">
        <v>898</v>
      </c>
      <c r="G100" s="9" t="s">
        <v>899</v>
      </c>
      <c r="L100" s="86">
        <f>$I$48*$L$48</f>
        <v>109438.49194731236</v>
      </c>
      <c r="M100" s="86">
        <f>$I$48*$M$48</f>
        <v>14929.522091443767</v>
      </c>
      <c r="N100" s="86">
        <f ca="1">$I$48*$N$48</f>
        <v>0</v>
      </c>
      <c r="O100" s="86">
        <f>$I$48*$O$48</f>
        <v>0</v>
      </c>
      <c r="P100" s="86">
        <f>$I$48*$P$48</f>
        <v>0</v>
      </c>
      <c r="Q100" s="86">
        <f>$I$48*$Q$48</f>
        <v>429411.90733033238</v>
      </c>
      <c r="R100" s="86">
        <f>$I$48*$R$48</f>
        <v>70018.969029900793</v>
      </c>
      <c r="S100" s="86">
        <f>$I$48*$S$48</f>
        <v>0</v>
      </c>
      <c r="T100" s="86">
        <f>$I$48*$T$48</f>
        <v>0</v>
      </c>
      <c r="U100" s="86">
        <f>$I$48*$U$48</f>
        <v>0</v>
      </c>
      <c r="V100" s="86">
        <f>$I$48*$V$48</f>
        <v>0</v>
      </c>
      <c r="W100" s="86">
        <f>$I$48*$W$48</f>
        <v>0</v>
      </c>
      <c r="X100" s="86">
        <f>$I$48*$X$48</f>
        <v>1148511.6761876384</v>
      </c>
      <c r="Y100" s="86">
        <f>$I$48*$Y$48</f>
        <v>0</v>
      </c>
      <c r="Z100" s="86">
        <f>$I$48*$Z$48</f>
        <v>0</v>
      </c>
      <c r="AA100" s="86">
        <f>$I$48*$AA$48</f>
        <v>2479472.2579139001</v>
      </c>
      <c r="AB100" s="86">
        <f ca="1">$I$48*$AB$48</f>
        <v>0</v>
      </c>
      <c r="AC100" s="86">
        <f ca="1">$I$48*$AC$48</f>
        <v>0</v>
      </c>
      <c r="AD100" s="86">
        <f>$I$48*$AD$48</f>
        <v>210061.89793811063</v>
      </c>
      <c r="AE100" s="86">
        <f>$I$48*$AE$48</f>
        <v>0</v>
      </c>
      <c r="AF100" s="86">
        <f ca="1">$I$48*$AF$48</f>
        <v>19544.094687780955</v>
      </c>
      <c r="AG100" s="86">
        <f ca="1">$I$48*$AG$48</f>
        <v>0</v>
      </c>
      <c r="AI100" s="86">
        <f>$I$48*$AI$48</f>
        <v>0</v>
      </c>
      <c r="AJ100" s="86">
        <f>$I$48*$AJ$48</f>
        <v>11407.45557081516</v>
      </c>
      <c r="AK100" s="86">
        <f>$I$48*$AK$48</f>
        <v>1.1518846525566845E-5</v>
      </c>
      <c r="AL100" s="86">
        <f>$I$48*$AL$48</f>
        <v>0</v>
      </c>
      <c r="AM100" s="86">
        <f>$I$48*$AM$48</f>
        <v>0</v>
      </c>
      <c r="AN100" s="86">
        <f>$I$48*$AN$48</f>
        <v>380678.60716364475</v>
      </c>
      <c r="AO100" s="86">
        <f>$I$48*$AO$48</f>
        <v>42636.279914244864</v>
      </c>
      <c r="AP100" s="86">
        <f>$I$48*$AP$48</f>
        <v>0</v>
      </c>
      <c r="AQ100" s="86">
        <f>$I$48*$AQ$48</f>
        <v>0</v>
      </c>
      <c r="AR100" s="86">
        <f>$I$48*$AR$48</f>
        <v>0</v>
      </c>
      <c r="AS100" s="86">
        <f>$I$48*$AS$48</f>
        <v>0</v>
      </c>
      <c r="AT100" s="86">
        <f>$I$48*$AT$48</f>
        <v>0</v>
      </c>
      <c r="AU100" s="86">
        <f>$I$48*$AU$48</f>
        <v>876316.3164136241</v>
      </c>
      <c r="AV100" s="86">
        <f>$I$48*$AV$48</f>
        <v>0</v>
      </c>
      <c r="AW100" s="86">
        <f>$I$48*$AW$48</f>
        <v>0</v>
      </c>
      <c r="AX100" s="86">
        <f>$I$48*$AX$48</f>
        <v>2108386.2991646859</v>
      </c>
      <c r="AY100" s="86">
        <f>$I$48*$AY$48</f>
        <v>39335.951376444995</v>
      </c>
      <c r="AZ100" s="86">
        <f>$I$48*$AZ$48</f>
        <v>0</v>
      </c>
      <c r="BA100" s="86">
        <f>$I$48*$BA$48</f>
        <v>181203.13653732245</v>
      </c>
      <c r="BB100" s="86">
        <f>$I$48*$BB$48</f>
        <v>0</v>
      </c>
      <c r="BC100" s="86">
        <f>$I$48*$BC$48</f>
        <v>22786.223707007197</v>
      </c>
      <c r="BD100" s="86">
        <f>$I$48*$BD$48</f>
        <v>0</v>
      </c>
    </row>
    <row r="101" spans="1:56" ht="11.25" customHeight="1" x14ac:dyDescent="0.25">
      <c r="A101" s="9" t="s">
        <v>39</v>
      </c>
      <c r="B101" s="9" t="s">
        <v>900</v>
      </c>
      <c r="C101" s="9" t="s">
        <v>901</v>
      </c>
      <c r="D101" s="9" t="s">
        <v>902</v>
      </c>
      <c r="E101" s="9" t="s">
        <v>903</v>
      </c>
      <c r="F101" s="9" t="s">
        <v>904</v>
      </c>
      <c r="G101" s="9" t="s">
        <v>905</v>
      </c>
      <c r="L101" s="86">
        <f>$I$49*$L$49</f>
        <v>0</v>
      </c>
      <c r="M101" s="86">
        <f>$I$49*$M$49</f>
        <v>0</v>
      </c>
      <c r="N101" s="86">
        <f ca="1">$I$49*$N$49</f>
        <v>0</v>
      </c>
      <c r="O101" s="86">
        <f>$I$49*$O$49</f>
        <v>0</v>
      </c>
      <c r="P101" s="86">
        <f>$I$49*$P$49</f>
        <v>0</v>
      </c>
      <c r="Q101" s="86">
        <f>$I$49*$Q$49</f>
        <v>0</v>
      </c>
      <c r="R101" s="86">
        <f>$I$49*$R$49</f>
        <v>0</v>
      </c>
      <c r="S101" s="86">
        <f>$I$49*$S$49</f>
        <v>0</v>
      </c>
      <c r="T101" s="86">
        <f>$I$49*$T$49</f>
        <v>0</v>
      </c>
      <c r="U101" s="86">
        <f>$I$49*$U$49</f>
        <v>0</v>
      </c>
      <c r="V101" s="86">
        <f>$I$49*$V$49</f>
        <v>0</v>
      </c>
      <c r="W101" s="86">
        <f>$I$49*$W$49</f>
        <v>0</v>
      </c>
      <c r="X101" s="86">
        <f>$I$49*$X$49</f>
        <v>0</v>
      </c>
      <c r="Y101" s="86">
        <f>$I$49*$Y$49</f>
        <v>0</v>
      </c>
      <c r="Z101" s="86">
        <f>$I$49*$Z$49</f>
        <v>0</v>
      </c>
      <c r="AA101" s="86">
        <f>$I$49*$AA$49</f>
        <v>0</v>
      </c>
      <c r="AB101" s="86">
        <f ca="1">$I$49*$AB$49</f>
        <v>0</v>
      </c>
      <c r="AC101" s="86">
        <f ca="1">$I$49*$AC$49</f>
        <v>0</v>
      </c>
      <c r="AD101" s="86">
        <f>$I$49*$AD$49</f>
        <v>0</v>
      </c>
      <c r="AE101" s="86">
        <f>$I$49*$AE$49</f>
        <v>0</v>
      </c>
      <c r="AF101" s="86">
        <f ca="1">$I$49*$AF$49</f>
        <v>0</v>
      </c>
      <c r="AG101" s="86">
        <f ca="1">$I$49*$AG$49</f>
        <v>0</v>
      </c>
      <c r="AI101" s="86">
        <f>$I$49*$AI$49</f>
        <v>0</v>
      </c>
      <c r="AJ101" s="86">
        <f>$I$49*$AJ$49</f>
        <v>0</v>
      </c>
      <c r="AK101" s="86">
        <f>$I$49*$AK$49</f>
        <v>0</v>
      </c>
      <c r="AL101" s="86">
        <f>$I$49*$AL$49</f>
        <v>0</v>
      </c>
      <c r="AM101" s="86">
        <f>$I$49*$AM$49</f>
        <v>0</v>
      </c>
      <c r="AN101" s="86">
        <f>$I$49*$AN$49</f>
        <v>0</v>
      </c>
      <c r="AO101" s="86">
        <f>$I$49*$AO$49</f>
        <v>0</v>
      </c>
      <c r="AP101" s="86">
        <f>$I$49*$AP$49</f>
        <v>0</v>
      </c>
      <c r="AQ101" s="86">
        <f>$I$49*$AQ$49</f>
        <v>0</v>
      </c>
      <c r="AR101" s="86">
        <f>$I$49*$AR$49</f>
        <v>0</v>
      </c>
      <c r="AS101" s="86">
        <f>$I$49*$AS$49</f>
        <v>0</v>
      </c>
      <c r="AT101" s="86">
        <f>$I$49*$AT$49</f>
        <v>0</v>
      </c>
      <c r="AU101" s="86">
        <f>$I$49*$AU$49</f>
        <v>0</v>
      </c>
      <c r="AV101" s="86">
        <f>$I$49*$AV$49</f>
        <v>0</v>
      </c>
      <c r="AW101" s="86">
        <f>$I$49*$AW$49</f>
        <v>0</v>
      </c>
      <c r="AX101" s="86">
        <f>$I$49*$AX$49</f>
        <v>0</v>
      </c>
      <c r="AY101" s="86">
        <f>$I$49*$AY$49</f>
        <v>0</v>
      </c>
      <c r="AZ101" s="86">
        <f>$I$49*$AZ$49</f>
        <v>0</v>
      </c>
      <c r="BA101" s="86">
        <f>$I$49*$BA$49</f>
        <v>0</v>
      </c>
      <c r="BB101" s="86">
        <f>$I$49*$BB$49</f>
        <v>0</v>
      </c>
      <c r="BC101" s="86">
        <f>$I$49*$BC$49</f>
        <v>0</v>
      </c>
      <c r="BD101" s="86">
        <f>$I$49*$BD$49</f>
        <v>0</v>
      </c>
    </row>
    <row r="102" spans="1:56" ht="11.25" customHeight="1" x14ac:dyDescent="0.25">
      <c r="A102" s="9" t="s">
        <v>46</v>
      </c>
      <c r="B102" s="9" t="s">
        <v>906</v>
      </c>
      <c r="C102" s="9" t="s">
        <v>907</v>
      </c>
      <c r="D102" s="9" t="s">
        <v>908</v>
      </c>
      <c r="E102" s="9" t="s">
        <v>909</v>
      </c>
      <c r="F102" s="9" t="s">
        <v>910</v>
      </c>
      <c r="G102" s="9" t="s">
        <v>911</v>
      </c>
      <c r="L102" s="86">
        <f>$I$50*$L$50</f>
        <v>43586.857007273029</v>
      </c>
      <c r="M102" s="86">
        <f>$I$50*$M$50</f>
        <v>5946.0883735493044</v>
      </c>
      <c r="N102" s="86">
        <f ca="1">$I$50*$N$50</f>
        <v>0</v>
      </c>
      <c r="O102" s="86">
        <f>$I$50*$O$50</f>
        <v>0</v>
      </c>
      <c r="P102" s="86">
        <f>$I$50*$P$50</f>
        <v>0</v>
      </c>
      <c r="Q102" s="86">
        <f>$I$50*$Q$50</f>
        <v>171024.97548155612</v>
      </c>
      <c r="R102" s="86">
        <f>$I$50*$R$50</f>
        <v>27886.959483800838</v>
      </c>
      <c r="S102" s="86">
        <f>$I$50*$S$50</f>
        <v>0</v>
      </c>
      <c r="T102" s="86">
        <f>$I$50*$T$50</f>
        <v>0</v>
      </c>
      <c r="U102" s="86">
        <f>$I$50*$U$50</f>
        <v>0</v>
      </c>
      <c r="V102" s="86">
        <f>$I$50*$V$50</f>
        <v>0</v>
      </c>
      <c r="W102" s="86">
        <f>$I$50*$W$50</f>
        <v>0</v>
      </c>
      <c r="X102" s="86">
        <f>$I$50*$X$50</f>
        <v>457426.02360853762</v>
      </c>
      <c r="Y102" s="86">
        <f>$I$50*$Y$50</f>
        <v>0</v>
      </c>
      <c r="Z102" s="86">
        <f>$I$50*$Z$50</f>
        <v>0</v>
      </c>
      <c r="AA102" s="86">
        <f>$I$50*$AA$50</f>
        <v>987517.28789559286</v>
      </c>
      <c r="AB102" s="86">
        <f ca="1">$I$50*$AB$50</f>
        <v>0</v>
      </c>
      <c r="AC102" s="86">
        <f ca="1">$I$50*$AC$50</f>
        <v>0</v>
      </c>
      <c r="AD102" s="86">
        <f>$I$50*$AD$50</f>
        <v>83662.866192571499</v>
      </c>
      <c r="AE102" s="86">
        <f>$I$50*$AE$50</f>
        <v>0</v>
      </c>
      <c r="AF102" s="86">
        <f ca="1">$I$50*$AF$50</f>
        <v>7783.9674627738077</v>
      </c>
      <c r="AG102" s="86">
        <f ca="1">$I$50*$AG$50</f>
        <v>0</v>
      </c>
      <c r="AI102" s="86">
        <f>$I$50*$AI$50</f>
        <v>0</v>
      </c>
      <c r="AJ102" s="86">
        <f>$I$50*$AJ$50</f>
        <v>4543.329553748963</v>
      </c>
      <c r="AK102" s="86">
        <f>$I$50*$AK$50</f>
        <v>4.5876940321904449E-6</v>
      </c>
      <c r="AL102" s="86">
        <f>$I$50*$AL$50</f>
        <v>0</v>
      </c>
      <c r="AM102" s="86">
        <f>$I$50*$AM$50</f>
        <v>0</v>
      </c>
      <c r="AN102" s="86">
        <f>$I$50*$AN$50</f>
        <v>151615.61276043451</v>
      </c>
      <c r="AO102" s="86">
        <f>$I$50*$AO$50</f>
        <v>16981.058518596445</v>
      </c>
      <c r="AP102" s="86">
        <f>$I$50*$AP$50</f>
        <v>0</v>
      </c>
      <c r="AQ102" s="86">
        <f>$I$50*$AQ$50</f>
        <v>0</v>
      </c>
      <c r="AR102" s="86">
        <f>$I$50*$AR$50</f>
        <v>0</v>
      </c>
      <c r="AS102" s="86">
        <f>$I$50*$AS$50</f>
        <v>0</v>
      </c>
      <c r="AT102" s="86">
        <f>$I$50*$AT$50</f>
        <v>0</v>
      </c>
      <c r="AU102" s="86">
        <f>$I$50*$AU$50</f>
        <v>349016.81572009914</v>
      </c>
      <c r="AV102" s="86">
        <f>$I$50*$AV$50</f>
        <v>0</v>
      </c>
      <c r="AW102" s="86">
        <f>$I$50*$AW$50</f>
        <v>0</v>
      </c>
      <c r="AX102" s="86">
        <f>$I$50*$AX$50</f>
        <v>839722.2083618223</v>
      </c>
      <c r="AY102" s="86">
        <f>$I$50*$AY$50</f>
        <v>15666.612883477857</v>
      </c>
      <c r="AZ102" s="86">
        <f>$I$50*$AZ$50</f>
        <v>0</v>
      </c>
      <c r="BA102" s="86">
        <f>$I$50*$BA$50</f>
        <v>72169.079279017038</v>
      </c>
      <c r="BB102" s="86">
        <f>$I$50*$BB$50</f>
        <v>0</v>
      </c>
      <c r="BC102" s="86">
        <f>$I$50*$BC$50</f>
        <v>9075.2335561349937</v>
      </c>
      <c r="BD102" s="86">
        <f>$I$50*$BD$50</f>
        <v>0</v>
      </c>
    </row>
    <row r="103" spans="1:56" ht="11.25" customHeight="1" x14ac:dyDescent="0.25">
      <c r="A103" s="9" t="s">
        <v>46</v>
      </c>
      <c r="B103" s="9" t="s">
        <v>906</v>
      </c>
      <c r="C103" s="9" t="s">
        <v>907</v>
      </c>
      <c r="D103" s="9" t="s">
        <v>912</v>
      </c>
      <c r="E103" s="9" t="s">
        <v>913</v>
      </c>
      <c r="F103" s="9" t="s">
        <v>914</v>
      </c>
      <c r="G103" s="9" t="s">
        <v>915</v>
      </c>
      <c r="L103" s="86">
        <f>$I$51*$L$51</f>
        <v>0</v>
      </c>
      <c r="M103" s="86">
        <f>$I$51*$M$51</f>
        <v>0</v>
      </c>
      <c r="N103" s="86">
        <f ca="1">$I$51*$N$51</f>
        <v>0</v>
      </c>
      <c r="O103" s="86">
        <f>$I$51*$O$51</f>
        <v>0</v>
      </c>
      <c r="P103" s="86">
        <f>$I$51*$P$51</f>
        <v>0</v>
      </c>
      <c r="Q103" s="86">
        <f>$I$51*$Q$51</f>
        <v>0</v>
      </c>
      <c r="R103" s="86">
        <f>$I$51*$R$51</f>
        <v>0</v>
      </c>
      <c r="S103" s="86">
        <f>$I$51*$S$51</f>
        <v>0</v>
      </c>
      <c r="T103" s="86">
        <f>$I$51*$T$51</f>
        <v>0</v>
      </c>
      <c r="U103" s="86">
        <f>$I$51*$U$51</f>
        <v>0</v>
      </c>
      <c r="V103" s="86">
        <f>$I$51*$V$51</f>
        <v>0</v>
      </c>
      <c r="W103" s="86">
        <f>$I$51*$W$51</f>
        <v>0</v>
      </c>
      <c r="X103" s="86">
        <f>$I$51*$X$51</f>
        <v>0</v>
      </c>
      <c r="Y103" s="86">
        <f>$I$51*$Y$51</f>
        <v>0</v>
      </c>
      <c r="Z103" s="86">
        <f>$I$51*$Z$51</f>
        <v>0</v>
      </c>
      <c r="AA103" s="86">
        <f>$I$51*$AA$51</f>
        <v>0</v>
      </c>
      <c r="AB103" s="86">
        <f ca="1">$I$51*$AB$51</f>
        <v>0</v>
      </c>
      <c r="AC103" s="86">
        <f ca="1">$I$51*$AC$51</f>
        <v>0</v>
      </c>
      <c r="AD103" s="86">
        <f>$I$51*$AD$51</f>
        <v>0</v>
      </c>
      <c r="AE103" s="86">
        <f>$I$51*$AE$51</f>
        <v>0</v>
      </c>
      <c r="AF103" s="86">
        <f ca="1">$I$51*$AF$51</f>
        <v>0</v>
      </c>
      <c r="AG103" s="86">
        <f ca="1">$I$51*$AG$51</f>
        <v>0</v>
      </c>
      <c r="AI103" s="86">
        <f>$I$51*$AI$51</f>
        <v>0</v>
      </c>
      <c r="AJ103" s="86">
        <f>$I$51*$AJ$51</f>
        <v>0</v>
      </c>
      <c r="AK103" s="86">
        <f>$I$51*$AK$51</f>
        <v>0</v>
      </c>
      <c r="AL103" s="86">
        <f>$I$51*$AL$51</f>
        <v>0</v>
      </c>
      <c r="AM103" s="86">
        <f>$I$51*$AM$51</f>
        <v>0</v>
      </c>
      <c r="AN103" s="86">
        <f>$I$51*$AN$51</f>
        <v>0</v>
      </c>
      <c r="AO103" s="86">
        <f>$I$51*$AO$51</f>
        <v>0</v>
      </c>
      <c r="AP103" s="86">
        <f>$I$51*$AP$51</f>
        <v>0</v>
      </c>
      <c r="AQ103" s="86">
        <f>$I$51*$AQ$51</f>
        <v>0</v>
      </c>
      <c r="AR103" s="86">
        <f>$I$51*$AR$51</f>
        <v>0</v>
      </c>
      <c r="AS103" s="86">
        <f>$I$51*$AS$51</f>
        <v>0</v>
      </c>
      <c r="AT103" s="86">
        <f>$I$51*$AT$51</f>
        <v>0</v>
      </c>
      <c r="AU103" s="86">
        <f>$I$51*$AU$51</f>
        <v>0</v>
      </c>
      <c r="AV103" s="86">
        <f>$I$51*$AV$51</f>
        <v>0</v>
      </c>
      <c r="AW103" s="86">
        <f>$I$51*$AW$51</f>
        <v>0</v>
      </c>
      <c r="AX103" s="86">
        <f>$I$51*$AX$51</f>
        <v>0</v>
      </c>
      <c r="AY103" s="86">
        <f>$I$51*$AY$51</f>
        <v>0</v>
      </c>
      <c r="AZ103" s="86">
        <f>$I$51*$AZ$51</f>
        <v>0</v>
      </c>
      <c r="BA103" s="86">
        <f>$I$51*$BA$51</f>
        <v>0</v>
      </c>
      <c r="BB103" s="86">
        <f>$I$51*$BB$51</f>
        <v>0</v>
      </c>
      <c r="BC103" s="86">
        <f>$I$51*$BC$51</f>
        <v>0</v>
      </c>
      <c r="BD103" s="86">
        <f>$I$51*$BD$51</f>
        <v>0</v>
      </c>
    </row>
  </sheetData>
  <mergeCells count="88">
    <mergeCell ref="A1:A4"/>
    <mergeCell ref="B1:B4"/>
    <mergeCell ref="C1:C4"/>
    <mergeCell ref="D1:D4"/>
    <mergeCell ref="E1:E4"/>
    <mergeCell ref="J1:J4"/>
    <mergeCell ref="L1:AG1"/>
    <mergeCell ref="L2:AG2"/>
    <mergeCell ref="L3:S3"/>
    <mergeCell ref="T3:Z3"/>
    <mergeCell ref="F5:F7"/>
    <mergeCell ref="B10:B14"/>
    <mergeCell ref="G1:G4"/>
    <mergeCell ref="H1:H4"/>
    <mergeCell ref="I1:I4"/>
    <mergeCell ref="F1:F4"/>
    <mergeCell ref="F10:F12"/>
    <mergeCell ref="F13:F14"/>
    <mergeCell ref="A5:A14"/>
    <mergeCell ref="B5:B8"/>
    <mergeCell ref="C5:C8"/>
    <mergeCell ref="D5:D8"/>
    <mergeCell ref="E5:E7"/>
    <mergeCell ref="C10:C14"/>
    <mergeCell ref="D10:D14"/>
    <mergeCell ref="E10:E12"/>
    <mergeCell ref="E13:E14"/>
    <mergeCell ref="A15:A16"/>
    <mergeCell ref="B15:B16"/>
    <mergeCell ref="C15:C16"/>
    <mergeCell ref="D15:D16"/>
    <mergeCell ref="A17:A29"/>
    <mergeCell ref="B17:B19"/>
    <mergeCell ref="C17:C19"/>
    <mergeCell ref="D17:D19"/>
    <mergeCell ref="E17:E19"/>
    <mergeCell ref="F17:F19"/>
    <mergeCell ref="B20:B24"/>
    <mergeCell ref="C20:C24"/>
    <mergeCell ref="B25:B29"/>
    <mergeCell ref="C25:C29"/>
    <mergeCell ref="D38:D40"/>
    <mergeCell ref="E38:E40"/>
    <mergeCell ref="F38:F40"/>
    <mergeCell ref="D30:D32"/>
    <mergeCell ref="E30:E32"/>
    <mergeCell ref="F30:F32"/>
    <mergeCell ref="D34:D36"/>
    <mergeCell ref="E34:E36"/>
    <mergeCell ref="F34:F36"/>
    <mergeCell ref="B42:B44"/>
    <mergeCell ref="C42:C44"/>
    <mergeCell ref="A45:A49"/>
    <mergeCell ref="B45:B47"/>
    <mergeCell ref="C45:C47"/>
    <mergeCell ref="A30:A44"/>
    <mergeCell ref="B30:B32"/>
    <mergeCell ref="C30:C32"/>
    <mergeCell ref="B38:B40"/>
    <mergeCell ref="C38:C40"/>
    <mergeCell ref="B34:B36"/>
    <mergeCell ref="C34:C36"/>
    <mergeCell ref="AI1:BD1"/>
    <mergeCell ref="AI2:BD2"/>
    <mergeCell ref="AI3:AP3"/>
    <mergeCell ref="AQ3:AW3"/>
    <mergeCell ref="AY3:AZ3"/>
    <mergeCell ref="E45:E47"/>
    <mergeCell ref="F45:F47"/>
    <mergeCell ref="A50:A51"/>
    <mergeCell ref="B50:B51"/>
    <mergeCell ref="C50:C51"/>
    <mergeCell ref="D45:D47"/>
    <mergeCell ref="AQ55:AW55"/>
    <mergeCell ref="AY55:AZ55"/>
    <mergeCell ref="BA55:BD55"/>
    <mergeCell ref="BA3:BD3"/>
    <mergeCell ref="L53:AG53"/>
    <mergeCell ref="AI53:BD53"/>
    <mergeCell ref="L54:AG54"/>
    <mergeCell ref="AI54:BD54"/>
    <mergeCell ref="L55:S55"/>
    <mergeCell ref="T55:Z55"/>
    <mergeCell ref="AB55:AC55"/>
    <mergeCell ref="AD55:AG55"/>
    <mergeCell ref="AI55:AP55"/>
    <mergeCell ref="AB3:AC3"/>
    <mergeCell ref="AD3:AG3"/>
  </mergeCells>
  <pageMargins left="0.511811024" right="0.511811024" top="0.78740157499999996" bottom="0.78740157499999996" header="0.31496062000000002" footer="0.3149606200000000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D7D97-C554-4F34-B143-699FA99547B6}">
  <dimension ref="A1:AF85"/>
  <sheetViews>
    <sheetView showGridLines="0" topLeftCell="K29" workbookViewId="0">
      <selection activeCell="V43" sqref="V43"/>
    </sheetView>
  </sheetViews>
  <sheetFormatPr defaultRowHeight="11.25" customHeight="1" x14ac:dyDescent="0.25"/>
  <cols>
    <col min="1" max="1" width="9.28515625" style="9" bestFit="1" customWidth="1"/>
    <col min="2" max="2" width="29" style="9" bestFit="1" customWidth="1"/>
    <col min="3" max="3" width="38.7109375" style="9" bestFit="1" customWidth="1"/>
    <col min="4" max="4" width="61.7109375" style="9" bestFit="1" customWidth="1"/>
    <col min="5" max="5" width="71.42578125" style="9" bestFit="1" customWidth="1"/>
    <col min="6" max="6" width="81" style="9" bestFit="1" customWidth="1"/>
    <col min="7" max="7" width="81.85546875" style="9" bestFit="1" customWidth="1"/>
    <col min="8" max="8" width="7.42578125" style="9" bestFit="1" customWidth="1"/>
    <col min="9" max="9" width="7.85546875" style="9" bestFit="1" customWidth="1"/>
    <col min="10" max="10" width="9.140625" style="9"/>
    <col min="11" max="11" width="20" style="9" bestFit="1" customWidth="1"/>
    <col min="12" max="12" width="4.140625" style="9" bestFit="1" customWidth="1"/>
    <col min="13" max="13" width="7.140625" style="9" bestFit="1" customWidth="1"/>
    <col min="14" max="14" width="6" style="9" bestFit="1" customWidth="1"/>
    <col min="15" max="15" width="11.140625" style="9" bestFit="1" customWidth="1"/>
    <col min="16" max="16" width="15" style="9" bestFit="1" customWidth="1"/>
    <col min="17" max="17" width="6" style="9" bestFit="1" customWidth="1"/>
    <col min="18" max="18" width="10.42578125" style="9" bestFit="1" customWidth="1"/>
    <col min="19" max="19" width="7" style="9" bestFit="1" customWidth="1"/>
    <col min="20" max="20" width="11.140625" style="9" bestFit="1" customWidth="1"/>
    <col min="21" max="21" width="11" style="9" bestFit="1" customWidth="1"/>
    <col min="22" max="22" width="9.140625" style="9"/>
    <col min="23" max="23" width="4.140625" style="9" bestFit="1" customWidth="1"/>
    <col min="24" max="24" width="7.140625" style="9" bestFit="1" customWidth="1"/>
    <col min="25" max="25" width="6" style="9" bestFit="1" customWidth="1"/>
    <col min="26" max="26" width="11.140625" style="9" bestFit="1" customWidth="1"/>
    <col min="27" max="27" width="15" style="9" bestFit="1" customWidth="1"/>
    <col min="28" max="28" width="6" style="9" bestFit="1" customWidth="1"/>
    <col min="29" max="29" width="10.42578125" style="9" bestFit="1" customWidth="1"/>
    <col min="30" max="30" width="7" style="9" bestFit="1" customWidth="1"/>
    <col min="31" max="31" width="11.140625" style="9" bestFit="1" customWidth="1"/>
    <col min="32" max="32" width="11" style="9" bestFit="1" customWidth="1"/>
    <col min="33" max="16384" width="9.140625" style="9"/>
  </cols>
  <sheetData>
    <row r="1" spans="1:32" ht="11.25" customHeight="1" x14ac:dyDescent="0.25">
      <c r="A1" s="139" t="s">
        <v>61</v>
      </c>
      <c r="B1" s="139" t="s">
        <v>62</v>
      </c>
      <c r="C1" s="139" t="s">
        <v>63</v>
      </c>
      <c r="D1" s="139" t="s">
        <v>64</v>
      </c>
      <c r="E1" s="139" t="s">
        <v>65</v>
      </c>
      <c r="F1" s="139" t="s">
        <v>15</v>
      </c>
      <c r="G1" s="139" t="s">
        <v>67</v>
      </c>
      <c r="H1" s="139" t="s">
        <v>68</v>
      </c>
      <c r="I1" s="139" t="s">
        <v>545</v>
      </c>
      <c r="J1" s="124"/>
      <c r="L1" s="140" t="s">
        <v>916</v>
      </c>
      <c r="M1" s="140"/>
      <c r="N1" s="140"/>
      <c r="O1" s="140"/>
      <c r="P1" s="140"/>
      <c r="Q1" s="140"/>
      <c r="R1" s="140"/>
      <c r="S1" s="140"/>
      <c r="T1" s="140"/>
      <c r="U1" s="140"/>
      <c r="W1" s="140" t="s">
        <v>917</v>
      </c>
      <c r="X1" s="140"/>
      <c r="Y1" s="140"/>
      <c r="Z1" s="140"/>
      <c r="AA1" s="140"/>
      <c r="AB1" s="140"/>
      <c r="AC1" s="140"/>
      <c r="AD1" s="140"/>
      <c r="AE1" s="140"/>
      <c r="AF1" s="140"/>
    </row>
    <row r="2" spans="1:32" ht="11.25" customHeight="1" x14ac:dyDescent="0.25">
      <c r="A2" s="139"/>
      <c r="B2" s="139"/>
      <c r="C2" s="139"/>
      <c r="D2" s="139"/>
      <c r="E2" s="139"/>
      <c r="F2" s="139"/>
      <c r="G2" s="139"/>
      <c r="H2" s="139"/>
      <c r="I2" s="139"/>
      <c r="J2" s="124"/>
      <c r="L2" s="140" t="s">
        <v>473</v>
      </c>
      <c r="M2" s="140"/>
      <c r="N2" s="140"/>
      <c r="O2" s="140"/>
      <c r="P2" s="140"/>
      <c r="Q2" s="140"/>
      <c r="R2" s="140"/>
      <c r="S2" s="140"/>
      <c r="T2" s="140"/>
      <c r="U2" s="140"/>
      <c r="W2" s="140" t="s">
        <v>473</v>
      </c>
      <c r="X2" s="140"/>
      <c r="Y2" s="140"/>
      <c r="Z2" s="140"/>
      <c r="AA2" s="140"/>
      <c r="AB2" s="140"/>
      <c r="AC2" s="140"/>
      <c r="AD2" s="140"/>
      <c r="AE2" s="140"/>
      <c r="AF2" s="140"/>
    </row>
    <row r="3" spans="1:32" ht="11.25" customHeight="1" x14ac:dyDescent="0.25">
      <c r="A3" s="139"/>
      <c r="B3" s="139"/>
      <c r="C3" s="139"/>
      <c r="D3" s="139"/>
      <c r="E3" s="139"/>
      <c r="F3" s="139"/>
      <c r="G3" s="139"/>
      <c r="H3" s="139"/>
      <c r="I3" s="139"/>
      <c r="J3" s="124"/>
      <c r="L3" s="140" t="s">
        <v>446</v>
      </c>
      <c r="M3" s="140"/>
      <c r="N3" s="140"/>
      <c r="O3" s="140"/>
      <c r="P3" s="90" t="s">
        <v>476</v>
      </c>
      <c r="Q3" s="140" t="s">
        <v>455</v>
      </c>
      <c r="R3" s="140"/>
      <c r="S3" s="140"/>
      <c r="T3" s="90" t="s">
        <v>465</v>
      </c>
      <c r="U3" s="90" t="s">
        <v>468</v>
      </c>
      <c r="W3" s="140" t="s">
        <v>446</v>
      </c>
      <c r="X3" s="140"/>
      <c r="Y3" s="140"/>
      <c r="Z3" s="140"/>
      <c r="AA3" s="90" t="s">
        <v>476</v>
      </c>
      <c r="AB3" s="140" t="s">
        <v>455</v>
      </c>
      <c r="AC3" s="140"/>
      <c r="AD3" s="140"/>
      <c r="AE3" s="90" t="s">
        <v>465</v>
      </c>
      <c r="AF3" s="90" t="s">
        <v>468</v>
      </c>
    </row>
    <row r="4" spans="1:32" ht="11.25" customHeight="1" x14ac:dyDescent="0.25">
      <c r="A4" s="139"/>
      <c r="B4" s="139"/>
      <c r="C4" s="139"/>
      <c r="D4" s="139"/>
      <c r="E4" s="139"/>
      <c r="F4" s="139"/>
      <c r="G4" s="139"/>
      <c r="H4" s="139"/>
      <c r="I4" s="139"/>
      <c r="J4" s="124"/>
      <c r="L4" s="90" t="s">
        <v>448</v>
      </c>
      <c r="M4" s="90" t="s">
        <v>474</v>
      </c>
      <c r="N4" s="90" t="s">
        <v>475</v>
      </c>
      <c r="O4" s="90" t="s">
        <v>533</v>
      </c>
      <c r="P4" s="90" t="s">
        <v>477</v>
      </c>
      <c r="Q4" s="90" t="s">
        <v>478</v>
      </c>
      <c r="R4" s="90" t="s">
        <v>479</v>
      </c>
      <c r="S4" s="90" t="s">
        <v>480</v>
      </c>
      <c r="T4" s="90" t="s">
        <v>466</v>
      </c>
      <c r="U4" s="90" t="s">
        <v>481</v>
      </c>
      <c r="W4" s="90" t="s">
        <v>448</v>
      </c>
      <c r="X4" s="90" t="s">
        <v>474</v>
      </c>
      <c r="Y4" s="90" t="s">
        <v>475</v>
      </c>
      <c r="Z4" s="90" t="s">
        <v>533</v>
      </c>
      <c r="AA4" s="90" t="s">
        <v>477</v>
      </c>
      <c r="AB4" s="90" t="s">
        <v>478</v>
      </c>
      <c r="AC4" s="90" t="s">
        <v>479</v>
      </c>
      <c r="AD4" s="90" t="s">
        <v>480</v>
      </c>
      <c r="AE4" s="90" t="s">
        <v>466</v>
      </c>
      <c r="AF4" s="90" t="s">
        <v>481</v>
      </c>
    </row>
    <row r="5" spans="1:32" ht="11.25" customHeight="1" x14ac:dyDescent="0.25">
      <c r="A5" s="138" t="s">
        <v>33</v>
      </c>
      <c r="B5" s="138" t="s">
        <v>70</v>
      </c>
      <c r="C5" s="138" t="s">
        <v>25</v>
      </c>
      <c r="D5" s="138" t="s">
        <v>25</v>
      </c>
      <c r="E5" s="138" t="s">
        <v>25</v>
      </c>
      <c r="F5" s="138" t="s">
        <v>25</v>
      </c>
      <c r="G5" s="32" t="s">
        <v>72</v>
      </c>
      <c r="H5" s="32" t="s">
        <v>71</v>
      </c>
      <c r="I5" s="32">
        <f>'MERCADO TE'!$U$2</f>
        <v>119.02</v>
      </c>
      <c r="J5" s="17"/>
      <c r="L5" s="30">
        <f>('TE BE'!$L$5+'TE BF'!$L$5+'TE CVA'!$L$5)*1</f>
        <v>0</v>
      </c>
      <c r="M5" s="30">
        <f>('TE BE'!$M$5+'TE BF'!$M$5+'TE CVA'!$M$5)*1</f>
        <v>0</v>
      </c>
      <c r="N5" s="30">
        <f>('TE BE'!$N$5+'TE BF'!$N$5+'TE CVA'!$N$5)*1</f>
        <v>0</v>
      </c>
      <c r="O5" s="30">
        <f>('TE BE'!$O$5+'TE BF'!$O$5+'TE CVA'!$O$5)*1</f>
        <v>0</v>
      </c>
      <c r="P5" s="30">
        <f>('TE BE'!$Q$5+'TE BF'!$Q$5+'TE CVA'!$Q$5)*1</f>
        <v>260.80314197522284</v>
      </c>
      <c r="Q5" s="30">
        <f>('TE BE'!$S$5+'TE BF'!$S$5+'TE CVA'!$S$5)*1</f>
        <v>0</v>
      </c>
      <c r="R5" s="30">
        <f>('TE BE'!$T$5+'TE BF'!$T$5+'TE CVA'!$T$5)*1</f>
        <v>0</v>
      </c>
      <c r="S5" s="30">
        <f>('TE BE'!$U$5+'TE BF'!$U$5+'TE CVA'!$U$5)*1</f>
        <v>0</v>
      </c>
      <c r="T5" s="30">
        <f>('TE BE'!$W$5+'TE BF'!$W$5+'TE CVA'!$W$5)*1</f>
        <v>0</v>
      </c>
      <c r="U5" s="30">
        <f>('TE BE'!$Y$5+'TE BF'!$Y$5+'TE CVA'!$Y$5)*1</f>
        <v>0</v>
      </c>
      <c r="W5" s="30">
        <v>1.6714774270263401E-12</v>
      </c>
      <c r="X5" s="30">
        <v>0</v>
      </c>
      <c r="Y5" s="30">
        <v>0</v>
      </c>
      <c r="Z5" s="30">
        <v>0</v>
      </c>
      <c r="AA5" s="30">
        <v>226.472621525785</v>
      </c>
      <c r="AB5" s="30">
        <v>0</v>
      </c>
      <c r="AC5" s="30">
        <v>0</v>
      </c>
      <c r="AD5" s="30">
        <v>0</v>
      </c>
      <c r="AE5" s="30">
        <v>4.8596796016333004</v>
      </c>
      <c r="AF5" s="30">
        <v>0</v>
      </c>
    </row>
    <row r="6" spans="1:32" ht="11.25" customHeight="1" x14ac:dyDescent="0.25">
      <c r="A6" s="138"/>
      <c r="B6" s="138"/>
      <c r="C6" s="138"/>
      <c r="D6" s="138"/>
      <c r="E6" s="138"/>
      <c r="F6" s="138"/>
      <c r="G6" s="32" t="s">
        <v>73</v>
      </c>
      <c r="H6" s="32" t="s">
        <v>71</v>
      </c>
      <c r="I6" s="32">
        <f>'MERCADO TE'!$U$3</f>
        <v>3902.4649999999997</v>
      </c>
      <c r="J6" s="17"/>
      <c r="L6" s="30">
        <f>('TE BE'!$L$6+'TE BF'!$L$6+'TE CVA'!$L$6)*1</f>
        <v>0</v>
      </c>
      <c r="M6" s="30">
        <f>('TE BE'!$M$6+'TE BF'!$M$6+'TE CVA'!$M$6)*1</f>
        <v>0</v>
      </c>
      <c r="N6" s="30">
        <f>('TE BE'!$N$6+'TE BF'!$N$6+'TE CVA'!$N$6)*1</f>
        <v>0</v>
      </c>
      <c r="O6" s="30">
        <f>('TE BE'!$O$6+'TE BF'!$O$6+'TE CVA'!$O$6)*1</f>
        <v>0</v>
      </c>
      <c r="P6" s="30">
        <f>('TE BE'!$Q$6+'TE BF'!$Q$6+'TE CVA'!$Q$6)*1</f>
        <v>260.80314197522284</v>
      </c>
      <c r="Q6" s="30">
        <f>('TE BE'!$S$6+'TE BF'!$S$6+'TE CVA'!$S$6)*1</f>
        <v>0</v>
      </c>
      <c r="R6" s="30">
        <f>('TE BE'!$T$6+'TE BF'!$T$6+'TE CVA'!$T$6)*1</f>
        <v>0</v>
      </c>
      <c r="S6" s="30">
        <f>('TE BE'!$U$6+'TE BF'!$U$6+'TE CVA'!$U$6)*1</f>
        <v>0</v>
      </c>
      <c r="T6" s="30">
        <f>('TE BE'!$W$6+'TE BF'!$W$6+'TE CVA'!$W$6)*1</f>
        <v>0</v>
      </c>
      <c r="U6" s="30">
        <f>('TE BE'!$Y$6+'TE BF'!$Y$6+'TE CVA'!$Y$6)*1</f>
        <v>0</v>
      </c>
      <c r="W6" s="30">
        <v>1.6714774270263401E-12</v>
      </c>
      <c r="X6" s="30">
        <v>0</v>
      </c>
      <c r="Y6" s="30">
        <v>0</v>
      </c>
      <c r="Z6" s="30">
        <v>0</v>
      </c>
      <c r="AA6" s="30">
        <v>226.472621525785</v>
      </c>
      <c r="AB6" s="30">
        <v>0</v>
      </c>
      <c r="AC6" s="30">
        <v>0</v>
      </c>
      <c r="AD6" s="30">
        <v>0</v>
      </c>
      <c r="AE6" s="30">
        <v>4.8596796016333004</v>
      </c>
      <c r="AF6" s="30">
        <v>0</v>
      </c>
    </row>
    <row r="7" spans="1:32" ht="11.25" customHeight="1" x14ac:dyDescent="0.25">
      <c r="A7" s="138"/>
      <c r="B7" s="89" t="s">
        <v>74</v>
      </c>
      <c r="C7" s="89" t="s">
        <v>25</v>
      </c>
      <c r="D7" s="89" t="s">
        <v>25</v>
      </c>
      <c r="E7" s="89" t="s">
        <v>25</v>
      </c>
      <c r="F7" s="89" t="s">
        <v>25</v>
      </c>
      <c r="G7" s="32" t="s">
        <v>75</v>
      </c>
      <c r="H7" s="32" t="s">
        <v>71</v>
      </c>
      <c r="I7" s="32">
        <f>'MERCADO TE'!$U$4</f>
        <v>0</v>
      </c>
      <c r="J7" s="17"/>
      <c r="L7" s="30">
        <f>('TE BE'!$L$7+'TE BF'!$L$7+'TE CVA'!$L$7)*1</f>
        <v>0</v>
      </c>
      <c r="M7" s="30">
        <f>('TE BE'!$M$7+'TE BF'!$M$7+'TE CVA'!$M$7)*1</f>
        <v>0</v>
      </c>
      <c r="N7" s="30">
        <f>('TE BE'!$N$7+'TE BF'!$N$7+'TE CVA'!$N$7)*1</f>
        <v>0</v>
      </c>
      <c r="O7" s="30">
        <f>('TE BE'!$O$7+'TE BF'!$O$7+'TE CVA'!$O$7)*1</f>
        <v>0</v>
      </c>
      <c r="P7" s="30">
        <f>('TE BE'!$Q$7+'TE BF'!$Q$7+'TE CVA'!$Q$7)*1</f>
        <v>260.80314197522284</v>
      </c>
      <c r="Q7" s="30">
        <f>('TE BE'!$S$7+'TE BF'!$S$7+'TE CVA'!$S$7)*1</f>
        <v>0</v>
      </c>
      <c r="R7" s="30">
        <f>('TE BE'!$T$7+'TE BF'!$T$7+'TE CVA'!$T$7)*1</f>
        <v>0</v>
      </c>
      <c r="S7" s="30">
        <f>('TE BE'!$U$7+'TE BF'!$U$7+'TE CVA'!$U$7)*1</f>
        <v>0</v>
      </c>
      <c r="T7" s="30">
        <f>('TE BE'!$W$7+'TE BF'!$W$7+'TE CVA'!$W$7)*1</f>
        <v>0</v>
      </c>
      <c r="U7" s="30">
        <f>('TE BE'!$Y$7+'TE BF'!$Y$7+'TE CVA'!$Y$7)*1</f>
        <v>0</v>
      </c>
      <c r="W7" s="30">
        <v>0</v>
      </c>
      <c r="X7" s="30">
        <v>0</v>
      </c>
      <c r="Y7" s="30">
        <v>0</v>
      </c>
      <c r="Z7" s="30">
        <v>0</v>
      </c>
      <c r="AA7" s="30">
        <v>0</v>
      </c>
      <c r="AB7" s="30">
        <v>0</v>
      </c>
      <c r="AC7" s="30">
        <v>0</v>
      </c>
      <c r="AD7" s="30">
        <v>0</v>
      </c>
      <c r="AE7" s="30">
        <v>0</v>
      </c>
      <c r="AF7" s="30">
        <v>0</v>
      </c>
    </row>
    <row r="8" spans="1:32" ht="11.25" customHeight="1" x14ac:dyDescent="0.25">
      <c r="A8" s="138" t="s">
        <v>22</v>
      </c>
      <c r="B8" s="138" t="s">
        <v>70</v>
      </c>
      <c r="C8" s="138" t="s">
        <v>24</v>
      </c>
      <c r="D8" s="138" t="s">
        <v>24</v>
      </c>
      <c r="E8" s="138" t="s">
        <v>25</v>
      </c>
      <c r="F8" s="138" t="s">
        <v>25</v>
      </c>
      <c r="G8" s="32" t="s">
        <v>72</v>
      </c>
      <c r="H8" s="32" t="s">
        <v>71</v>
      </c>
      <c r="I8" s="32">
        <f>'MERCADO TE'!$U$5</f>
        <v>2.3139999999999996</v>
      </c>
      <c r="J8" s="17"/>
      <c r="L8" s="30">
        <f>('TE BE'!$L$8+'TE BF'!$L$8+'TE CVA'!$L$8)*1</f>
        <v>0</v>
      </c>
      <c r="M8" s="30">
        <f>('TE BE'!$M$8+'TE BF'!$M$8+'TE CVA'!$M$8)*1</f>
        <v>0</v>
      </c>
      <c r="N8" s="30">
        <f>('TE BE'!$N$8+'TE BF'!$N$8+'TE CVA'!$N$8)*1</f>
        <v>0</v>
      </c>
      <c r="O8" s="30">
        <f>('TE BE'!$O$8+'TE BF'!$O$8+'TE CVA'!$O$8)*1</f>
        <v>0</v>
      </c>
      <c r="P8" s="30">
        <f>('TE BE'!$Q$8+'TE BF'!$Q$8+'TE CVA'!$Q$8)*1</f>
        <v>260.80314197522284</v>
      </c>
      <c r="Q8" s="30">
        <f>('TE BE'!$S$8+'TE BF'!$S$8+'TE CVA'!$S$8)*1</f>
        <v>0</v>
      </c>
      <c r="R8" s="30">
        <f>('TE BE'!$T$8+'TE BF'!$T$8+'TE CVA'!$T$8)*1</f>
        <v>0</v>
      </c>
      <c r="S8" s="30">
        <f>('TE BE'!$U$8+'TE BF'!$U$8+'TE CVA'!$U$8)*1</f>
        <v>0</v>
      </c>
      <c r="T8" s="30">
        <f>('TE BE'!$W$8+'TE BF'!$W$8+'TE CVA'!$W$8)*1</f>
        <v>0</v>
      </c>
      <c r="U8" s="30">
        <f>('TE BE'!$Y$8+'TE BF'!$Y$8+'TE CVA'!$Y$8)*1</f>
        <v>0</v>
      </c>
      <c r="W8" s="30">
        <v>1.6714774270263401E-12</v>
      </c>
      <c r="X8" s="30">
        <v>0</v>
      </c>
      <c r="Y8" s="30">
        <v>0</v>
      </c>
      <c r="Z8" s="30">
        <v>0</v>
      </c>
      <c r="AA8" s="30">
        <v>226.472621525785</v>
      </c>
      <c r="AB8" s="30">
        <v>0</v>
      </c>
      <c r="AC8" s="30">
        <v>0</v>
      </c>
      <c r="AD8" s="30">
        <v>0</v>
      </c>
      <c r="AE8" s="30">
        <v>4.8596796016333004</v>
      </c>
      <c r="AF8" s="30">
        <v>0</v>
      </c>
    </row>
    <row r="9" spans="1:32" ht="11.25" customHeight="1" x14ac:dyDescent="0.25">
      <c r="A9" s="138"/>
      <c r="B9" s="138"/>
      <c r="C9" s="138"/>
      <c r="D9" s="138"/>
      <c r="E9" s="138"/>
      <c r="F9" s="138"/>
      <c r="G9" s="32" t="s">
        <v>84</v>
      </c>
      <c r="H9" s="32" t="s">
        <v>71</v>
      </c>
      <c r="I9" s="32">
        <f>'MERCADO TE'!$U$6</f>
        <v>1.2229999999999999</v>
      </c>
      <c r="J9" s="17"/>
      <c r="L9" s="30">
        <f>('TE BE'!$L$9+'TE BF'!$L$9+'TE CVA'!$L$9)*1</f>
        <v>0</v>
      </c>
      <c r="M9" s="30">
        <f>('TE BE'!$M$9+'TE BF'!$M$9+'TE CVA'!$M$9)*1</f>
        <v>0</v>
      </c>
      <c r="N9" s="30">
        <f>('TE BE'!$N$9+'TE BF'!$N$9+'TE CVA'!$N$9)*1</f>
        <v>0</v>
      </c>
      <c r="O9" s="30">
        <f>('TE BE'!$O$9+'TE BF'!$O$9+'TE CVA'!$O$9)*1</f>
        <v>0</v>
      </c>
      <c r="P9" s="30">
        <f>('TE BE'!$Q$9+'TE BF'!$Q$9+'TE CVA'!$Q$9)*1</f>
        <v>260.80314197522284</v>
      </c>
      <c r="Q9" s="30">
        <f>('TE BE'!$S$9+'TE BF'!$S$9+'TE CVA'!$S$9)*1</f>
        <v>0</v>
      </c>
      <c r="R9" s="30">
        <f>('TE BE'!$T$9+'TE BF'!$T$9+'TE CVA'!$T$9)*1</f>
        <v>0</v>
      </c>
      <c r="S9" s="30">
        <f>('TE BE'!$U$9+'TE BF'!$U$9+'TE CVA'!$U$9)*1</f>
        <v>0</v>
      </c>
      <c r="T9" s="30">
        <f>('TE BE'!$W$9+'TE BF'!$W$9+'TE CVA'!$W$9)*1</f>
        <v>0</v>
      </c>
      <c r="U9" s="30">
        <f>('TE BE'!$Y$9+'TE BF'!$Y$9+'TE CVA'!$Y$9)*1</f>
        <v>0</v>
      </c>
      <c r="W9" s="30">
        <v>1.6714774270263401E-12</v>
      </c>
      <c r="X9" s="30">
        <v>0</v>
      </c>
      <c r="Y9" s="30">
        <v>0</v>
      </c>
      <c r="Z9" s="30">
        <v>0</v>
      </c>
      <c r="AA9" s="30">
        <v>226.472621525785</v>
      </c>
      <c r="AB9" s="30">
        <v>0</v>
      </c>
      <c r="AC9" s="30">
        <v>0</v>
      </c>
      <c r="AD9" s="30">
        <v>0</v>
      </c>
      <c r="AE9" s="30">
        <v>4.8596796016333004</v>
      </c>
      <c r="AF9" s="30">
        <v>0</v>
      </c>
    </row>
    <row r="10" spans="1:32" ht="11.25" customHeight="1" x14ac:dyDescent="0.25">
      <c r="A10" s="138"/>
      <c r="B10" s="138"/>
      <c r="C10" s="138"/>
      <c r="D10" s="138"/>
      <c r="E10" s="138"/>
      <c r="F10" s="138"/>
      <c r="G10" s="32" t="s">
        <v>73</v>
      </c>
      <c r="H10" s="32" t="s">
        <v>71</v>
      </c>
      <c r="I10" s="32">
        <f>'MERCADO TE'!$U$7</f>
        <v>15.786</v>
      </c>
      <c r="J10" s="17"/>
      <c r="L10" s="30">
        <f>('TE BE'!$L$10+'TE BF'!$L$10+'TE CVA'!$L$10)*1</f>
        <v>0</v>
      </c>
      <c r="M10" s="30">
        <f>('TE BE'!$M$10+'TE BF'!$M$10+'TE CVA'!$M$10)*1</f>
        <v>0</v>
      </c>
      <c r="N10" s="30">
        <f>('TE BE'!$N$10+'TE BF'!$N$10+'TE CVA'!$N$10)*1</f>
        <v>0</v>
      </c>
      <c r="O10" s="30">
        <f>('TE BE'!$O$10+'TE BF'!$O$10+'TE CVA'!$O$10)*1</f>
        <v>0</v>
      </c>
      <c r="P10" s="30">
        <f>('TE BE'!$Q$10+'TE BF'!$Q$10+'TE CVA'!$Q$10)*1</f>
        <v>260.80314197522284</v>
      </c>
      <c r="Q10" s="30">
        <f>('TE BE'!$S$10+'TE BF'!$S$10+'TE CVA'!$S$10)*1</f>
        <v>0</v>
      </c>
      <c r="R10" s="30">
        <f>('TE BE'!$T$10+'TE BF'!$T$10+'TE CVA'!$T$10)*1</f>
        <v>0</v>
      </c>
      <c r="S10" s="30">
        <f>('TE BE'!$U$10+'TE BF'!$U$10+'TE CVA'!$U$10)*1</f>
        <v>0</v>
      </c>
      <c r="T10" s="30">
        <f>('TE BE'!$W$10+'TE BF'!$W$10+'TE CVA'!$W$10)*1</f>
        <v>0</v>
      </c>
      <c r="U10" s="30">
        <f>('TE BE'!$Y$10+'TE BF'!$Y$10+'TE CVA'!$Y$10)*1</f>
        <v>0</v>
      </c>
      <c r="W10" s="30">
        <v>1.6714774270263401E-12</v>
      </c>
      <c r="X10" s="30">
        <v>0</v>
      </c>
      <c r="Y10" s="30">
        <v>0</v>
      </c>
      <c r="Z10" s="30">
        <v>0</v>
      </c>
      <c r="AA10" s="30">
        <v>226.472621525785</v>
      </c>
      <c r="AB10" s="30">
        <v>0</v>
      </c>
      <c r="AC10" s="30">
        <v>0</v>
      </c>
      <c r="AD10" s="30">
        <v>0</v>
      </c>
      <c r="AE10" s="30">
        <v>4.8596796016333004</v>
      </c>
      <c r="AF10" s="30">
        <v>0</v>
      </c>
    </row>
    <row r="11" spans="1:32" ht="11.25" customHeight="1" x14ac:dyDescent="0.25">
      <c r="A11" s="138"/>
      <c r="B11" s="138" t="s">
        <v>74</v>
      </c>
      <c r="C11" s="138" t="s">
        <v>24</v>
      </c>
      <c r="D11" s="89" t="s">
        <v>24</v>
      </c>
      <c r="E11" s="89" t="s">
        <v>25</v>
      </c>
      <c r="F11" s="89" t="s">
        <v>25</v>
      </c>
      <c r="G11" s="32" t="s">
        <v>75</v>
      </c>
      <c r="H11" s="32" t="s">
        <v>71</v>
      </c>
      <c r="I11" s="32">
        <f>'MERCADO TE'!$U$8</f>
        <v>26510.091</v>
      </c>
      <c r="J11" s="17"/>
      <c r="L11" s="30">
        <f>('TE BE'!$L$11+'TE BF'!$L$11+'TE CVA'!$L$11)*1</f>
        <v>0</v>
      </c>
      <c r="M11" s="30">
        <f>('TE BE'!$M$11+'TE BF'!$M$11+'TE CVA'!$M$11)*1</f>
        <v>0</v>
      </c>
      <c r="N11" s="30">
        <f>('TE BE'!$N$11+'TE BF'!$N$11+'TE CVA'!$N$11)*1</f>
        <v>0</v>
      </c>
      <c r="O11" s="30">
        <f>('TE BE'!$O$11+'TE BF'!$O$11+'TE CVA'!$O$11)*1</f>
        <v>0</v>
      </c>
      <c r="P11" s="30">
        <f>('TE BE'!$Q$11+'TE BF'!$Q$11+'TE CVA'!$Q$11)*1</f>
        <v>260.80314197522284</v>
      </c>
      <c r="Q11" s="30">
        <f>('TE BE'!$S$11+'TE BF'!$S$11+'TE CVA'!$S$11)*1</f>
        <v>0</v>
      </c>
      <c r="R11" s="30">
        <f>('TE BE'!$T$11+'TE BF'!$T$11+'TE CVA'!$T$11)*1</f>
        <v>0</v>
      </c>
      <c r="S11" s="30">
        <f>('TE BE'!$U$11+'TE BF'!$U$11+'TE CVA'!$U$11)*1</f>
        <v>0</v>
      </c>
      <c r="T11" s="30">
        <f>('TE BE'!$W$11+'TE BF'!$W$11+'TE CVA'!$W$11)*1</f>
        <v>0</v>
      </c>
      <c r="U11" s="30">
        <f>('TE BE'!$Y$11+'TE BF'!$Y$11+'TE CVA'!$Y$11)*1</f>
        <v>0</v>
      </c>
      <c r="W11" s="30">
        <v>1.6714774270263401E-12</v>
      </c>
      <c r="X11" s="30">
        <v>0</v>
      </c>
      <c r="Y11" s="30">
        <v>0</v>
      </c>
      <c r="Z11" s="30">
        <v>0</v>
      </c>
      <c r="AA11" s="30">
        <v>226.472621525785</v>
      </c>
      <c r="AB11" s="30">
        <v>0</v>
      </c>
      <c r="AC11" s="30">
        <v>0</v>
      </c>
      <c r="AD11" s="30">
        <v>0</v>
      </c>
      <c r="AE11" s="30">
        <v>4.8596796016333004</v>
      </c>
      <c r="AF11" s="30">
        <v>0</v>
      </c>
    </row>
    <row r="12" spans="1:32" ht="11.25" customHeight="1" x14ac:dyDescent="0.25">
      <c r="A12" s="138"/>
      <c r="B12" s="138"/>
      <c r="C12" s="138"/>
      <c r="D12" s="89" t="s">
        <v>29</v>
      </c>
      <c r="E12" s="89" t="s">
        <v>25</v>
      </c>
      <c r="F12" s="89" t="s">
        <v>25</v>
      </c>
      <c r="G12" s="32" t="s">
        <v>75</v>
      </c>
      <c r="H12" s="32" t="s">
        <v>71</v>
      </c>
      <c r="I12" s="32">
        <f>'MERCADO TE'!$U$9</f>
        <v>224.727</v>
      </c>
      <c r="J12" s="17"/>
      <c r="L12" s="30">
        <f>('TE BE'!$L$12+'TE BF'!$L$12+'TE CVA'!$L$12)*(1 - 0.65)</f>
        <v>0</v>
      </c>
      <c r="M12" s="30">
        <f>('TE BE'!$M$12+'TE BF'!$M$12+'TE CVA'!$M$12)*(1 - 0.65)</f>
        <v>0</v>
      </c>
      <c r="N12" s="30">
        <f>('TE BE'!$N$12+'TE BF'!$N$12+'TE CVA'!$N$12)*(1 - 0.65)</f>
        <v>0</v>
      </c>
      <c r="O12" s="30">
        <f>('TE BE'!$O$12+'TE BF'!$O$12+'TE CVA'!$O$12)*(1 - 0.65)</f>
        <v>0</v>
      </c>
      <c r="P12" s="30">
        <f>('TE BE'!$Q$12+'TE BF'!$Q$12+'TE CVA'!$Q$12)*(1 - 0.65)</f>
        <v>91.281099691327995</v>
      </c>
      <c r="Q12" s="30">
        <f>('TE BE'!$S$12+'TE BF'!$S$12+'TE CVA'!$S$12)*(1 - 0.65)</f>
        <v>0</v>
      </c>
      <c r="R12" s="30">
        <f>('TE BE'!$T$12+'TE BF'!$T$12+'TE CVA'!$T$12)*(1 - 0.65)</f>
        <v>0</v>
      </c>
      <c r="S12" s="30">
        <f>('TE BE'!$U$12+'TE BF'!$U$12+'TE CVA'!$U$12)*(1 - 0.65)</f>
        <v>0</v>
      </c>
      <c r="T12" s="30">
        <f>('TE BE'!$W$12+'TE BF'!$W$12+'TE CVA'!$W$12)*(1 - 0.65)</f>
        <v>0</v>
      </c>
      <c r="U12" s="30">
        <f>('TE BE'!$Y$12+'TE BF'!$Y$12+'TE CVA'!$Y$12)*(1 - 0.65)</f>
        <v>0</v>
      </c>
      <c r="W12" s="30">
        <v>5.8501709945921796E-13</v>
      </c>
      <c r="X12" s="30">
        <v>0</v>
      </c>
      <c r="Y12" s="30">
        <v>0</v>
      </c>
      <c r="Z12" s="30">
        <v>0</v>
      </c>
      <c r="AA12" s="30">
        <v>79.265417534024706</v>
      </c>
      <c r="AB12" s="30">
        <v>0</v>
      </c>
      <c r="AC12" s="30">
        <v>0</v>
      </c>
      <c r="AD12" s="30">
        <v>0</v>
      </c>
      <c r="AE12" s="30">
        <v>1.70088786057165</v>
      </c>
      <c r="AF12" s="30">
        <v>0</v>
      </c>
    </row>
    <row r="13" spans="1:32" ht="11.25" customHeight="1" x14ac:dyDescent="0.25">
      <c r="A13" s="138"/>
      <c r="B13" s="138"/>
      <c r="C13" s="138"/>
      <c r="D13" s="89" t="s">
        <v>30</v>
      </c>
      <c r="E13" s="89" t="s">
        <v>25</v>
      </c>
      <c r="F13" s="89" t="s">
        <v>25</v>
      </c>
      <c r="G13" s="32" t="s">
        <v>75</v>
      </c>
      <c r="H13" s="32" t="s">
        <v>71</v>
      </c>
      <c r="I13" s="32">
        <f>'MERCADO TE'!$U$10</f>
        <v>457.44400000000002</v>
      </c>
      <c r="J13" s="17"/>
      <c r="L13" s="30">
        <f>('TE BE'!$L$13+'TE BF'!$L$13+'TE CVA'!$L$13)*(1 - 0.4)</f>
        <v>0</v>
      </c>
      <c r="M13" s="30">
        <f>('TE BE'!$M$13+'TE BF'!$M$13+'TE CVA'!$M$13)*(1 - 0.4)</f>
        <v>0</v>
      </c>
      <c r="N13" s="30">
        <f>('TE BE'!$N$13+'TE BF'!$N$13+'TE CVA'!$N$13)*(1 - 0.4)</f>
        <v>0</v>
      </c>
      <c r="O13" s="30">
        <f>('TE BE'!$O$13+'TE BF'!$O$13+'TE CVA'!$O$13)*(1 - 0.4)</f>
        <v>0</v>
      </c>
      <c r="P13" s="30">
        <f>('TE BE'!$Q$13+'TE BF'!$Q$13+'TE CVA'!$Q$13)*(1 - 0.4)</f>
        <v>156.48188518513371</v>
      </c>
      <c r="Q13" s="30">
        <f>('TE BE'!$S$13+'TE BF'!$S$13+'TE CVA'!$S$13)*(1 - 0.4)</f>
        <v>0</v>
      </c>
      <c r="R13" s="30">
        <f>('TE BE'!$T$13+'TE BF'!$T$13+'TE CVA'!$T$13)*(1 - 0.4)</f>
        <v>0</v>
      </c>
      <c r="S13" s="30">
        <f>('TE BE'!$U$13+'TE BF'!$U$13+'TE CVA'!$U$13)*(1 - 0.4)</f>
        <v>0</v>
      </c>
      <c r="T13" s="30">
        <f>('TE BE'!$W$13+'TE BF'!$W$13+'TE CVA'!$W$13)*(1 - 0.4)</f>
        <v>0</v>
      </c>
      <c r="U13" s="30">
        <f>('TE BE'!$Y$13+'TE BF'!$Y$13+'TE CVA'!$Y$13)*(1 - 0.4)</f>
        <v>0</v>
      </c>
      <c r="W13" s="30">
        <v>1.0028864562158E-12</v>
      </c>
      <c r="X13" s="30">
        <v>0</v>
      </c>
      <c r="Y13" s="30">
        <v>0</v>
      </c>
      <c r="Z13" s="30">
        <v>0</v>
      </c>
      <c r="AA13" s="30">
        <v>135.88357291547101</v>
      </c>
      <c r="AB13" s="30">
        <v>0</v>
      </c>
      <c r="AC13" s="30">
        <v>0</v>
      </c>
      <c r="AD13" s="30">
        <v>0</v>
      </c>
      <c r="AE13" s="30">
        <v>2.91580776097998</v>
      </c>
      <c r="AF13" s="30">
        <v>0</v>
      </c>
    </row>
    <row r="14" spans="1:32" ht="11.25" customHeight="1" x14ac:dyDescent="0.25">
      <c r="A14" s="138"/>
      <c r="B14" s="138"/>
      <c r="C14" s="138"/>
      <c r="D14" s="89" t="s">
        <v>31</v>
      </c>
      <c r="E14" s="89" t="s">
        <v>25</v>
      </c>
      <c r="F14" s="89" t="s">
        <v>25</v>
      </c>
      <c r="G14" s="32" t="s">
        <v>75</v>
      </c>
      <c r="H14" s="32" t="s">
        <v>71</v>
      </c>
      <c r="I14" s="32">
        <f>'MERCADO TE'!$U$11</f>
        <v>365.92600000000004</v>
      </c>
      <c r="J14" s="17"/>
      <c r="L14" s="30">
        <f>('TE BE'!$L$14+'TE BF'!$L$14+'TE CVA'!$L$14)*(1 - 0.1)</f>
        <v>0</v>
      </c>
      <c r="M14" s="30">
        <f>('TE BE'!$M$14+'TE BF'!$M$14+'TE CVA'!$M$14)*(1 - 0.1)</f>
        <v>0</v>
      </c>
      <c r="N14" s="30">
        <f>('TE BE'!$N$14+'TE BF'!$N$14+'TE CVA'!$N$14)*(1 - 0.1)</f>
        <v>0</v>
      </c>
      <c r="O14" s="30">
        <f>('TE BE'!$O$14+'TE BF'!$O$14+'TE CVA'!$O$14)*(1 - 0.1)</f>
        <v>0</v>
      </c>
      <c r="P14" s="30">
        <f>('TE BE'!$Q$14+'TE BF'!$Q$14+'TE CVA'!$Q$14)*(1 - 0.1)</f>
        <v>234.72282777770056</v>
      </c>
      <c r="Q14" s="30">
        <f>('TE BE'!$S$14+'TE BF'!$S$14+'TE CVA'!$S$14)*(1 - 0.1)</f>
        <v>0</v>
      </c>
      <c r="R14" s="30">
        <f>('TE BE'!$T$14+'TE BF'!$T$14+'TE CVA'!$T$14)*(1 - 0.1)</f>
        <v>0</v>
      </c>
      <c r="S14" s="30">
        <f>('TE BE'!$U$14+'TE BF'!$U$14+'TE CVA'!$U$14)*(1 - 0.1)</f>
        <v>0</v>
      </c>
      <c r="T14" s="30">
        <f>('TE BE'!$W$14+'TE BF'!$W$14+'TE CVA'!$W$14)*(1 - 0.1)</f>
        <v>0</v>
      </c>
      <c r="U14" s="30">
        <f>('TE BE'!$Y$14+'TE BF'!$Y$14+'TE CVA'!$Y$14)*(1 - 0.1)</f>
        <v>0</v>
      </c>
      <c r="W14" s="30">
        <v>1.5043296843237001E-12</v>
      </c>
      <c r="X14" s="30">
        <v>0</v>
      </c>
      <c r="Y14" s="30">
        <v>0</v>
      </c>
      <c r="Z14" s="30">
        <v>0</v>
      </c>
      <c r="AA14" s="30">
        <v>203.825359373206</v>
      </c>
      <c r="AB14" s="30">
        <v>0</v>
      </c>
      <c r="AC14" s="30">
        <v>0</v>
      </c>
      <c r="AD14" s="30">
        <v>0</v>
      </c>
      <c r="AE14" s="30">
        <v>4.3737116414699697</v>
      </c>
      <c r="AF14" s="30">
        <v>0</v>
      </c>
    </row>
    <row r="15" spans="1:32" ht="11.25" customHeight="1" x14ac:dyDescent="0.25">
      <c r="A15" s="138"/>
      <c r="B15" s="138"/>
      <c r="C15" s="138"/>
      <c r="D15" s="89" t="s">
        <v>32</v>
      </c>
      <c r="E15" s="89" t="s">
        <v>25</v>
      </c>
      <c r="F15" s="89" t="s">
        <v>25</v>
      </c>
      <c r="G15" s="32" t="s">
        <v>75</v>
      </c>
      <c r="H15" s="32" t="s">
        <v>71</v>
      </c>
      <c r="I15" s="32">
        <f>'MERCADO TE'!$U$12</f>
        <v>81.745999999999995</v>
      </c>
      <c r="J15" s="17"/>
      <c r="L15" s="30">
        <f>('TE BE'!$L$15+'TE BF'!$L$15+'TE CVA'!$L$15)*1</f>
        <v>0</v>
      </c>
      <c r="M15" s="30">
        <f>('TE BE'!$M$15+'TE BF'!$M$15+'TE CVA'!$M$15)*1</f>
        <v>0</v>
      </c>
      <c r="N15" s="30">
        <f>('TE BE'!$N$15+'TE BF'!$N$15+'TE CVA'!$N$15)*1</f>
        <v>0</v>
      </c>
      <c r="O15" s="30">
        <f>('TE BE'!$O$15+'TE BF'!$O$15+'TE CVA'!$O$15)*1</f>
        <v>0</v>
      </c>
      <c r="P15" s="30">
        <f>('TE BE'!$Q$15+'TE BF'!$Q$15+'TE CVA'!$Q$15)*1</f>
        <v>260.80314197522284</v>
      </c>
      <c r="Q15" s="30">
        <f>('TE BE'!$S$15+'TE BF'!$S$15+'TE CVA'!$S$15)*1</f>
        <v>0</v>
      </c>
      <c r="R15" s="30">
        <f>('TE BE'!$T$15+'TE BF'!$T$15+'TE CVA'!$T$15)*1</f>
        <v>0</v>
      </c>
      <c r="S15" s="30">
        <f>('TE BE'!$U$15+'TE BF'!$U$15+'TE CVA'!$U$15)*1</f>
        <v>0</v>
      </c>
      <c r="T15" s="30">
        <f>('TE BE'!$W$15+'TE BF'!$W$15+'TE CVA'!$W$15)*1</f>
        <v>0</v>
      </c>
      <c r="U15" s="30">
        <f>('TE BE'!$Y$15+'TE BF'!$Y$15+'TE CVA'!$Y$15)*1</f>
        <v>0</v>
      </c>
      <c r="W15" s="30">
        <v>1.6714774270263401E-12</v>
      </c>
      <c r="X15" s="30">
        <v>0</v>
      </c>
      <c r="Y15" s="30">
        <v>0</v>
      </c>
      <c r="Z15" s="30">
        <v>0</v>
      </c>
      <c r="AA15" s="30">
        <v>226.472621525785</v>
      </c>
      <c r="AB15" s="30">
        <v>0</v>
      </c>
      <c r="AC15" s="30">
        <v>0</v>
      </c>
      <c r="AD15" s="30">
        <v>0</v>
      </c>
      <c r="AE15" s="30">
        <v>4.8596796016333004</v>
      </c>
      <c r="AF15" s="30">
        <v>0</v>
      </c>
    </row>
    <row r="16" spans="1:32" ht="11.25" customHeight="1" x14ac:dyDescent="0.25">
      <c r="A16" s="138"/>
      <c r="B16" s="138" t="s">
        <v>85</v>
      </c>
      <c r="C16" s="138" t="s">
        <v>24</v>
      </c>
      <c r="D16" s="89" t="s">
        <v>24</v>
      </c>
      <c r="E16" s="89" t="s">
        <v>25</v>
      </c>
      <c r="F16" s="89" t="s">
        <v>25</v>
      </c>
      <c r="G16" s="32" t="s">
        <v>75</v>
      </c>
      <c r="H16" s="32" t="s">
        <v>71</v>
      </c>
      <c r="I16" s="32">
        <f>'MERCADO TE'!$U$13</f>
        <v>0</v>
      </c>
      <c r="J16" s="17"/>
      <c r="L16" s="30">
        <f>('TE BE'!$L$16+'TE BF'!$L$16+'TE CVA'!$L$16)*1</f>
        <v>0</v>
      </c>
      <c r="M16" s="30">
        <f>('TE BE'!$M$16+'TE BF'!$M$16+'TE CVA'!$M$16)*1</f>
        <v>0</v>
      </c>
      <c r="N16" s="30">
        <f>('TE BE'!$N$16+'TE BF'!$N$16+'TE CVA'!$N$16)*1</f>
        <v>0</v>
      </c>
      <c r="O16" s="30">
        <f>('TE BE'!$O$16+'TE BF'!$O$16+'TE CVA'!$O$16)*1</f>
        <v>0</v>
      </c>
      <c r="P16" s="30">
        <f>('TE BE'!$Q$16+'TE BF'!$Q$16+'TE CVA'!$Q$16)*1</f>
        <v>260.80314197522284</v>
      </c>
      <c r="Q16" s="30">
        <f>('TE BE'!$S$16+'TE BF'!$S$16+'TE CVA'!$S$16)*1</f>
        <v>0</v>
      </c>
      <c r="R16" s="30">
        <f>('TE BE'!$T$16+'TE BF'!$T$16+'TE CVA'!$T$16)*1</f>
        <v>0</v>
      </c>
      <c r="S16" s="30">
        <f>('TE BE'!$U$16+'TE BF'!$U$16+'TE CVA'!$U$16)*1</f>
        <v>0</v>
      </c>
      <c r="T16" s="30">
        <f>('TE BE'!$W$16+'TE BF'!$W$16+'TE CVA'!$W$16)*1</f>
        <v>0</v>
      </c>
      <c r="U16" s="30">
        <f>('TE BE'!$Y$16+'TE BF'!$Y$16+'TE CVA'!$Y$16)*1</f>
        <v>0</v>
      </c>
      <c r="W16" s="30">
        <v>1.6714774270263401E-12</v>
      </c>
      <c r="X16" s="30">
        <v>0</v>
      </c>
      <c r="Y16" s="30">
        <v>0</v>
      </c>
      <c r="Z16" s="30">
        <v>0</v>
      </c>
      <c r="AA16" s="30">
        <v>226.472621525785</v>
      </c>
      <c r="AB16" s="30">
        <v>0</v>
      </c>
      <c r="AC16" s="30">
        <v>0</v>
      </c>
      <c r="AD16" s="30">
        <v>0</v>
      </c>
      <c r="AE16" s="30">
        <v>4.8596796016333004</v>
      </c>
      <c r="AF16" s="30">
        <v>0</v>
      </c>
    </row>
    <row r="17" spans="1:32" ht="11.25" customHeight="1" x14ac:dyDescent="0.25">
      <c r="A17" s="138"/>
      <c r="B17" s="138"/>
      <c r="C17" s="138"/>
      <c r="D17" s="89" t="s">
        <v>29</v>
      </c>
      <c r="E17" s="89" t="s">
        <v>25</v>
      </c>
      <c r="F17" s="89" t="s">
        <v>25</v>
      </c>
      <c r="G17" s="32" t="s">
        <v>75</v>
      </c>
      <c r="H17" s="32" t="s">
        <v>71</v>
      </c>
      <c r="I17" s="32">
        <f>'MERCADO TE'!$U$14</f>
        <v>0</v>
      </c>
      <c r="J17" s="17"/>
      <c r="L17" s="30">
        <f>('TE BE'!$L$17+'TE BF'!$L$17+'TE CVA'!$L$17)*(1 - 0.65)</f>
        <v>0</v>
      </c>
      <c r="M17" s="30">
        <f>('TE BE'!$M$17+'TE BF'!$M$17+'TE CVA'!$M$17)*(1 - 0.65)</f>
        <v>0</v>
      </c>
      <c r="N17" s="30">
        <f>('TE BE'!$N$17+'TE BF'!$N$17+'TE CVA'!$N$17)*(1 - 0.65)</f>
        <v>0</v>
      </c>
      <c r="O17" s="30">
        <f>('TE BE'!$O$17+'TE BF'!$O$17+'TE CVA'!$O$17)*(1 - 0.65)</f>
        <v>0</v>
      </c>
      <c r="P17" s="30">
        <f>('TE BE'!$Q$17+'TE BF'!$Q$17+'TE CVA'!$Q$17)*(1 - 0.65)</f>
        <v>91.281099691327995</v>
      </c>
      <c r="Q17" s="30">
        <f>('TE BE'!$S$17+'TE BF'!$S$17+'TE CVA'!$S$17)*(1 - 0.65)</f>
        <v>0</v>
      </c>
      <c r="R17" s="30">
        <f>('TE BE'!$T$17+'TE BF'!$T$17+'TE CVA'!$T$17)*(1 - 0.65)</f>
        <v>0</v>
      </c>
      <c r="S17" s="30">
        <f>('TE BE'!$U$17+'TE BF'!$U$17+'TE CVA'!$U$17)*(1 - 0.65)</f>
        <v>0</v>
      </c>
      <c r="T17" s="30">
        <f>('TE BE'!$W$17+'TE BF'!$W$17+'TE CVA'!$W$17)*(1 - 0.65)</f>
        <v>0</v>
      </c>
      <c r="U17" s="30">
        <f>('TE BE'!$Y$17+'TE BF'!$Y$17+'TE CVA'!$Y$17)*(1 - 0.65)</f>
        <v>0</v>
      </c>
      <c r="W17" s="30">
        <v>5.8501709945921796E-13</v>
      </c>
      <c r="X17" s="30">
        <v>0</v>
      </c>
      <c r="Y17" s="30">
        <v>0</v>
      </c>
      <c r="Z17" s="30">
        <v>0</v>
      </c>
      <c r="AA17" s="30">
        <v>79.265417534024706</v>
      </c>
      <c r="AB17" s="30">
        <v>0</v>
      </c>
      <c r="AC17" s="30">
        <v>0</v>
      </c>
      <c r="AD17" s="30">
        <v>0</v>
      </c>
      <c r="AE17" s="30">
        <v>1.70088786057165</v>
      </c>
      <c r="AF17" s="30">
        <v>0</v>
      </c>
    </row>
    <row r="18" spans="1:32" ht="11.25" customHeight="1" x14ac:dyDescent="0.25">
      <c r="A18" s="138"/>
      <c r="B18" s="138"/>
      <c r="C18" s="138"/>
      <c r="D18" s="89" t="s">
        <v>30</v>
      </c>
      <c r="E18" s="89" t="s">
        <v>25</v>
      </c>
      <c r="F18" s="89" t="s">
        <v>25</v>
      </c>
      <c r="G18" s="32" t="s">
        <v>75</v>
      </c>
      <c r="H18" s="32" t="s">
        <v>71</v>
      </c>
      <c r="I18" s="32">
        <f>'MERCADO TE'!$U$15</f>
        <v>0</v>
      </c>
      <c r="J18" s="17"/>
      <c r="L18" s="30">
        <f>('TE BE'!$L$18+'TE BF'!$L$18+'TE CVA'!$L$18)*(1 - 0.4)</f>
        <v>0</v>
      </c>
      <c r="M18" s="30">
        <f>('TE BE'!$M$18+'TE BF'!$M$18+'TE CVA'!$M$18)*(1 - 0.4)</f>
        <v>0</v>
      </c>
      <c r="N18" s="30">
        <f>('TE BE'!$N$18+'TE BF'!$N$18+'TE CVA'!$N$18)*(1 - 0.4)</f>
        <v>0</v>
      </c>
      <c r="O18" s="30">
        <f>('TE BE'!$O$18+'TE BF'!$O$18+'TE CVA'!$O$18)*(1 - 0.4)</f>
        <v>0</v>
      </c>
      <c r="P18" s="30">
        <f>('TE BE'!$Q$18+'TE BF'!$Q$18+'TE CVA'!$Q$18)*(1 - 0.4)</f>
        <v>156.48188518513371</v>
      </c>
      <c r="Q18" s="30">
        <f>('TE BE'!$S$18+'TE BF'!$S$18+'TE CVA'!$S$18)*(1 - 0.4)</f>
        <v>0</v>
      </c>
      <c r="R18" s="30">
        <f>('TE BE'!$T$18+'TE BF'!$T$18+'TE CVA'!$T$18)*(1 - 0.4)</f>
        <v>0</v>
      </c>
      <c r="S18" s="30">
        <f>('TE BE'!$U$18+'TE BF'!$U$18+'TE CVA'!$U$18)*(1 - 0.4)</f>
        <v>0</v>
      </c>
      <c r="T18" s="30">
        <f>('TE BE'!$W$18+'TE BF'!$W$18+'TE CVA'!$W$18)*(1 - 0.4)</f>
        <v>0</v>
      </c>
      <c r="U18" s="30">
        <f>('TE BE'!$Y$18+'TE BF'!$Y$18+'TE CVA'!$Y$18)*(1 - 0.4)</f>
        <v>0</v>
      </c>
      <c r="W18" s="30">
        <v>1.0028864562158E-12</v>
      </c>
      <c r="X18" s="30">
        <v>0</v>
      </c>
      <c r="Y18" s="30">
        <v>0</v>
      </c>
      <c r="Z18" s="30">
        <v>0</v>
      </c>
      <c r="AA18" s="30">
        <v>135.88357291547101</v>
      </c>
      <c r="AB18" s="30">
        <v>0</v>
      </c>
      <c r="AC18" s="30">
        <v>0</v>
      </c>
      <c r="AD18" s="30">
        <v>0</v>
      </c>
      <c r="AE18" s="30">
        <v>2.91580776097998</v>
      </c>
      <c r="AF18" s="30">
        <v>0</v>
      </c>
    </row>
    <row r="19" spans="1:32" ht="11.25" customHeight="1" x14ac:dyDescent="0.25">
      <c r="A19" s="138"/>
      <c r="B19" s="138"/>
      <c r="C19" s="138"/>
      <c r="D19" s="89" t="s">
        <v>31</v>
      </c>
      <c r="E19" s="89" t="s">
        <v>25</v>
      </c>
      <c r="F19" s="89" t="s">
        <v>25</v>
      </c>
      <c r="G19" s="32" t="s">
        <v>75</v>
      </c>
      <c r="H19" s="32" t="s">
        <v>71</v>
      </c>
      <c r="I19" s="32">
        <f>'MERCADO TE'!$U$16</f>
        <v>0</v>
      </c>
      <c r="J19" s="17"/>
      <c r="L19" s="30">
        <f>('TE BE'!$L$19+'TE BF'!$L$19+'TE CVA'!$L$19)*(1 - 0.1)</f>
        <v>0</v>
      </c>
      <c r="M19" s="30">
        <f>('TE BE'!$M$19+'TE BF'!$M$19+'TE CVA'!$M$19)*(1 - 0.1)</f>
        <v>0</v>
      </c>
      <c r="N19" s="30">
        <f>('TE BE'!$N$19+'TE BF'!$N$19+'TE CVA'!$N$19)*(1 - 0.1)</f>
        <v>0</v>
      </c>
      <c r="O19" s="30">
        <f>('TE BE'!$O$19+'TE BF'!$O$19+'TE CVA'!$O$19)*(1 - 0.1)</f>
        <v>0</v>
      </c>
      <c r="P19" s="30">
        <f>('TE BE'!$Q$19+'TE BF'!$Q$19+'TE CVA'!$Q$19)*(1 - 0.1)</f>
        <v>234.72282777770056</v>
      </c>
      <c r="Q19" s="30">
        <f>('TE BE'!$S$19+'TE BF'!$S$19+'TE CVA'!$S$19)*(1 - 0.1)</f>
        <v>0</v>
      </c>
      <c r="R19" s="30">
        <f>('TE BE'!$T$19+'TE BF'!$T$19+'TE CVA'!$T$19)*(1 - 0.1)</f>
        <v>0</v>
      </c>
      <c r="S19" s="30">
        <f>('TE BE'!$U$19+'TE BF'!$U$19+'TE CVA'!$U$19)*(1 - 0.1)</f>
        <v>0</v>
      </c>
      <c r="T19" s="30">
        <f>('TE BE'!$W$19+'TE BF'!$W$19+'TE CVA'!$W$19)*(1 - 0.1)</f>
        <v>0</v>
      </c>
      <c r="U19" s="30">
        <f>('TE BE'!$Y$19+'TE BF'!$Y$19+'TE CVA'!$Y$19)*(1 - 0.1)</f>
        <v>0</v>
      </c>
      <c r="W19" s="30">
        <v>1.5043296843237001E-12</v>
      </c>
      <c r="X19" s="30">
        <v>0</v>
      </c>
      <c r="Y19" s="30">
        <v>0</v>
      </c>
      <c r="Z19" s="30">
        <v>0</v>
      </c>
      <c r="AA19" s="30">
        <v>203.825359373206</v>
      </c>
      <c r="AB19" s="30">
        <v>0</v>
      </c>
      <c r="AC19" s="30">
        <v>0</v>
      </c>
      <c r="AD19" s="30">
        <v>0</v>
      </c>
      <c r="AE19" s="30">
        <v>4.3737116414699697</v>
      </c>
      <c r="AF19" s="30">
        <v>0</v>
      </c>
    </row>
    <row r="20" spans="1:32" ht="11.25" customHeight="1" x14ac:dyDescent="0.25">
      <c r="A20" s="138"/>
      <c r="B20" s="138"/>
      <c r="C20" s="138"/>
      <c r="D20" s="89" t="s">
        <v>32</v>
      </c>
      <c r="E20" s="89" t="s">
        <v>25</v>
      </c>
      <c r="F20" s="89" t="s">
        <v>25</v>
      </c>
      <c r="G20" s="32" t="s">
        <v>75</v>
      </c>
      <c r="H20" s="32" t="s">
        <v>71</v>
      </c>
      <c r="I20" s="32">
        <f>'MERCADO TE'!$U$17</f>
        <v>0</v>
      </c>
      <c r="J20" s="17"/>
      <c r="L20" s="30">
        <f>('TE BE'!$L$20+'TE BF'!$L$20+'TE CVA'!$L$20)*1</f>
        <v>0</v>
      </c>
      <c r="M20" s="30">
        <f>('TE BE'!$M$20+'TE BF'!$M$20+'TE CVA'!$M$20)*1</f>
        <v>0</v>
      </c>
      <c r="N20" s="30">
        <f>('TE BE'!$N$20+'TE BF'!$N$20+'TE CVA'!$N$20)*1</f>
        <v>0</v>
      </c>
      <c r="O20" s="30">
        <f>('TE BE'!$O$20+'TE BF'!$O$20+'TE CVA'!$O$20)*1</f>
        <v>0</v>
      </c>
      <c r="P20" s="30">
        <f>('TE BE'!$Q$20+'TE BF'!$Q$20+'TE CVA'!$Q$20)*1</f>
        <v>260.80314197522284</v>
      </c>
      <c r="Q20" s="30">
        <f>('TE BE'!$S$20+'TE BF'!$S$20+'TE CVA'!$S$20)*1</f>
        <v>0</v>
      </c>
      <c r="R20" s="30">
        <f>('TE BE'!$T$20+'TE BF'!$T$20+'TE CVA'!$T$20)*1</f>
        <v>0</v>
      </c>
      <c r="S20" s="30">
        <f>('TE BE'!$U$20+'TE BF'!$U$20+'TE CVA'!$U$20)*1</f>
        <v>0</v>
      </c>
      <c r="T20" s="30">
        <f>('TE BE'!$W$20+'TE BF'!$W$20+'TE CVA'!$W$20)*1</f>
        <v>0</v>
      </c>
      <c r="U20" s="30">
        <f>('TE BE'!$Y$20+'TE BF'!$Y$20+'TE CVA'!$Y$20)*1</f>
        <v>0</v>
      </c>
      <c r="W20" s="30">
        <v>1.6714774270263401E-12</v>
      </c>
      <c r="X20" s="30">
        <v>0</v>
      </c>
      <c r="Y20" s="30">
        <v>0</v>
      </c>
      <c r="Z20" s="30">
        <v>0</v>
      </c>
      <c r="AA20" s="30">
        <v>226.472621525785</v>
      </c>
      <c r="AB20" s="30">
        <v>0</v>
      </c>
      <c r="AC20" s="30">
        <v>0</v>
      </c>
      <c r="AD20" s="30">
        <v>0</v>
      </c>
      <c r="AE20" s="30">
        <v>4.8596796016333004</v>
      </c>
      <c r="AF20" s="30">
        <v>0</v>
      </c>
    </row>
    <row r="21" spans="1:32" ht="11.25" customHeight="1" x14ac:dyDescent="0.25">
      <c r="A21" s="138" t="s">
        <v>43</v>
      </c>
      <c r="B21" s="138" t="s">
        <v>70</v>
      </c>
      <c r="C21" s="138" t="s">
        <v>44</v>
      </c>
      <c r="D21" s="138" t="s">
        <v>25</v>
      </c>
      <c r="E21" s="138" t="s">
        <v>25</v>
      </c>
      <c r="F21" s="138" t="s">
        <v>25</v>
      </c>
      <c r="G21" s="32" t="s">
        <v>72</v>
      </c>
      <c r="H21" s="32" t="s">
        <v>71</v>
      </c>
      <c r="I21" s="32">
        <f>'MERCADO TE'!$U$18</f>
        <v>0</v>
      </c>
      <c r="J21" s="17"/>
      <c r="L21" s="30">
        <f>('TE BE'!$L$21+'TE BF'!$L$21+'TE CVA'!$L$21)*(1 - CUSTOS!$M$38)</f>
        <v>0</v>
      </c>
      <c r="M21" s="30">
        <f>('TE BE'!$M$21+'TE BF'!$M$21+'TE CVA'!$M$21)*(1 - CUSTOS!$M$38)</f>
        <v>0</v>
      </c>
      <c r="N21" s="30">
        <f>('TE BE'!$N$21+'TE BF'!$N$21+'TE CVA'!$N$21)*(1 - CUSTOS!$M$38)</f>
        <v>0</v>
      </c>
      <c r="O21" s="30">
        <f>('TE BE'!$O$21+'TE BF'!$O$21+'TE CVA'!$O$21)*(1 - CUSTOS!$M$38)</f>
        <v>0</v>
      </c>
      <c r="P21" s="30">
        <f>('TE BE'!$Q$21+'TE BF'!$Q$21+'TE CVA'!$Q$21)*(1 - CUSTOS!$M$38)</f>
        <v>245.15495345670945</v>
      </c>
      <c r="Q21" s="30">
        <f>('TE BE'!$S$21+'TE BF'!$S$21+'TE CVA'!$S$21)*(1 - CUSTOS!$M$38)</f>
        <v>0</v>
      </c>
      <c r="R21" s="30">
        <f>('TE BE'!$T$21+'TE BF'!$T$21+'TE CVA'!$T$21)*(1 - CUSTOS!$M$38)</f>
        <v>0</v>
      </c>
      <c r="S21" s="30">
        <f>('TE BE'!$U$21+'TE BF'!$U$21+'TE CVA'!$U$21)*(1 - CUSTOS!$M$38)</f>
        <v>0</v>
      </c>
      <c r="T21" s="30">
        <f>('TE BE'!$W$21+'TE BF'!$W$21+'TE CVA'!$W$21)*(1 - CUSTOS!$M$38)</f>
        <v>0</v>
      </c>
      <c r="U21" s="30">
        <f>('TE BE'!$Y$21+'TE BF'!$Y$21+'TE CVA'!$Y$21)*(1 - CUSTOS!$M$38)</f>
        <v>0</v>
      </c>
      <c r="W21" s="30">
        <v>1.47090013578318E-12</v>
      </c>
      <c r="X21" s="30">
        <v>0</v>
      </c>
      <c r="Y21" s="30">
        <v>0</v>
      </c>
      <c r="Z21" s="30">
        <v>0</v>
      </c>
      <c r="AA21" s="30">
        <v>199.295906942691</v>
      </c>
      <c r="AB21" s="30">
        <v>0</v>
      </c>
      <c r="AC21" s="30">
        <v>0</v>
      </c>
      <c r="AD21" s="30">
        <v>0</v>
      </c>
      <c r="AE21" s="30">
        <v>4.2765180494372999</v>
      </c>
      <c r="AF21" s="30">
        <v>0</v>
      </c>
    </row>
    <row r="22" spans="1:32" ht="11.25" customHeight="1" x14ac:dyDescent="0.25">
      <c r="A22" s="138"/>
      <c r="B22" s="138"/>
      <c r="C22" s="138"/>
      <c r="D22" s="138"/>
      <c r="E22" s="138"/>
      <c r="F22" s="138"/>
      <c r="G22" s="32" t="s">
        <v>84</v>
      </c>
      <c r="H22" s="32" t="s">
        <v>71</v>
      </c>
      <c r="I22" s="32">
        <f>'MERCADO TE'!$U$19</f>
        <v>0</v>
      </c>
      <c r="J22" s="17"/>
      <c r="L22" s="30">
        <f>('TE BE'!$L$22+'TE BF'!$L$22+'TE CVA'!$L$22)*(1 - CUSTOS!$M$38)</f>
        <v>0</v>
      </c>
      <c r="M22" s="30">
        <f>('TE BE'!$M$22+'TE BF'!$M$22+'TE CVA'!$M$22)*(1 - CUSTOS!$M$38)</f>
        <v>0</v>
      </c>
      <c r="N22" s="30">
        <f>('TE BE'!$N$22+'TE BF'!$N$22+'TE CVA'!$N$22)*(1 - CUSTOS!$M$38)</f>
        <v>0</v>
      </c>
      <c r="O22" s="30">
        <f>('TE BE'!$O$22+'TE BF'!$O$22+'TE CVA'!$O$22)*(1 - CUSTOS!$M$38)</f>
        <v>0</v>
      </c>
      <c r="P22" s="30">
        <f>('TE BE'!$Q$22+'TE BF'!$Q$22+'TE CVA'!$Q$22)*(1 - CUSTOS!$M$38)</f>
        <v>245.15495345670945</v>
      </c>
      <c r="Q22" s="30">
        <f>('TE BE'!$S$22+'TE BF'!$S$22+'TE CVA'!$S$22)*(1 - CUSTOS!$M$38)</f>
        <v>0</v>
      </c>
      <c r="R22" s="30">
        <f>('TE BE'!$T$22+'TE BF'!$T$22+'TE CVA'!$T$22)*(1 - CUSTOS!$M$38)</f>
        <v>0</v>
      </c>
      <c r="S22" s="30">
        <f>('TE BE'!$U$22+'TE BF'!$U$22+'TE CVA'!$U$22)*(1 - CUSTOS!$M$38)</f>
        <v>0</v>
      </c>
      <c r="T22" s="30">
        <f>('TE BE'!$W$22+'TE BF'!$W$22+'TE CVA'!$W$22)*(1 - CUSTOS!$M$38)</f>
        <v>0</v>
      </c>
      <c r="U22" s="30">
        <f>('TE BE'!$Y$22+'TE BF'!$Y$22+'TE CVA'!$Y$22)*(1 - CUSTOS!$M$38)</f>
        <v>0</v>
      </c>
      <c r="W22" s="30">
        <v>1.47090013578318E-12</v>
      </c>
      <c r="X22" s="30">
        <v>0</v>
      </c>
      <c r="Y22" s="30">
        <v>0</v>
      </c>
      <c r="Z22" s="30">
        <v>0</v>
      </c>
      <c r="AA22" s="30">
        <v>199.295906942691</v>
      </c>
      <c r="AB22" s="30">
        <v>0</v>
      </c>
      <c r="AC22" s="30">
        <v>0</v>
      </c>
      <c r="AD22" s="30">
        <v>0</v>
      </c>
      <c r="AE22" s="30">
        <v>4.2765180494372999</v>
      </c>
      <c r="AF22" s="30">
        <v>0</v>
      </c>
    </row>
    <row r="23" spans="1:32" ht="11.25" customHeight="1" x14ac:dyDescent="0.25">
      <c r="A23" s="138"/>
      <c r="B23" s="138"/>
      <c r="C23" s="138"/>
      <c r="D23" s="138"/>
      <c r="E23" s="138"/>
      <c r="F23" s="138"/>
      <c r="G23" s="32" t="s">
        <v>73</v>
      </c>
      <c r="H23" s="32" t="s">
        <v>71</v>
      </c>
      <c r="I23" s="32">
        <f>'MERCADO TE'!$U$20</f>
        <v>0</v>
      </c>
      <c r="J23" s="17"/>
      <c r="L23" s="30">
        <f>('TE BE'!$L$23+'TE BF'!$L$23+'TE CVA'!$L$23)*(1 - CUSTOS!$M$38)</f>
        <v>0</v>
      </c>
      <c r="M23" s="30">
        <f>('TE BE'!$M$23+'TE BF'!$M$23+'TE CVA'!$M$23)*(1 - CUSTOS!$M$38)</f>
        <v>0</v>
      </c>
      <c r="N23" s="30">
        <f>('TE BE'!$N$23+'TE BF'!$N$23+'TE CVA'!$N$23)*(1 - CUSTOS!$M$38)</f>
        <v>0</v>
      </c>
      <c r="O23" s="30">
        <f>('TE BE'!$O$23+'TE BF'!$O$23+'TE CVA'!$O$23)*(1 - CUSTOS!$M$38)</f>
        <v>0</v>
      </c>
      <c r="P23" s="30">
        <f>('TE BE'!$Q$23+'TE BF'!$Q$23+'TE CVA'!$Q$23)*(1 - CUSTOS!$M$38)</f>
        <v>245.15495345670945</v>
      </c>
      <c r="Q23" s="30">
        <f>('TE BE'!$S$23+'TE BF'!$S$23+'TE CVA'!$S$23)*(1 - CUSTOS!$M$38)</f>
        <v>0</v>
      </c>
      <c r="R23" s="30">
        <f>('TE BE'!$T$23+'TE BF'!$T$23+'TE CVA'!$T$23)*(1 - CUSTOS!$M$38)</f>
        <v>0</v>
      </c>
      <c r="S23" s="30">
        <f>('TE BE'!$U$23+'TE BF'!$U$23+'TE CVA'!$U$23)*(1 - CUSTOS!$M$38)</f>
        <v>0</v>
      </c>
      <c r="T23" s="30">
        <f>('TE BE'!$W$23+'TE BF'!$W$23+'TE CVA'!$W$23)*(1 - CUSTOS!$M$38)</f>
        <v>0</v>
      </c>
      <c r="U23" s="30">
        <f>('TE BE'!$Y$23+'TE BF'!$Y$23+'TE CVA'!$Y$23)*(1 - CUSTOS!$M$38)</f>
        <v>0</v>
      </c>
      <c r="W23" s="30">
        <v>1.47090013578318E-12</v>
      </c>
      <c r="X23" s="30">
        <v>0</v>
      </c>
      <c r="Y23" s="30">
        <v>0</v>
      </c>
      <c r="Z23" s="30">
        <v>0</v>
      </c>
      <c r="AA23" s="30">
        <v>199.295906942691</v>
      </c>
      <c r="AB23" s="30">
        <v>0</v>
      </c>
      <c r="AC23" s="30">
        <v>0</v>
      </c>
      <c r="AD23" s="30">
        <v>0</v>
      </c>
      <c r="AE23" s="30">
        <v>4.2765180494372999</v>
      </c>
      <c r="AF23" s="30">
        <v>0</v>
      </c>
    </row>
    <row r="24" spans="1:32" ht="11.25" customHeight="1" x14ac:dyDescent="0.25">
      <c r="A24" s="138"/>
      <c r="B24" s="89" t="s">
        <v>74</v>
      </c>
      <c r="C24" s="89" t="s">
        <v>44</v>
      </c>
      <c r="D24" s="89" t="s">
        <v>25</v>
      </c>
      <c r="E24" s="89" t="s">
        <v>25</v>
      </c>
      <c r="F24" s="89" t="s">
        <v>25</v>
      </c>
      <c r="G24" s="32" t="s">
        <v>75</v>
      </c>
      <c r="H24" s="32" t="s">
        <v>71</v>
      </c>
      <c r="I24" s="32">
        <f>'MERCADO TE'!$U$21</f>
        <v>3313.4050000000002</v>
      </c>
      <c r="J24" s="17"/>
      <c r="L24" s="30">
        <f>('TE BE'!$L$24+'TE BF'!$L$24+'TE CVA'!$L$24)*(1 - CUSTOS!$M$38)</f>
        <v>0</v>
      </c>
      <c r="M24" s="30">
        <f>('TE BE'!$M$24+'TE BF'!$M$24+'TE CVA'!$M$24)*(1 - CUSTOS!$M$38)</f>
        <v>0</v>
      </c>
      <c r="N24" s="30">
        <f>('TE BE'!$N$24+'TE BF'!$N$24+'TE CVA'!$N$24)*(1 - CUSTOS!$M$38)</f>
        <v>0</v>
      </c>
      <c r="O24" s="30">
        <f>('TE BE'!$O$24+'TE BF'!$O$24+'TE CVA'!$O$24)*(1 - CUSTOS!$M$38)</f>
        <v>0</v>
      </c>
      <c r="P24" s="30">
        <f>('TE BE'!$Q$24+'TE BF'!$Q$24+'TE CVA'!$Q$24)*(1 - CUSTOS!$M$38)</f>
        <v>245.15495345670945</v>
      </c>
      <c r="Q24" s="30">
        <f>('TE BE'!$S$24+'TE BF'!$S$24+'TE CVA'!$S$24)*(1 - CUSTOS!$M$38)</f>
        <v>0</v>
      </c>
      <c r="R24" s="30">
        <f>('TE BE'!$T$24+'TE BF'!$T$24+'TE CVA'!$T$24)*(1 - CUSTOS!$M$38)</f>
        <v>0</v>
      </c>
      <c r="S24" s="30">
        <f>('TE BE'!$U$24+'TE BF'!$U$24+'TE CVA'!$U$24)*(1 - CUSTOS!$M$38)</f>
        <v>0</v>
      </c>
      <c r="T24" s="30">
        <f>('TE BE'!$W$24+'TE BF'!$W$24+'TE CVA'!$W$24)*(1 - CUSTOS!$M$38)</f>
        <v>0</v>
      </c>
      <c r="U24" s="30">
        <f>('TE BE'!$Y$24+'TE BF'!$Y$24+'TE CVA'!$Y$24)*(1 - CUSTOS!$M$38)</f>
        <v>0</v>
      </c>
      <c r="W24" s="30">
        <v>1.47090013578318E-12</v>
      </c>
      <c r="X24" s="30">
        <v>0</v>
      </c>
      <c r="Y24" s="30">
        <v>0</v>
      </c>
      <c r="Z24" s="30">
        <v>0</v>
      </c>
      <c r="AA24" s="30">
        <v>199.295906942691</v>
      </c>
      <c r="AB24" s="30">
        <v>0</v>
      </c>
      <c r="AC24" s="30">
        <v>0</v>
      </c>
      <c r="AD24" s="30">
        <v>0</v>
      </c>
      <c r="AE24" s="30">
        <v>4.2765180494372999</v>
      </c>
      <c r="AF24" s="30">
        <v>0</v>
      </c>
    </row>
    <row r="25" spans="1:32" ht="11.25" customHeight="1" x14ac:dyDescent="0.25">
      <c r="A25" s="138"/>
      <c r="B25" s="138" t="s">
        <v>70</v>
      </c>
      <c r="C25" s="138" t="s">
        <v>44</v>
      </c>
      <c r="D25" s="138" t="s">
        <v>87</v>
      </c>
      <c r="E25" s="138" t="s">
        <v>25</v>
      </c>
      <c r="F25" s="138" t="s">
        <v>25</v>
      </c>
      <c r="G25" s="32" t="s">
        <v>72</v>
      </c>
      <c r="H25" s="32" t="s">
        <v>71</v>
      </c>
      <c r="I25" s="32">
        <f>'MERCADO TE'!$U$22</f>
        <v>0</v>
      </c>
      <c r="J25" s="17"/>
      <c r="L25" s="30">
        <f>('TE BE'!$L$25+'TE BF'!$L$25+'TE CVA'!$L$25)*(1 - CUSTOS!$M$39)</f>
        <v>0</v>
      </c>
      <c r="M25" s="30">
        <f>('TE BE'!$M$25+'TE BF'!$M$25+'TE CVA'!$M$25)*(1 - CUSTOS!$M$39)</f>
        <v>0</v>
      </c>
      <c r="N25" s="30">
        <f>('TE BE'!$N$25+'TE BF'!$N$25+'TE CVA'!$N$25)*(1 - CUSTOS!$M$39)</f>
        <v>0</v>
      </c>
      <c r="O25" s="30">
        <f>('TE BE'!$O$25+'TE BF'!$O$25+'TE CVA'!$O$25)*(1 - CUSTOS!$M$39)</f>
        <v>0</v>
      </c>
      <c r="P25" s="30">
        <f>('TE BE'!$Q$25+'TE BF'!$Q$25+'TE CVA'!$Q$25)*(1 - CUSTOS!$M$39)</f>
        <v>245.15495345670945</v>
      </c>
      <c r="Q25" s="30">
        <f>('TE BE'!$S$25+'TE BF'!$S$25+'TE CVA'!$S$25)*(1 - CUSTOS!$M$39)</f>
        <v>0</v>
      </c>
      <c r="R25" s="30">
        <f>('TE BE'!$T$25+'TE BF'!$T$25+'TE CVA'!$T$25)*(1 - CUSTOS!$M$39)</f>
        <v>0</v>
      </c>
      <c r="S25" s="30">
        <f>('TE BE'!$U$25+'TE BF'!$U$25+'TE CVA'!$U$25)*(1 - CUSTOS!$M$39)</f>
        <v>0</v>
      </c>
      <c r="T25" s="30">
        <f>('TE BE'!$W$25+'TE BF'!$W$25+'TE CVA'!$W$25)*(1 - CUSTOS!$M$39)</f>
        <v>0</v>
      </c>
      <c r="U25" s="30">
        <f>('TE BE'!$Y$25+'TE BF'!$Y$25+'TE CVA'!$Y$25)*(1 - CUSTOS!$M$39)</f>
        <v>0</v>
      </c>
      <c r="W25" s="30">
        <v>1.47090013578318E-12</v>
      </c>
      <c r="X25" s="30">
        <v>0</v>
      </c>
      <c r="Y25" s="30">
        <v>0</v>
      </c>
      <c r="Z25" s="30">
        <v>0</v>
      </c>
      <c r="AA25" s="30">
        <v>199.295906942691</v>
      </c>
      <c r="AB25" s="30">
        <v>0</v>
      </c>
      <c r="AC25" s="30">
        <v>0</v>
      </c>
      <c r="AD25" s="30">
        <v>0</v>
      </c>
      <c r="AE25" s="30">
        <v>4.2765180494372999</v>
      </c>
      <c r="AF25" s="30">
        <v>0</v>
      </c>
    </row>
    <row r="26" spans="1:32" ht="11.25" customHeight="1" x14ac:dyDescent="0.25">
      <c r="A26" s="138"/>
      <c r="B26" s="138"/>
      <c r="C26" s="138"/>
      <c r="D26" s="138"/>
      <c r="E26" s="138"/>
      <c r="F26" s="138"/>
      <c r="G26" s="32" t="s">
        <v>84</v>
      </c>
      <c r="H26" s="32" t="s">
        <v>71</v>
      </c>
      <c r="I26" s="32">
        <f>'MERCADO TE'!$U$23</f>
        <v>0</v>
      </c>
      <c r="J26" s="17"/>
      <c r="L26" s="30">
        <f>('TE BE'!$L$26+'TE BF'!$L$26+'TE CVA'!$L$26)*(1 - CUSTOS!$M$39)</f>
        <v>0</v>
      </c>
      <c r="M26" s="30">
        <f>('TE BE'!$M$26+'TE BF'!$M$26+'TE CVA'!$M$26)*(1 - CUSTOS!$M$39)</f>
        <v>0</v>
      </c>
      <c r="N26" s="30">
        <f>('TE BE'!$N$26+'TE BF'!$N$26+'TE CVA'!$N$26)*(1 - CUSTOS!$M$39)</f>
        <v>0</v>
      </c>
      <c r="O26" s="30">
        <f>('TE BE'!$O$26+'TE BF'!$O$26+'TE CVA'!$O$26)*(1 - CUSTOS!$M$39)</f>
        <v>0</v>
      </c>
      <c r="P26" s="30">
        <f>('TE BE'!$Q$26+'TE BF'!$Q$26+'TE CVA'!$Q$26)*(1 - CUSTOS!$M$39)</f>
        <v>245.15495345670945</v>
      </c>
      <c r="Q26" s="30">
        <f>('TE BE'!$S$26+'TE BF'!$S$26+'TE CVA'!$S$26)*(1 - CUSTOS!$M$39)</f>
        <v>0</v>
      </c>
      <c r="R26" s="30">
        <f>('TE BE'!$T$26+'TE BF'!$T$26+'TE CVA'!$T$26)*(1 - CUSTOS!$M$39)</f>
        <v>0</v>
      </c>
      <c r="S26" s="30">
        <f>('TE BE'!$U$26+'TE BF'!$U$26+'TE CVA'!$U$26)*(1 - CUSTOS!$M$39)</f>
        <v>0</v>
      </c>
      <c r="T26" s="30">
        <f>('TE BE'!$W$26+'TE BF'!$W$26+'TE CVA'!$W$26)*(1 - CUSTOS!$M$39)</f>
        <v>0</v>
      </c>
      <c r="U26" s="30">
        <f>('TE BE'!$Y$26+'TE BF'!$Y$26+'TE CVA'!$Y$26)*(1 - CUSTOS!$M$39)</f>
        <v>0</v>
      </c>
      <c r="W26" s="30">
        <v>1.47090013578318E-12</v>
      </c>
      <c r="X26" s="30">
        <v>0</v>
      </c>
      <c r="Y26" s="30">
        <v>0</v>
      </c>
      <c r="Z26" s="30">
        <v>0</v>
      </c>
      <c r="AA26" s="30">
        <v>199.295906942691</v>
      </c>
      <c r="AB26" s="30">
        <v>0</v>
      </c>
      <c r="AC26" s="30">
        <v>0</v>
      </c>
      <c r="AD26" s="30">
        <v>0</v>
      </c>
      <c r="AE26" s="30">
        <v>4.2765180494372999</v>
      </c>
      <c r="AF26" s="30">
        <v>0</v>
      </c>
    </row>
    <row r="27" spans="1:32" ht="11.25" customHeight="1" x14ac:dyDescent="0.25">
      <c r="A27" s="138"/>
      <c r="B27" s="138"/>
      <c r="C27" s="138"/>
      <c r="D27" s="138"/>
      <c r="E27" s="138"/>
      <c r="F27" s="138"/>
      <c r="G27" s="32" t="s">
        <v>73</v>
      </c>
      <c r="H27" s="32" t="s">
        <v>71</v>
      </c>
      <c r="I27" s="32">
        <f>'MERCADO TE'!$U$24</f>
        <v>0</v>
      </c>
      <c r="J27" s="17"/>
      <c r="L27" s="30">
        <f>('TE BE'!$L$27+'TE BF'!$L$27+'TE CVA'!$L$27)*(1 - CUSTOS!$M$39)</f>
        <v>0</v>
      </c>
      <c r="M27" s="30">
        <f>('TE BE'!$M$27+'TE BF'!$M$27+'TE CVA'!$M$27)*(1 - CUSTOS!$M$39)</f>
        <v>0</v>
      </c>
      <c r="N27" s="30">
        <f>('TE BE'!$N$27+'TE BF'!$N$27+'TE CVA'!$N$27)*(1 - CUSTOS!$M$39)</f>
        <v>0</v>
      </c>
      <c r="O27" s="30">
        <f>('TE BE'!$O$27+'TE BF'!$O$27+'TE CVA'!$O$27)*(1 - CUSTOS!$M$39)</f>
        <v>0</v>
      </c>
      <c r="P27" s="30">
        <f>('TE BE'!$Q$27+'TE BF'!$Q$27+'TE CVA'!$Q$27)*(1 - CUSTOS!$M$39)</f>
        <v>245.15495345670945</v>
      </c>
      <c r="Q27" s="30">
        <f>('TE BE'!$S$27+'TE BF'!$S$27+'TE CVA'!$S$27)*(1 - CUSTOS!$M$39)</f>
        <v>0</v>
      </c>
      <c r="R27" s="30">
        <f>('TE BE'!$T$27+'TE BF'!$T$27+'TE CVA'!$T$27)*(1 - CUSTOS!$M$39)</f>
        <v>0</v>
      </c>
      <c r="S27" s="30">
        <f>('TE BE'!$U$27+'TE BF'!$U$27+'TE CVA'!$U$27)*(1 - CUSTOS!$M$39)</f>
        <v>0</v>
      </c>
      <c r="T27" s="30">
        <f>('TE BE'!$W$27+'TE BF'!$W$27+'TE CVA'!$W$27)*(1 - CUSTOS!$M$39)</f>
        <v>0</v>
      </c>
      <c r="U27" s="30">
        <f>('TE BE'!$Y$27+'TE BF'!$Y$27+'TE CVA'!$Y$27)*(1 - CUSTOS!$M$39)</f>
        <v>0</v>
      </c>
      <c r="W27" s="30">
        <v>1.47090013578318E-12</v>
      </c>
      <c r="X27" s="30">
        <v>0</v>
      </c>
      <c r="Y27" s="30">
        <v>0</v>
      </c>
      <c r="Z27" s="30">
        <v>0</v>
      </c>
      <c r="AA27" s="30">
        <v>199.295906942691</v>
      </c>
      <c r="AB27" s="30">
        <v>0</v>
      </c>
      <c r="AC27" s="30">
        <v>0</v>
      </c>
      <c r="AD27" s="30">
        <v>0</v>
      </c>
      <c r="AE27" s="30">
        <v>4.2765180494372999</v>
      </c>
      <c r="AF27" s="30">
        <v>0</v>
      </c>
    </row>
    <row r="28" spans="1:32" ht="11.25" customHeight="1" x14ac:dyDescent="0.25">
      <c r="A28" s="138"/>
      <c r="B28" s="89" t="s">
        <v>74</v>
      </c>
      <c r="C28" s="89" t="s">
        <v>44</v>
      </c>
      <c r="D28" s="89" t="s">
        <v>87</v>
      </c>
      <c r="E28" s="89" t="s">
        <v>25</v>
      </c>
      <c r="F28" s="89" t="s">
        <v>25</v>
      </c>
      <c r="G28" s="32" t="s">
        <v>75</v>
      </c>
      <c r="H28" s="32" t="s">
        <v>71</v>
      </c>
      <c r="I28" s="32">
        <f>'MERCADO TE'!$U$25</f>
        <v>0</v>
      </c>
      <c r="J28" s="17"/>
      <c r="L28" s="30">
        <f>('TE BE'!$L$28+'TE BF'!$L$28+'TE CVA'!$L$28)*(1 - CUSTOS!$M$39)</f>
        <v>0</v>
      </c>
      <c r="M28" s="30">
        <f>('TE BE'!$M$28+'TE BF'!$M$28+'TE CVA'!$M$28)*(1 - CUSTOS!$M$39)</f>
        <v>0</v>
      </c>
      <c r="N28" s="30">
        <f>('TE BE'!$N$28+'TE BF'!$N$28+'TE CVA'!$N$28)*(1 - CUSTOS!$M$39)</f>
        <v>0</v>
      </c>
      <c r="O28" s="30">
        <f>('TE BE'!$O$28+'TE BF'!$O$28+'TE CVA'!$O$28)*(1 - CUSTOS!$M$39)</f>
        <v>0</v>
      </c>
      <c r="P28" s="30">
        <f>('TE BE'!$Q$28+'TE BF'!$Q$28+'TE CVA'!$Q$28)*(1 - CUSTOS!$M$39)</f>
        <v>245.15495345670945</v>
      </c>
      <c r="Q28" s="30">
        <f>('TE BE'!$S$28+'TE BF'!$S$28+'TE CVA'!$S$28)*(1 - CUSTOS!$M$39)</f>
        <v>0</v>
      </c>
      <c r="R28" s="30">
        <f>('TE BE'!$T$28+'TE BF'!$T$28+'TE CVA'!$T$28)*(1 - CUSTOS!$M$39)</f>
        <v>0</v>
      </c>
      <c r="S28" s="30">
        <f>('TE BE'!$U$28+'TE BF'!$U$28+'TE CVA'!$U$28)*(1 - CUSTOS!$M$39)</f>
        <v>0</v>
      </c>
      <c r="T28" s="30">
        <f>('TE BE'!$W$28+'TE BF'!$W$28+'TE CVA'!$W$28)*(1 - CUSTOS!$M$39)</f>
        <v>0</v>
      </c>
      <c r="U28" s="30">
        <f>('TE BE'!$Y$28+'TE BF'!$Y$28+'TE CVA'!$Y$28)*(1 - CUSTOS!$M$39)</f>
        <v>0</v>
      </c>
      <c r="W28" s="30">
        <v>1.47090013578318E-12</v>
      </c>
      <c r="X28" s="30">
        <v>0</v>
      </c>
      <c r="Y28" s="30">
        <v>0</v>
      </c>
      <c r="Z28" s="30">
        <v>0</v>
      </c>
      <c r="AA28" s="30">
        <v>199.295906942691</v>
      </c>
      <c r="AB28" s="30">
        <v>0</v>
      </c>
      <c r="AC28" s="30">
        <v>0</v>
      </c>
      <c r="AD28" s="30">
        <v>0</v>
      </c>
      <c r="AE28" s="30">
        <v>4.2765180494372999</v>
      </c>
      <c r="AF28" s="30">
        <v>0</v>
      </c>
    </row>
    <row r="29" spans="1:32" ht="11.25" customHeight="1" x14ac:dyDescent="0.25">
      <c r="A29" s="138"/>
      <c r="B29" s="138" t="s">
        <v>70</v>
      </c>
      <c r="C29" s="138" t="s">
        <v>44</v>
      </c>
      <c r="D29" s="138" t="s">
        <v>88</v>
      </c>
      <c r="E29" s="138" t="s">
        <v>25</v>
      </c>
      <c r="F29" s="138" t="s">
        <v>25</v>
      </c>
      <c r="G29" s="32" t="s">
        <v>72</v>
      </c>
      <c r="H29" s="32" t="s">
        <v>71</v>
      </c>
      <c r="I29" s="32">
        <f>'MERCADO TE'!$U$26</f>
        <v>0</v>
      </c>
      <c r="J29" s="17"/>
      <c r="L29" s="30">
        <f>('TE BE'!$L$29+'TE BF'!$L$29+'TE CVA'!$L$29)*(1 - CUSTOS!$M$40)</f>
        <v>0</v>
      </c>
      <c r="M29" s="30">
        <f>('TE BE'!$M$29+'TE BF'!$M$29+'TE CVA'!$M$29)*(1 - CUSTOS!$M$40)</f>
        <v>0</v>
      </c>
      <c r="N29" s="30">
        <f>('TE BE'!$N$29+'TE BF'!$N$29+'TE CVA'!$N$29)*(1 - CUSTOS!$M$40)</f>
        <v>0</v>
      </c>
      <c r="O29" s="30">
        <f>('TE BE'!$O$29+'TE BF'!$O$29+'TE CVA'!$O$29)*(1 - CUSTOS!$M$40)</f>
        <v>0</v>
      </c>
      <c r="P29" s="30">
        <f>('TE BE'!$Q$29+'TE BF'!$Q$29+'TE CVA'!$Q$29)*(1 - CUSTOS!$M$40)</f>
        <v>239.93889061720503</v>
      </c>
      <c r="Q29" s="30">
        <f>('TE BE'!$S$29+'TE BF'!$S$29+'TE CVA'!$S$29)*(1 - CUSTOS!$M$40)</f>
        <v>0</v>
      </c>
      <c r="R29" s="30">
        <f>('TE BE'!$T$29+'TE BF'!$T$29+'TE CVA'!$T$29)*(1 - CUSTOS!$M$40)</f>
        <v>0</v>
      </c>
      <c r="S29" s="30">
        <f>('TE BE'!$U$29+'TE BF'!$U$29+'TE CVA'!$U$29)*(1 - CUSTOS!$M$40)</f>
        <v>0</v>
      </c>
      <c r="T29" s="30">
        <f>('TE BE'!$W$29+'TE BF'!$W$29+'TE CVA'!$W$29)*(1 - CUSTOS!$M$40)</f>
        <v>0</v>
      </c>
      <c r="U29" s="30">
        <f>('TE BE'!$Y$29+'TE BF'!$Y$29+'TE CVA'!$Y$29)*(1 - CUSTOS!$M$40)</f>
        <v>0</v>
      </c>
      <c r="W29" s="30">
        <v>1.40404103870212E-12</v>
      </c>
      <c r="X29" s="30">
        <v>0</v>
      </c>
      <c r="Y29" s="30">
        <v>0</v>
      </c>
      <c r="Z29" s="30">
        <v>0</v>
      </c>
      <c r="AA29" s="30">
        <v>190.237002081659</v>
      </c>
      <c r="AB29" s="30">
        <v>0</v>
      </c>
      <c r="AC29" s="30">
        <v>0</v>
      </c>
      <c r="AD29" s="30">
        <v>0</v>
      </c>
      <c r="AE29" s="30">
        <v>4.0821308653719699</v>
      </c>
      <c r="AF29" s="30">
        <v>0</v>
      </c>
    </row>
    <row r="30" spans="1:32" ht="11.25" customHeight="1" x14ac:dyDescent="0.25">
      <c r="A30" s="138"/>
      <c r="B30" s="138"/>
      <c r="C30" s="138"/>
      <c r="D30" s="138"/>
      <c r="E30" s="138"/>
      <c r="F30" s="138"/>
      <c r="G30" s="32" t="s">
        <v>84</v>
      </c>
      <c r="H30" s="32" t="s">
        <v>71</v>
      </c>
      <c r="I30" s="32">
        <f>'MERCADO TE'!$U$27</f>
        <v>0</v>
      </c>
      <c r="J30" s="17"/>
      <c r="L30" s="30">
        <f>('TE BE'!$L$30+'TE BF'!$L$30+'TE CVA'!$L$30)*(1 - CUSTOS!$M$40)</f>
        <v>0</v>
      </c>
      <c r="M30" s="30">
        <f>('TE BE'!$M$30+'TE BF'!$M$30+'TE CVA'!$M$30)*(1 - CUSTOS!$M$40)</f>
        <v>0</v>
      </c>
      <c r="N30" s="30">
        <f>('TE BE'!$N$30+'TE BF'!$N$30+'TE CVA'!$N$30)*(1 - CUSTOS!$M$40)</f>
        <v>0</v>
      </c>
      <c r="O30" s="30">
        <f>('TE BE'!$O$30+'TE BF'!$O$30+'TE CVA'!$O$30)*(1 - CUSTOS!$M$40)</f>
        <v>0</v>
      </c>
      <c r="P30" s="30">
        <f>('TE BE'!$Q$30+'TE BF'!$Q$30+'TE CVA'!$Q$30)*(1 - CUSTOS!$M$40)</f>
        <v>239.93889061720503</v>
      </c>
      <c r="Q30" s="30">
        <f>('TE BE'!$S$30+'TE BF'!$S$30+'TE CVA'!$S$30)*(1 - CUSTOS!$M$40)</f>
        <v>0</v>
      </c>
      <c r="R30" s="30">
        <f>('TE BE'!$T$30+'TE BF'!$T$30+'TE CVA'!$T$30)*(1 - CUSTOS!$M$40)</f>
        <v>0</v>
      </c>
      <c r="S30" s="30">
        <f>('TE BE'!$U$30+'TE BF'!$U$30+'TE CVA'!$U$30)*(1 - CUSTOS!$M$40)</f>
        <v>0</v>
      </c>
      <c r="T30" s="30">
        <f>('TE BE'!$W$30+'TE BF'!$W$30+'TE CVA'!$W$30)*(1 - CUSTOS!$M$40)</f>
        <v>0</v>
      </c>
      <c r="U30" s="30">
        <f>('TE BE'!$Y$30+'TE BF'!$Y$30+'TE CVA'!$Y$30)*(1 - CUSTOS!$M$40)</f>
        <v>0</v>
      </c>
      <c r="W30" s="30">
        <v>1.40404103870212E-12</v>
      </c>
      <c r="X30" s="30">
        <v>0</v>
      </c>
      <c r="Y30" s="30">
        <v>0</v>
      </c>
      <c r="Z30" s="30">
        <v>0</v>
      </c>
      <c r="AA30" s="30">
        <v>190.237002081659</v>
      </c>
      <c r="AB30" s="30">
        <v>0</v>
      </c>
      <c r="AC30" s="30">
        <v>0</v>
      </c>
      <c r="AD30" s="30">
        <v>0</v>
      </c>
      <c r="AE30" s="30">
        <v>4.0821308653719699</v>
      </c>
      <c r="AF30" s="30">
        <v>0</v>
      </c>
    </row>
    <row r="31" spans="1:32" ht="11.25" customHeight="1" x14ac:dyDescent="0.25">
      <c r="A31" s="138"/>
      <c r="B31" s="138"/>
      <c r="C31" s="138"/>
      <c r="D31" s="138"/>
      <c r="E31" s="138"/>
      <c r="F31" s="138"/>
      <c r="G31" s="32" t="s">
        <v>73</v>
      </c>
      <c r="H31" s="32" t="s">
        <v>71</v>
      </c>
      <c r="I31" s="32">
        <f>'MERCADO TE'!$U$28</f>
        <v>0</v>
      </c>
      <c r="J31" s="17"/>
      <c r="L31" s="30">
        <f>('TE BE'!$L$31+'TE BF'!$L$31+'TE CVA'!$L$31)*(1 - CUSTOS!$M$40)</f>
        <v>0</v>
      </c>
      <c r="M31" s="30">
        <f>('TE BE'!$M$31+'TE BF'!$M$31+'TE CVA'!$M$31)*(1 - CUSTOS!$M$40)</f>
        <v>0</v>
      </c>
      <c r="N31" s="30">
        <f>('TE BE'!$N$31+'TE BF'!$N$31+'TE CVA'!$N$31)*(1 - CUSTOS!$M$40)</f>
        <v>0</v>
      </c>
      <c r="O31" s="30">
        <f>('TE BE'!$O$31+'TE BF'!$O$31+'TE CVA'!$O$31)*(1 - CUSTOS!$M$40)</f>
        <v>0</v>
      </c>
      <c r="P31" s="30">
        <f>('TE BE'!$Q$31+'TE BF'!$Q$31+'TE CVA'!$Q$31)*(1 - CUSTOS!$M$40)</f>
        <v>239.93889061720503</v>
      </c>
      <c r="Q31" s="30">
        <f>('TE BE'!$S$31+'TE BF'!$S$31+'TE CVA'!$S$31)*(1 - CUSTOS!$M$40)</f>
        <v>0</v>
      </c>
      <c r="R31" s="30">
        <f>('TE BE'!$T$31+'TE BF'!$T$31+'TE CVA'!$T$31)*(1 - CUSTOS!$M$40)</f>
        <v>0</v>
      </c>
      <c r="S31" s="30">
        <f>('TE BE'!$U$31+'TE BF'!$U$31+'TE CVA'!$U$31)*(1 - CUSTOS!$M$40)</f>
        <v>0</v>
      </c>
      <c r="T31" s="30">
        <f>('TE BE'!$W$31+'TE BF'!$W$31+'TE CVA'!$W$31)*(1 - CUSTOS!$M$40)</f>
        <v>0</v>
      </c>
      <c r="U31" s="30">
        <f>('TE BE'!$Y$31+'TE BF'!$Y$31+'TE CVA'!$Y$31)*(1 - CUSTOS!$M$40)</f>
        <v>0</v>
      </c>
      <c r="W31" s="30">
        <v>1.40404103870212E-12</v>
      </c>
      <c r="X31" s="30">
        <v>0</v>
      </c>
      <c r="Y31" s="30">
        <v>0</v>
      </c>
      <c r="Z31" s="30">
        <v>0</v>
      </c>
      <c r="AA31" s="30">
        <v>190.237002081659</v>
      </c>
      <c r="AB31" s="30">
        <v>0</v>
      </c>
      <c r="AC31" s="30">
        <v>0</v>
      </c>
      <c r="AD31" s="30">
        <v>0</v>
      </c>
      <c r="AE31" s="30">
        <v>4.0821308653719699</v>
      </c>
      <c r="AF31" s="30">
        <v>0</v>
      </c>
    </row>
    <row r="32" spans="1:32" ht="11.25" customHeight="1" x14ac:dyDescent="0.25">
      <c r="A32" s="138"/>
      <c r="B32" s="89" t="s">
        <v>74</v>
      </c>
      <c r="C32" s="89" t="s">
        <v>44</v>
      </c>
      <c r="D32" s="89" t="s">
        <v>88</v>
      </c>
      <c r="E32" s="89" t="s">
        <v>25</v>
      </c>
      <c r="F32" s="89" t="s">
        <v>25</v>
      </c>
      <c r="G32" s="32" t="s">
        <v>75</v>
      </c>
      <c r="H32" s="32" t="s">
        <v>71</v>
      </c>
      <c r="I32" s="32">
        <f>'MERCADO TE'!$U$29</f>
        <v>0</v>
      </c>
      <c r="J32" s="17"/>
      <c r="L32" s="30">
        <f>('TE BE'!$L$32+'TE BF'!$L$32+'TE CVA'!$L$32)*(1 - CUSTOS!$M$40)</f>
        <v>0</v>
      </c>
      <c r="M32" s="30">
        <f>('TE BE'!$M$32+'TE BF'!$M$32+'TE CVA'!$M$32)*(1 - CUSTOS!$M$40)</f>
        <v>0</v>
      </c>
      <c r="N32" s="30">
        <f>('TE BE'!$N$32+'TE BF'!$N$32+'TE CVA'!$N$32)*(1 - CUSTOS!$M$40)</f>
        <v>0</v>
      </c>
      <c r="O32" s="30">
        <f>('TE BE'!$O$32+'TE BF'!$O$32+'TE CVA'!$O$32)*(1 - CUSTOS!$M$40)</f>
        <v>0</v>
      </c>
      <c r="P32" s="30">
        <f>('TE BE'!$Q$32+'TE BF'!$Q$32+'TE CVA'!$Q$32)*(1 - CUSTOS!$M$40)</f>
        <v>239.93889061720503</v>
      </c>
      <c r="Q32" s="30">
        <f>('TE BE'!$S$32+'TE BF'!$S$32+'TE CVA'!$S$32)*(1 - CUSTOS!$M$40)</f>
        <v>0</v>
      </c>
      <c r="R32" s="30">
        <f>('TE BE'!$T$32+'TE BF'!$T$32+'TE CVA'!$T$32)*(1 - CUSTOS!$M$40)</f>
        <v>0</v>
      </c>
      <c r="S32" s="30">
        <f>('TE BE'!$U$32+'TE BF'!$U$32+'TE CVA'!$U$32)*(1 - CUSTOS!$M$40)</f>
        <v>0</v>
      </c>
      <c r="T32" s="30">
        <f>('TE BE'!$W$32+'TE BF'!$W$32+'TE CVA'!$W$32)*(1 - CUSTOS!$M$40)</f>
        <v>0</v>
      </c>
      <c r="U32" s="30">
        <f>('TE BE'!$Y$32+'TE BF'!$Y$32+'TE CVA'!$Y$32)*(1 - CUSTOS!$M$40)</f>
        <v>0</v>
      </c>
      <c r="W32" s="30">
        <v>1.40404103870212E-12</v>
      </c>
      <c r="X32" s="30">
        <v>0</v>
      </c>
      <c r="Y32" s="30">
        <v>0</v>
      </c>
      <c r="Z32" s="30">
        <v>0</v>
      </c>
      <c r="AA32" s="30">
        <v>190.237002081659</v>
      </c>
      <c r="AB32" s="30">
        <v>0</v>
      </c>
      <c r="AC32" s="30">
        <v>0</v>
      </c>
      <c r="AD32" s="30">
        <v>0</v>
      </c>
      <c r="AE32" s="30">
        <v>4.0821308653719699</v>
      </c>
      <c r="AF32" s="30">
        <v>0</v>
      </c>
    </row>
    <row r="33" spans="1:32" ht="11.25" customHeight="1" x14ac:dyDescent="0.25">
      <c r="A33" s="138"/>
      <c r="B33" s="138" t="s">
        <v>85</v>
      </c>
      <c r="C33" s="138" t="s">
        <v>44</v>
      </c>
      <c r="D33" s="89" t="s">
        <v>25</v>
      </c>
      <c r="E33" s="89" t="s">
        <v>25</v>
      </c>
      <c r="F33" s="89" t="s">
        <v>25</v>
      </c>
      <c r="G33" s="32" t="s">
        <v>75</v>
      </c>
      <c r="H33" s="32" t="s">
        <v>71</v>
      </c>
      <c r="I33" s="32">
        <f>'MERCADO TE'!$U$30</f>
        <v>0</v>
      </c>
      <c r="J33" s="17"/>
      <c r="L33" s="30">
        <f>('TE BE'!$L$33+'TE BF'!$L$33+'TE CVA'!$L$33)*(1 - CUSTOS!$M$38)</f>
        <v>0</v>
      </c>
      <c r="M33" s="30">
        <f>('TE BE'!$M$33+'TE BF'!$M$33+'TE CVA'!$M$33)*(1 - CUSTOS!$M$38)</f>
        <v>0</v>
      </c>
      <c r="N33" s="30">
        <f>('TE BE'!$N$33+'TE BF'!$N$33+'TE CVA'!$N$33)*(1 - CUSTOS!$M$38)</f>
        <v>0</v>
      </c>
      <c r="O33" s="30">
        <f>('TE BE'!$O$33+'TE BF'!$O$33+'TE CVA'!$O$33)*(1 - CUSTOS!$M$38)</f>
        <v>0</v>
      </c>
      <c r="P33" s="30">
        <f>('TE BE'!$Q$33+'TE BF'!$Q$33+'TE CVA'!$Q$33)*(1 - CUSTOS!$M$38)</f>
        <v>245.15495345670945</v>
      </c>
      <c r="Q33" s="30">
        <f>('TE BE'!$S$33+'TE BF'!$S$33+'TE CVA'!$S$33)*(1 - CUSTOS!$M$38)</f>
        <v>0</v>
      </c>
      <c r="R33" s="30">
        <f>('TE BE'!$T$33+'TE BF'!$T$33+'TE CVA'!$T$33)*(1 - CUSTOS!$M$38)</f>
        <v>0</v>
      </c>
      <c r="S33" s="30">
        <f>('TE BE'!$U$33+'TE BF'!$U$33+'TE CVA'!$U$33)*(1 - CUSTOS!$M$38)</f>
        <v>0</v>
      </c>
      <c r="T33" s="30">
        <f>('TE BE'!$W$33+'TE BF'!$W$33+'TE CVA'!$W$33)*(1 - CUSTOS!$M$38)</f>
        <v>0</v>
      </c>
      <c r="U33" s="30">
        <f>('TE BE'!$Y$33+'TE BF'!$Y$33+'TE CVA'!$Y$33)*(1 - CUSTOS!$M$38)</f>
        <v>0</v>
      </c>
      <c r="W33" s="30">
        <v>1.47090013578318E-12</v>
      </c>
      <c r="X33" s="30">
        <v>0</v>
      </c>
      <c r="Y33" s="30">
        <v>0</v>
      </c>
      <c r="Z33" s="30">
        <v>0</v>
      </c>
      <c r="AA33" s="30">
        <v>199.295906942691</v>
      </c>
      <c r="AB33" s="30">
        <v>0</v>
      </c>
      <c r="AC33" s="30">
        <v>0</v>
      </c>
      <c r="AD33" s="30">
        <v>0</v>
      </c>
      <c r="AE33" s="30">
        <v>4.2765180494372999</v>
      </c>
      <c r="AF33" s="30">
        <v>0</v>
      </c>
    </row>
    <row r="34" spans="1:32" ht="11.25" customHeight="1" x14ac:dyDescent="0.25">
      <c r="A34" s="138"/>
      <c r="B34" s="138"/>
      <c r="C34" s="138"/>
      <c r="D34" s="89" t="s">
        <v>87</v>
      </c>
      <c r="E34" s="89" t="s">
        <v>25</v>
      </c>
      <c r="F34" s="89" t="s">
        <v>25</v>
      </c>
      <c r="G34" s="32" t="s">
        <v>75</v>
      </c>
      <c r="H34" s="32" t="s">
        <v>71</v>
      </c>
      <c r="I34" s="32">
        <f>'MERCADO TE'!$U$31</f>
        <v>0</v>
      </c>
      <c r="J34" s="17"/>
      <c r="L34" s="30">
        <f>('TE BE'!$L$34+'TE BF'!$L$34+'TE CVA'!$L$34)*(1 - CUSTOS!$M$39)</f>
        <v>0</v>
      </c>
      <c r="M34" s="30">
        <f>('TE BE'!$M$34+'TE BF'!$M$34+'TE CVA'!$M$34)*(1 - CUSTOS!$M$39)</f>
        <v>0</v>
      </c>
      <c r="N34" s="30">
        <f>('TE BE'!$N$34+'TE BF'!$N$34+'TE CVA'!$N$34)*(1 - CUSTOS!$M$39)</f>
        <v>0</v>
      </c>
      <c r="O34" s="30">
        <f>('TE BE'!$O$34+'TE BF'!$O$34+'TE CVA'!$O$34)*(1 - CUSTOS!$M$39)</f>
        <v>0</v>
      </c>
      <c r="P34" s="30">
        <f>('TE BE'!$Q$34+'TE BF'!$Q$34+'TE CVA'!$Q$34)*(1 - CUSTOS!$M$39)</f>
        <v>245.15495345670945</v>
      </c>
      <c r="Q34" s="30">
        <f>('TE BE'!$S$34+'TE BF'!$S$34+'TE CVA'!$S$34)*(1 - CUSTOS!$M$39)</f>
        <v>0</v>
      </c>
      <c r="R34" s="30">
        <f>('TE BE'!$T$34+'TE BF'!$T$34+'TE CVA'!$T$34)*(1 - CUSTOS!$M$39)</f>
        <v>0</v>
      </c>
      <c r="S34" s="30">
        <f>('TE BE'!$U$34+'TE BF'!$U$34+'TE CVA'!$U$34)*(1 - CUSTOS!$M$39)</f>
        <v>0</v>
      </c>
      <c r="T34" s="30">
        <f>('TE BE'!$W$34+'TE BF'!$W$34+'TE CVA'!$W$34)*(1 - CUSTOS!$M$39)</f>
        <v>0</v>
      </c>
      <c r="U34" s="30">
        <f>('TE BE'!$Y$34+'TE BF'!$Y$34+'TE CVA'!$Y$34)*(1 - CUSTOS!$M$39)</f>
        <v>0</v>
      </c>
      <c r="W34" s="30">
        <v>1.47090013578318E-12</v>
      </c>
      <c r="X34" s="30">
        <v>0</v>
      </c>
      <c r="Y34" s="30">
        <v>0</v>
      </c>
      <c r="Z34" s="30">
        <v>0</v>
      </c>
      <c r="AA34" s="30">
        <v>199.295906942691</v>
      </c>
      <c r="AB34" s="30">
        <v>0</v>
      </c>
      <c r="AC34" s="30">
        <v>0</v>
      </c>
      <c r="AD34" s="30">
        <v>0</v>
      </c>
      <c r="AE34" s="30">
        <v>4.2765180494372999</v>
      </c>
      <c r="AF34" s="30">
        <v>0</v>
      </c>
    </row>
    <row r="35" spans="1:32" ht="11.25" customHeight="1" x14ac:dyDescent="0.25">
      <c r="A35" s="138"/>
      <c r="B35" s="138"/>
      <c r="C35" s="138"/>
      <c r="D35" s="89" t="s">
        <v>88</v>
      </c>
      <c r="E35" s="89" t="s">
        <v>25</v>
      </c>
      <c r="F35" s="89" t="s">
        <v>25</v>
      </c>
      <c r="G35" s="32" t="s">
        <v>75</v>
      </c>
      <c r="H35" s="32" t="s">
        <v>71</v>
      </c>
      <c r="I35" s="32">
        <f>'MERCADO TE'!$U$32</f>
        <v>0</v>
      </c>
      <c r="J35" s="17"/>
      <c r="L35" s="30">
        <f>('TE BE'!$L$35+'TE BF'!$L$35+'TE CVA'!$L$35)*(1 - CUSTOS!$M$40)</f>
        <v>0</v>
      </c>
      <c r="M35" s="30">
        <f>('TE BE'!$M$35+'TE BF'!$M$35+'TE CVA'!$M$35)*(1 - CUSTOS!$M$40)</f>
        <v>0</v>
      </c>
      <c r="N35" s="30">
        <f>('TE BE'!$N$35+'TE BF'!$N$35+'TE CVA'!$N$35)*(1 - CUSTOS!$M$40)</f>
        <v>0</v>
      </c>
      <c r="O35" s="30">
        <f>('TE BE'!$O$35+'TE BF'!$O$35+'TE CVA'!$O$35)*(1 - CUSTOS!$M$40)</f>
        <v>0</v>
      </c>
      <c r="P35" s="30">
        <f>('TE BE'!$Q$35+'TE BF'!$Q$35+'TE CVA'!$Q$35)*(1 - CUSTOS!$M$40)</f>
        <v>239.93889061720503</v>
      </c>
      <c r="Q35" s="30">
        <f>('TE BE'!$S$35+'TE BF'!$S$35+'TE CVA'!$S$35)*(1 - CUSTOS!$M$40)</f>
        <v>0</v>
      </c>
      <c r="R35" s="30">
        <f>('TE BE'!$T$35+'TE BF'!$T$35+'TE CVA'!$T$35)*(1 - CUSTOS!$M$40)</f>
        <v>0</v>
      </c>
      <c r="S35" s="30">
        <f>('TE BE'!$U$35+'TE BF'!$U$35+'TE CVA'!$U$35)*(1 - CUSTOS!$M$40)</f>
        <v>0</v>
      </c>
      <c r="T35" s="30">
        <f>('TE BE'!$W$35+'TE BF'!$W$35+'TE CVA'!$W$35)*(1 - CUSTOS!$M$40)</f>
        <v>0</v>
      </c>
      <c r="U35" s="30">
        <f>('TE BE'!$Y$35+'TE BF'!$Y$35+'TE CVA'!$Y$35)*(1 - CUSTOS!$M$40)</f>
        <v>0</v>
      </c>
      <c r="W35" s="30">
        <v>1.40404103870212E-12</v>
      </c>
      <c r="X35" s="30">
        <v>0</v>
      </c>
      <c r="Y35" s="30">
        <v>0</v>
      </c>
      <c r="Z35" s="30">
        <v>0</v>
      </c>
      <c r="AA35" s="30">
        <v>190.237002081659</v>
      </c>
      <c r="AB35" s="30">
        <v>0</v>
      </c>
      <c r="AC35" s="30">
        <v>0</v>
      </c>
      <c r="AD35" s="30">
        <v>0</v>
      </c>
      <c r="AE35" s="30">
        <v>4.0821308653719699</v>
      </c>
      <c r="AF35" s="30">
        <v>0</v>
      </c>
    </row>
    <row r="36" spans="1:32" ht="11.25" customHeight="1" x14ac:dyDescent="0.25">
      <c r="A36" s="138" t="s">
        <v>39</v>
      </c>
      <c r="B36" s="138" t="s">
        <v>70</v>
      </c>
      <c r="C36" s="138" t="s">
        <v>25</v>
      </c>
      <c r="D36" s="138" t="s">
        <v>25</v>
      </c>
      <c r="E36" s="138" t="s">
        <v>25</v>
      </c>
      <c r="F36" s="138" t="s">
        <v>25</v>
      </c>
      <c r="G36" s="32" t="s">
        <v>72</v>
      </c>
      <c r="H36" s="32" t="s">
        <v>71</v>
      </c>
      <c r="I36" s="32">
        <f>'MERCADO TE'!$U$33</f>
        <v>0</v>
      </c>
      <c r="J36" s="17"/>
      <c r="L36" s="30">
        <f>('TE BE'!$L$36+'TE BF'!$L$36+'TE CVA'!$L$36)*1</f>
        <v>0</v>
      </c>
      <c r="M36" s="30">
        <f>('TE BE'!$M$36+'TE BF'!$M$36+'TE CVA'!$M$36)*1</f>
        <v>0</v>
      </c>
      <c r="N36" s="30">
        <f>('TE BE'!$N$36+'TE BF'!$N$36+'TE CVA'!$N$36)*1</f>
        <v>0</v>
      </c>
      <c r="O36" s="30">
        <f>('TE BE'!$O$36+'TE BF'!$O$36+'TE CVA'!$O$36)*1</f>
        <v>0</v>
      </c>
      <c r="P36" s="30">
        <f>('TE BE'!$Q$36+'TE BF'!$Q$36+'TE CVA'!$Q$36)*1</f>
        <v>260.80314197522284</v>
      </c>
      <c r="Q36" s="30">
        <f>('TE BE'!$S$36+'TE BF'!$S$36+'TE CVA'!$S$36)*1</f>
        <v>0</v>
      </c>
      <c r="R36" s="30">
        <f>('TE BE'!$T$36+'TE BF'!$T$36+'TE CVA'!$T$36)*1</f>
        <v>0</v>
      </c>
      <c r="S36" s="30">
        <f>('TE BE'!$U$36+'TE BF'!$U$36+'TE CVA'!$U$36)*1</f>
        <v>0</v>
      </c>
      <c r="T36" s="30">
        <f>('TE BE'!$W$36+'TE BF'!$W$36+'TE CVA'!$W$36)*1</f>
        <v>0</v>
      </c>
      <c r="U36" s="30">
        <f>('TE BE'!$Y$36+'TE BF'!$Y$36+'TE CVA'!$Y$36)*1</f>
        <v>0</v>
      </c>
      <c r="W36" s="30">
        <v>1.6714774270263401E-12</v>
      </c>
      <c r="X36" s="30">
        <v>0</v>
      </c>
      <c r="Y36" s="30">
        <v>0</v>
      </c>
      <c r="Z36" s="30">
        <v>0</v>
      </c>
      <c r="AA36" s="30">
        <v>226.472621525785</v>
      </c>
      <c r="AB36" s="30">
        <v>0</v>
      </c>
      <c r="AC36" s="30">
        <v>0</v>
      </c>
      <c r="AD36" s="30">
        <v>0</v>
      </c>
      <c r="AE36" s="30">
        <v>4.8596796016333004</v>
      </c>
      <c r="AF36" s="30">
        <v>0</v>
      </c>
    </row>
    <row r="37" spans="1:32" ht="11.25" customHeight="1" x14ac:dyDescent="0.25">
      <c r="A37" s="138"/>
      <c r="B37" s="138"/>
      <c r="C37" s="138"/>
      <c r="D37" s="138"/>
      <c r="E37" s="138"/>
      <c r="F37" s="138"/>
      <c r="G37" s="32" t="s">
        <v>84</v>
      </c>
      <c r="H37" s="32" t="s">
        <v>71</v>
      </c>
      <c r="I37" s="32">
        <f>'MERCADO TE'!$U$34</f>
        <v>0</v>
      </c>
      <c r="J37" s="17"/>
      <c r="L37" s="30">
        <f>('TE BE'!$L$37+'TE BF'!$L$37+'TE CVA'!$L$37)*1</f>
        <v>0</v>
      </c>
      <c r="M37" s="30">
        <f>('TE BE'!$M$37+'TE BF'!$M$37+'TE CVA'!$M$37)*1</f>
        <v>0</v>
      </c>
      <c r="N37" s="30">
        <f>('TE BE'!$N$37+'TE BF'!$N$37+'TE CVA'!$N$37)*1</f>
        <v>0</v>
      </c>
      <c r="O37" s="30">
        <f>('TE BE'!$O$37+'TE BF'!$O$37+'TE CVA'!$O$37)*1</f>
        <v>0</v>
      </c>
      <c r="P37" s="30">
        <f>('TE BE'!$Q$37+'TE BF'!$Q$37+'TE CVA'!$Q$37)*1</f>
        <v>260.80314197522284</v>
      </c>
      <c r="Q37" s="30">
        <f>('TE BE'!$S$37+'TE BF'!$S$37+'TE CVA'!$S$37)*1</f>
        <v>0</v>
      </c>
      <c r="R37" s="30">
        <f>('TE BE'!$T$37+'TE BF'!$T$37+'TE CVA'!$T$37)*1</f>
        <v>0</v>
      </c>
      <c r="S37" s="30">
        <f>('TE BE'!$U$37+'TE BF'!$U$37+'TE CVA'!$U$37)*1</f>
        <v>0</v>
      </c>
      <c r="T37" s="30">
        <f>('TE BE'!$W$37+'TE BF'!$W$37+'TE CVA'!$W$37)*1</f>
        <v>0</v>
      </c>
      <c r="U37" s="30">
        <f>('TE BE'!$Y$37+'TE BF'!$Y$37+'TE CVA'!$Y$37)*1</f>
        <v>0</v>
      </c>
      <c r="W37" s="30">
        <v>1.6714774270263401E-12</v>
      </c>
      <c r="X37" s="30">
        <v>0</v>
      </c>
      <c r="Y37" s="30">
        <v>0</v>
      </c>
      <c r="Z37" s="30">
        <v>0</v>
      </c>
      <c r="AA37" s="30">
        <v>226.472621525785</v>
      </c>
      <c r="AB37" s="30">
        <v>0</v>
      </c>
      <c r="AC37" s="30">
        <v>0</v>
      </c>
      <c r="AD37" s="30">
        <v>0</v>
      </c>
      <c r="AE37" s="30">
        <v>4.8596796016333004</v>
      </c>
      <c r="AF37" s="30">
        <v>0</v>
      </c>
    </row>
    <row r="38" spans="1:32" ht="11.25" customHeight="1" x14ac:dyDescent="0.25">
      <c r="A38" s="138"/>
      <c r="B38" s="138"/>
      <c r="C38" s="138"/>
      <c r="D38" s="138"/>
      <c r="E38" s="138"/>
      <c r="F38" s="138"/>
      <c r="G38" s="32" t="s">
        <v>73</v>
      </c>
      <c r="H38" s="32" t="s">
        <v>71</v>
      </c>
      <c r="I38" s="32">
        <f>'MERCADO TE'!$U$35</f>
        <v>0</v>
      </c>
      <c r="J38" s="17"/>
      <c r="L38" s="30">
        <f>('TE BE'!$L$38+'TE BF'!$L$38+'TE CVA'!$L$38)*1</f>
        <v>0</v>
      </c>
      <c r="M38" s="30">
        <f>('TE BE'!$M$38+'TE BF'!$M$38+'TE CVA'!$M$38)*1</f>
        <v>0</v>
      </c>
      <c r="N38" s="30">
        <f>('TE BE'!$N$38+'TE BF'!$N$38+'TE CVA'!$N$38)*1</f>
        <v>0</v>
      </c>
      <c r="O38" s="30">
        <f>('TE BE'!$O$38+'TE BF'!$O$38+'TE CVA'!$O$38)*1</f>
        <v>0</v>
      </c>
      <c r="P38" s="30">
        <f>('TE BE'!$Q$38+'TE BF'!$Q$38+'TE CVA'!$Q$38)*1</f>
        <v>260.80314197522284</v>
      </c>
      <c r="Q38" s="30">
        <f>('TE BE'!$S$38+'TE BF'!$S$38+'TE CVA'!$S$38)*1</f>
        <v>0</v>
      </c>
      <c r="R38" s="30">
        <f>('TE BE'!$T$38+'TE BF'!$T$38+'TE CVA'!$T$38)*1</f>
        <v>0</v>
      </c>
      <c r="S38" s="30">
        <f>('TE BE'!$U$38+'TE BF'!$U$38+'TE CVA'!$U$38)*1</f>
        <v>0</v>
      </c>
      <c r="T38" s="30">
        <f>('TE BE'!$W$38+'TE BF'!$W$38+'TE CVA'!$W$38)*1</f>
        <v>0</v>
      </c>
      <c r="U38" s="30">
        <f>('TE BE'!$Y$38+'TE BF'!$Y$38+'TE CVA'!$Y$38)*1</f>
        <v>0</v>
      </c>
      <c r="W38" s="30">
        <v>1.6714774270263401E-12</v>
      </c>
      <c r="X38" s="30">
        <v>0</v>
      </c>
      <c r="Y38" s="30">
        <v>0</v>
      </c>
      <c r="Z38" s="30">
        <v>0</v>
      </c>
      <c r="AA38" s="30">
        <v>226.472621525785</v>
      </c>
      <c r="AB38" s="30">
        <v>0</v>
      </c>
      <c r="AC38" s="30">
        <v>0</v>
      </c>
      <c r="AD38" s="30">
        <v>0</v>
      </c>
      <c r="AE38" s="30">
        <v>4.8596796016333004</v>
      </c>
      <c r="AF38" s="30">
        <v>0</v>
      </c>
    </row>
    <row r="39" spans="1:32" ht="11.25" customHeight="1" x14ac:dyDescent="0.25">
      <c r="A39" s="138"/>
      <c r="B39" s="89" t="s">
        <v>74</v>
      </c>
      <c r="C39" s="89" t="s">
        <v>25</v>
      </c>
      <c r="D39" s="89" t="s">
        <v>25</v>
      </c>
      <c r="E39" s="89" t="s">
        <v>25</v>
      </c>
      <c r="F39" s="89" t="s">
        <v>25</v>
      </c>
      <c r="G39" s="32" t="s">
        <v>75</v>
      </c>
      <c r="H39" s="32" t="s">
        <v>71</v>
      </c>
      <c r="I39" s="32">
        <f>'MERCADO TE'!$U$36</f>
        <v>4622.2640000000001</v>
      </c>
      <c r="J39" s="17"/>
      <c r="L39" s="30">
        <f>('TE BE'!$L$39+'TE BF'!$L$39+'TE CVA'!$L$39)*1</f>
        <v>0</v>
      </c>
      <c r="M39" s="30">
        <f>('TE BE'!$M$39+'TE BF'!$M$39+'TE CVA'!$M$39)*1</f>
        <v>0</v>
      </c>
      <c r="N39" s="30">
        <f>('TE BE'!$N$39+'TE BF'!$N$39+'TE CVA'!$N$39)*1</f>
        <v>0</v>
      </c>
      <c r="O39" s="30">
        <f>('TE BE'!$O$39+'TE BF'!$O$39+'TE CVA'!$O$39)*1</f>
        <v>0</v>
      </c>
      <c r="P39" s="30">
        <f>('TE BE'!$Q$39+'TE BF'!$Q$39+'TE CVA'!$Q$39)*1</f>
        <v>260.80314197522284</v>
      </c>
      <c r="Q39" s="30">
        <f>('TE BE'!$S$39+'TE BF'!$S$39+'TE CVA'!$S$39)*1</f>
        <v>0</v>
      </c>
      <c r="R39" s="30">
        <f>('TE BE'!$T$39+'TE BF'!$T$39+'TE CVA'!$T$39)*1</f>
        <v>0</v>
      </c>
      <c r="S39" s="30">
        <f>('TE BE'!$U$39+'TE BF'!$U$39+'TE CVA'!$U$39)*1</f>
        <v>0</v>
      </c>
      <c r="T39" s="30">
        <f>('TE BE'!$W$39+'TE BF'!$W$39+'TE CVA'!$W$39)*1</f>
        <v>0</v>
      </c>
      <c r="U39" s="30">
        <f>('TE BE'!$Y$39+'TE BF'!$Y$39+'TE CVA'!$Y$39)*1</f>
        <v>0</v>
      </c>
      <c r="W39" s="30">
        <v>1.6714774270263401E-12</v>
      </c>
      <c r="X39" s="30">
        <v>0</v>
      </c>
      <c r="Y39" s="30">
        <v>0</v>
      </c>
      <c r="Z39" s="30">
        <v>0</v>
      </c>
      <c r="AA39" s="30">
        <v>226.472621525785</v>
      </c>
      <c r="AB39" s="30">
        <v>0</v>
      </c>
      <c r="AC39" s="30">
        <v>0</v>
      </c>
      <c r="AD39" s="30">
        <v>0</v>
      </c>
      <c r="AE39" s="30">
        <v>4.8596796016333004</v>
      </c>
      <c r="AF39" s="30">
        <v>0</v>
      </c>
    </row>
    <row r="40" spans="1:32" ht="11.25" customHeight="1" x14ac:dyDescent="0.25">
      <c r="A40" s="138"/>
      <c r="B40" s="89" t="s">
        <v>85</v>
      </c>
      <c r="C40" s="89" t="s">
        <v>25</v>
      </c>
      <c r="D40" s="89" t="s">
        <v>25</v>
      </c>
      <c r="E40" s="89" t="s">
        <v>25</v>
      </c>
      <c r="F40" s="89" t="s">
        <v>25</v>
      </c>
      <c r="G40" s="32" t="s">
        <v>75</v>
      </c>
      <c r="H40" s="32" t="s">
        <v>71</v>
      </c>
      <c r="I40" s="32">
        <f>'MERCADO TE'!$U$37</f>
        <v>0</v>
      </c>
      <c r="J40" s="17"/>
      <c r="L40" s="30">
        <f>('TE BE'!$L$40+'TE BF'!$L$40+'TE CVA'!$L$40)*1</f>
        <v>0</v>
      </c>
      <c r="M40" s="30">
        <f>('TE BE'!$M$40+'TE BF'!$M$40+'TE CVA'!$M$40)*1</f>
        <v>0</v>
      </c>
      <c r="N40" s="30">
        <f>('TE BE'!$N$40+'TE BF'!$N$40+'TE CVA'!$N$40)*1</f>
        <v>0</v>
      </c>
      <c r="O40" s="30">
        <f>('TE BE'!$O$40+'TE BF'!$O$40+'TE CVA'!$O$40)*1</f>
        <v>0</v>
      </c>
      <c r="P40" s="30">
        <f>('TE BE'!$Q$40+'TE BF'!$Q$40+'TE CVA'!$Q$40)*1</f>
        <v>260.80314197522284</v>
      </c>
      <c r="Q40" s="30">
        <f>('TE BE'!$S$40+'TE BF'!$S$40+'TE CVA'!$S$40)*1</f>
        <v>0</v>
      </c>
      <c r="R40" s="30">
        <f>('TE BE'!$T$40+'TE BF'!$T$40+'TE CVA'!$T$40)*1</f>
        <v>0</v>
      </c>
      <c r="S40" s="30">
        <f>('TE BE'!$U$40+'TE BF'!$U$40+'TE CVA'!$U$40)*1</f>
        <v>0</v>
      </c>
      <c r="T40" s="30">
        <f>('TE BE'!$W$40+'TE BF'!$W$40+'TE CVA'!$W$40)*1</f>
        <v>0</v>
      </c>
      <c r="U40" s="30">
        <f>('TE BE'!$Y$40+'TE BF'!$Y$40+'TE CVA'!$Y$40)*1</f>
        <v>0</v>
      </c>
      <c r="W40" s="30">
        <v>1.6714774270263401E-12</v>
      </c>
      <c r="X40" s="30">
        <v>0</v>
      </c>
      <c r="Y40" s="30">
        <v>0</v>
      </c>
      <c r="Z40" s="30">
        <v>0</v>
      </c>
      <c r="AA40" s="30">
        <v>226.472621525785</v>
      </c>
      <c r="AB40" s="30">
        <v>0</v>
      </c>
      <c r="AC40" s="30">
        <v>0</v>
      </c>
      <c r="AD40" s="30">
        <v>0</v>
      </c>
      <c r="AE40" s="30">
        <v>4.8596796016333004</v>
      </c>
      <c r="AF40" s="30">
        <v>0</v>
      </c>
    </row>
    <row r="41" spans="1:32" ht="11.25" customHeight="1" x14ac:dyDescent="0.25">
      <c r="A41" s="138" t="s">
        <v>46</v>
      </c>
      <c r="B41" s="138" t="s">
        <v>74</v>
      </c>
      <c r="C41" s="138" t="s">
        <v>47</v>
      </c>
      <c r="D41" s="89" t="s">
        <v>48</v>
      </c>
      <c r="E41" s="89" t="s">
        <v>25</v>
      </c>
      <c r="F41" s="89" t="s">
        <v>25</v>
      </c>
      <c r="G41" s="32" t="s">
        <v>75</v>
      </c>
      <c r="H41" s="32" t="s">
        <v>71</v>
      </c>
      <c r="I41" s="32">
        <f>'MERCADO TE'!$U$38</f>
        <v>3347.1679999999992</v>
      </c>
      <c r="J41" s="17"/>
      <c r="L41" s="30">
        <f>('TE BE'!$L$41+'TE BF'!$L$41+'TE CVA'!$L$41)*1</f>
        <v>0</v>
      </c>
      <c r="M41" s="30">
        <f>('TE BE'!$M$41+'TE BF'!$M$41+'TE CVA'!$M$41)*1</f>
        <v>0</v>
      </c>
      <c r="N41" s="30">
        <f>('TE BE'!$N$41+'TE BF'!$N$41+'TE CVA'!$N$41)*1</f>
        <v>0</v>
      </c>
      <c r="O41" s="30">
        <f>('TE BE'!$O$41+'TE BF'!$O$41+'TE CVA'!$O$41)*1</f>
        <v>0</v>
      </c>
      <c r="P41" s="30">
        <f>('TE BE'!$Q$41+'TE BF'!$Q$41+'TE CVA'!$Q$41)*1</f>
        <v>143.44172808637256</v>
      </c>
      <c r="Q41" s="30">
        <f>('TE BE'!$S$41+'TE BF'!$S$41+'TE CVA'!$S$41)*1</f>
        <v>0</v>
      </c>
      <c r="R41" s="30">
        <f>('TE BE'!$T$41+'TE BF'!$T$41+'TE CVA'!$T$41)*1</f>
        <v>0</v>
      </c>
      <c r="S41" s="30">
        <f>('TE BE'!$U$41+'TE BF'!$U$41+'TE CVA'!$U$41)*1</f>
        <v>0</v>
      </c>
      <c r="T41" s="30">
        <f>('TE BE'!$W$41+'TE BF'!$W$41+'TE CVA'!$W$41)*1</f>
        <v>0</v>
      </c>
      <c r="U41" s="30">
        <f>('TE BE'!$Y$41+'TE BF'!$Y$41+'TE CVA'!$Y$41)*1</f>
        <v>0</v>
      </c>
      <c r="W41" s="30">
        <v>9.1931258486448496E-13</v>
      </c>
      <c r="X41" s="30">
        <v>0</v>
      </c>
      <c r="Y41" s="30">
        <v>0</v>
      </c>
      <c r="Z41" s="30">
        <v>0</v>
      </c>
      <c r="AA41" s="30">
        <v>124.559941839182</v>
      </c>
      <c r="AB41" s="30">
        <v>0</v>
      </c>
      <c r="AC41" s="30">
        <v>0</v>
      </c>
      <c r="AD41" s="30">
        <v>0</v>
      </c>
      <c r="AE41" s="30">
        <v>2.6728237808983102</v>
      </c>
      <c r="AF41" s="30">
        <v>0</v>
      </c>
    </row>
    <row r="42" spans="1:32" ht="11.25" customHeight="1" x14ac:dyDescent="0.25">
      <c r="A42" s="138"/>
      <c r="B42" s="138"/>
      <c r="C42" s="138"/>
      <c r="D42" s="32" t="s">
        <v>89</v>
      </c>
      <c r="E42" s="32" t="s">
        <v>25</v>
      </c>
      <c r="F42" s="32" t="s">
        <v>25</v>
      </c>
      <c r="G42" s="32" t="s">
        <v>75</v>
      </c>
      <c r="H42" s="32" t="s">
        <v>71</v>
      </c>
      <c r="I42" s="32">
        <f>'MERCADO TE'!$U$39</f>
        <v>0</v>
      </c>
      <c r="J42" s="17"/>
      <c r="L42" s="30">
        <f>('TE BE'!$L$42+'TE BF'!$L$42+'TE CVA'!$L$42)*1</f>
        <v>0</v>
      </c>
      <c r="M42" s="30">
        <f>('TE BE'!$M$42+'TE BF'!$M$42+'TE CVA'!$M$42)*1</f>
        <v>0</v>
      </c>
      <c r="N42" s="30">
        <f>('TE BE'!$N$42+'TE BF'!$N$42+'TE CVA'!$N$42)*1</f>
        <v>0</v>
      </c>
      <c r="O42" s="30">
        <f>('TE BE'!$O$42+'TE BF'!$O$42+'TE CVA'!$O$42)*1</f>
        <v>0</v>
      </c>
      <c r="P42" s="30">
        <f>('TE BE'!$Q$42+'TE BF'!$Q$42+'TE CVA'!$Q$42)*1</f>
        <v>156.48188518513371</v>
      </c>
      <c r="Q42" s="30">
        <f>('TE BE'!$S$42+'TE BF'!$S$42+'TE CVA'!$S$42)*1</f>
        <v>0</v>
      </c>
      <c r="R42" s="30">
        <f>('TE BE'!$T$42+'TE BF'!$T$42+'TE CVA'!$T$42)*1</f>
        <v>0</v>
      </c>
      <c r="S42" s="30">
        <f>('TE BE'!$U$42+'TE BF'!$U$42+'TE CVA'!$U$42)*1</f>
        <v>0</v>
      </c>
      <c r="T42" s="30">
        <f>('TE BE'!$W$42+'TE BF'!$W$42+'TE CVA'!$W$42)*1</f>
        <v>0</v>
      </c>
      <c r="U42" s="30">
        <f>('TE BE'!$Y$42+'TE BF'!$Y$42+'TE CVA'!$Y$42)*1</f>
        <v>0</v>
      </c>
      <c r="W42" s="30">
        <v>1.0028864562158E-12</v>
      </c>
      <c r="X42" s="30">
        <v>0</v>
      </c>
      <c r="Y42" s="30">
        <v>0</v>
      </c>
      <c r="Z42" s="30">
        <v>0</v>
      </c>
      <c r="AA42" s="30">
        <v>135.88357291547101</v>
      </c>
      <c r="AB42" s="30">
        <v>0</v>
      </c>
      <c r="AC42" s="30">
        <v>0</v>
      </c>
      <c r="AD42" s="30">
        <v>0</v>
      </c>
      <c r="AE42" s="30">
        <v>2.91580776097998</v>
      </c>
      <c r="AF42" s="30">
        <v>0</v>
      </c>
    </row>
    <row r="44" spans="1:32" ht="11.25" customHeight="1" x14ac:dyDescent="0.25">
      <c r="L44" s="140" t="s">
        <v>916</v>
      </c>
      <c r="M44" s="140"/>
      <c r="N44" s="140"/>
      <c r="O44" s="140"/>
      <c r="P44" s="140"/>
      <c r="Q44" s="140"/>
      <c r="R44" s="140"/>
      <c r="S44" s="140"/>
      <c r="T44" s="140"/>
      <c r="U44" s="140"/>
      <c r="W44" s="140" t="s">
        <v>917</v>
      </c>
      <c r="X44" s="140"/>
      <c r="Y44" s="140"/>
      <c r="Z44" s="140"/>
      <c r="AA44" s="140"/>
      <c r="AB44" s="140"/>
      <c r="AC44" s="140"/>
      <c r="AD44" s="140"/>
      <c r="AE44" s="140"/>
      <c r="AF44" s="140"/>
    </row>
    <row r="45" spans="1:32" ht="11.25" customHeight="1" x14ac:dyDescent="0.25">
      <c r="L45" s="140" t="s">
        <v>473</v>
      </c>
      <c r="M45" s="140"/>
      <c r="N45" s="140"/>
      <c r="O45" s="140"/>
      <c r="P45" s="140"/>
      <c r="Q45" s="140"/>
      <c r="R45" s="140"/>
      <c r="S45" s="140"/>
      <c r="T45" s="140"/>
      <c r="U45" s="140"/>
      <c r="W45" s="140" t="s">
        <v>473</v>
      </c>
      <c r="X45" s="140"/>
      <c r="Y45" s="140"/>
      <c r="Z45" s="140"/>
      <c r="AA45" s="140"/>
      <c r="AB45" s="140"/>
      <c r="AC45" s="140"/>
      <c r="AD45" s="140"/>
      <c r="AE45" s="140"/>
      <c r="AF45" s="140"/>
    </row>
    <row r="46" spans="1:32" ht="11.25" customHeight="1" x14ac:dyDescent="0.25">
      <c r="L46" s="140" t="s">
        <v>446</v>
      </c>
      <c r="M46" s="140"/>
      <c r="N46" s="140"/>
      <c r="O46" s="140"/>
      <c r="P46" s="90" t="s">
        <v>476</v>
      </c>
      <c r="Q46" s="140" t="s">
        <v>455</v>
      </c>
      <c r="R46" s="140"/>
      <c r="S46" s="140"/>
      <c r="T46" s="90" t="s">
        <v>465</v>
      </c>
      <c r="U46" s="90" t="s">
        <v>468</v>
      </c>
      <c r="W46" s="140" t="s">
        <v>446</v>
      </c>
      <c r="X46" s="140"/>
      <c r="Y46" s="140"/>
      <c r="Z46" s="140"/>
      <c r="AA46" s="90" t="s">
        <v>476</v>
      </c>
      <c r="AB46" s="140" t="s">
        <v>455</v>
      </c>
      <c r="AC46" s="140"/>
      <c r="AD46" s="140"/>
      <c r="AE46" s="90" t="s">
        <v>465</v>
      </c>
      <c r="AF46" s="90" t="s">
        <v>468</v>
      </c>
    </row>
    <row r="47" spans="1:32" ht="11.25" customHeight="1" x14ac:dyDescent="0.25">
      <c r="L47" s="90" t="s">
        <v>448</v>
      </c>
      <c r="M47" s="90" t="s">
        <v>474</v>
      </c>
      <c r="N47" s="90" t="s">
        <v>475</v>
      </c>
      <c r="O47" s="90" t="s">
        <v>533</v>
      </c>
      <c r="P47" s="90" t="s">
        <v>477</v>
      </c>
      <c r="Q47" s="90" t="s">
        <v>478</v>
      </c>
      <c r="R47" s="90" t="s">
        <v>479</v>
      </c>
      <c r="S47" s="90" t="s">
        <v>480</v>
      </c>
      <c r="T47" s="90" t="s">
        <v>466</v>
      </c>
      <c r="U47" s="90" t="s">
        <v>481</v>
      </c>
      <c r="W47" s="90" t="s">
        <v>448</v>
      </c>
      <c r="X47" s="90" t="s">
        <v>474</v>
      </c>
      <c r="Y47" s="90" t="s">
        <v>475</v>
      </c>
      <c r="Z47" s="90" t="s">
        <v>533</v>
      </c>
      <c r="AA47" s="90" t="s">
        <v>477</v>
      </c>
      <c r="AB47" s="90" t="s">
        <v>478</v>
      </c>
      <c r="AC47" s="90" t="s">
        <v>479</v>
      </c>
      <c r="AD47" s="90" t="s">
        <v>480</v>
      </c>
      <c r="AE47" s="90" t="s">
        <v>466</v>
      </c>
      <c r="AF47" s="90" t="s">
        <v>481</v>
      </c>
    </row>
    <row r="48" spans="1:32" ht="11.25" customHeight="1" x14ac:dyDescent="0.25">
      <c r="A48" s="9" t="s">
        <v>33</v>
      </c>
      <c r="B48" s="9" t="s">
        <v>918</v>
      </c>
      <c r="C48" s="9" t="s">
        <v>919</v>
      </c>
      <c r="D48" s="9" t="s">
        <v>920</v>
      </c>
      <c r="E48" s="9" t="s">
        <v>921</v>
      </c>
      <c r="F48" s="9" t="s">
        <v>922</v>
      </c>
      <c r="G48" s="9" t="s">
        <v>923</v>
      </c>
      <c r="L48" s="30">
        <f>$I$5*$L$5</f>
        <v>0</v>
      </c>
      <c r="M48" s="30">
        <f>$I$5*$M$5</f>
        <v>0</v>
      </c>
      <c r="N48" s="30">
        <f>$I$5*$N$5</f>
        <v>0</v>
      </c>
      <c r="O48" s="30">
        <f>$I$5*$O$5</f>
        <v>0</v>
      </c>
      <c r="P48" s="30">
        <f>$I$5*$P$5</f>
        <v>31040.789957891022</v>
      </c>
      <c r="Q48" s="30">
        <f>$I$5*$Q$5</f>
        <v>0</v>
      </c>
      <c r="R48" s="30">
        <f>$I$5*$R$5</f>
        <v>0</v>
      </c>
      <c r="S48" s="30">
        <f>$I$5*$S$5</f>
        <v>0</v>
      </c>
      <c r="T48" s="30">
        <f>$I$5*$T$5</f>
        <v>0</v>
      </c>
      <c r="U48" s="30">
        <f>$I$5*$U$5</f>
        <v>0</v>
      </c>
      <c r="W48" s="30">
        <f>$I$5*$W$5</f>
        <v>1.9893924336467498E-10</v>
      </c>
      <c r="X48" s="30">
        <f>$I$5*$X$5</f>
        <v>0</v>
      </c>
      <c r="Y48" s="30">
        <f>$I$5*$Y$5</f>
        <v>0</v>
      </c>
      <c r="Z48" s="30">
        <f>$I$5*$Z$5</f>
        <v>0</v>
      </c>
      <c r="AA48" s="30">
        <f>$I$5*$AA$5</f>
        <v>26954.771413998929</v>
      </c>
      <c r="AB48" s="30">
        <f>$I$5*$AB$5</f>
        <v>0</v>
      </c>
      <c r="AC48" s="30">
        <f>$I$5*$AC$5</f>
        <v>0</v>
      </c>
      <c r="AD48" s="30">
        <f>$I$5*$AD$5</f>
        <v>0</v>
      </c>
      <c r="AE48" s="30">
        <f>$I$5*$AE$5</f>
        <v>578.39906618639543</v>
      </c>
      <c r="AF48" s="30">
        <f>$I$5*$AF$5</f>
        <v>0</v>
      </c>
    </row>
    <row r="49" spans="1:32" ht="11.25" customHeight="1" x14ac:dyDescent="0.25">
      <c r="A49" s="9" t="s">
        <v>33</v>
      </c>
      <c r="B49" s="9" t="s">
        <v>918</v>
      </c>
      <c r="C49" s="9" t="s">
        <v>919</v>
      </c>
      <c r="D49" s="9" t="s">
        <v>920</v>
      </c>
      <c r="E49" s="9" t="s">
        <v>921</v>
      </c>
      <c r="F49" s="9" t="s">
        <v>922</v>
      </c>
      <c r="G49" s="9" t="s">
        <v>924</v>
      </c>
      <c r="L49" s="30">
        <f>$I$6*$L$6</f>
        <v>0</v>
      </c>
      <c r="M49" s="30">
        <f>$I$6*$M$6</f>
        <v>0</v>
      </c>
      <c r="N49" s="30">
        <f>$I$6*$N$6</f>
        <v>0</v>
      </c>
      <c r="O49" s="30">
        <f>$I$6*$O$6</f>
        <v>0</v>
      </c>
      <c r="P49" s="30">
        <f>$I$6*$P$6</f>
        <v>1017775.1334483379</v>
      </c>
      <c r="Q49" s="30">
        <f>$I$6*$Q$6</f>
        <v>0</v>
      </c>
      <c r="R49" s="30">
        <f>$I$6*$R$6</f>
        <v>0</v>
      </c>
      <c r="S49" s="30">
        <f>$I$6*$S$6</f>
        <v>0</v>
      </c>
      <c r="T49" s="30">
        <f>$I$6*$T$6</f>
        <v>0</v>
      </c>
      <c r="U49" s="30">
        <f>$I$6*$U$6</f>
        <v>0</v>
      </c>
      <c r="W49" s="30">
        <f>$I$6*$W$6</f>
        <v>6.5228821572603458E-9</v>
      </c>
      <c r="X49" s="30">
        <f>$I$6*$X$6</f>
        <v>0</v>
      </c>
      <c r="Y49" s="30">
        <f>$I$6*$Y$6</f>
        <v>0</v>
      </c>
      <c r="Z49" s="30">
        <f>$I$6*$Z$6</f>
        <v>0</v>
      </c>
      <c r="AA49" s="30">
        <f>$I$6*$AA$6</f>
        <v>883801.47896262247</v>
      </c>
      <c r="AB49" s="30">
        <f>$I$6*$AB$6</f>
        <v>0</v>
      </c>
      <c r="AC49" s="30">
        <f>$I$6*$AC$6</f>
        <v>0</v>
      </c>
      <c r="AD49" s="30">
        <f>$I$6*$AD$6</f>
        <v>0</v>
      </c>
      <c r="AE49" s="30">
        <f>$I$6*$AE$6</f>
        <v>18964.729556587896</v>
      </c>
      <c r="AF49" s="30">
        <f>$I$6*$AF$6</f>
        <v>0</v>
      </c>
    </row>
    <row r="50" spans="1:32" ht="11.25" customHeight="1" x14ac:dyDescent="0.25">
      <c r="A50" s="9" t="s">
        <v>33</v>
      </c>
      <c r="B50" s="9" t="s">
        <v>925</v>
      </c>
      <c r="C50" s="9" t="s">
        <v>926</v>
      </c>
      <c r="D50" s="9" t="s">
        <v>927</v>
      </c>
      <c r="E50" s="9" t="s">
        <v>928</v>
      </c>
      <c r="F50" s="9" t="s">
        <v>929</v>
      </c>
      <c r="G50" s="9" t="s">
        <v>930</v>
      </c>
      <c r="L50" s="30">
        <f>$I$7*$L$7</f>
        <v>0</v>
      </c>
      <c r="M50" s="30">
        <f>$I$7*$M$7</f>
        <v>0</v>
      </c>
      <c r="N50" s="30">
        <f>$I$7*$N$7</f>
        <v>0</v>
      </c>
      <c r="O50" s="30">
        <f>$I$7*$O$7</f>
        <v>0</v>
      </c>
      <c r="P50" s="30">
        <f>$I$7*$P$7</f>
        <v>0</v>
      </c>
      <c r="Q50" s="30">
        <f>$I$7*$Q$7</f>
        <v>0</v>
      </c>
      <c r="R50" s="30">
        <f>$I$7*$R$7</f>
        <v>0</v>
      </c>
      <c r="S50" s="30">
        <f>$I$7*$S$7</f>
        <v>0</v>
      </c>
      <c r="T50" s="30">
        <f>$I$7*$T$7</f>
        <v>0</v>
      </c>
      <c r="U50" s="30">
        <f>$I$7*$U$7</f>
        <v>0</v>
      </c>
      <c r="W50" s="30">
        <f>$I$7*$W$7</f>
        <v>0</v>
      </c>
      <c r="X50" s="30">
        <f>$I$7*$X$7</f>
        <v>0</v>
      </c>
      <c r="Y50" s="30">
        <f>$I$7*$Y$7</f>
        <v>0</v>
      </c>
      <c r="Z50" s="30">
        <f>$I$7*$Z$7</f>
        <v>0</v>
      </c>
      <c r="AA50" s="30">
        <f>$I$7*$AA$7</f>
        <v>0</v>
      </c>
      <c r="AB50" s="30">
        <f>$I$7*$AB$7</f>
        <v>0</v>
      </c>
      <c r="AC50" s="30">
        <f>$I$7*$AC$7</f>
        <v>0</v>
      </c>
      <c r="AD50" s="30">
        <f>$I$7*$AD$7</f>
        <v>0</v>
      </c>
      <c r="AE50" s="30">
        <f>$I$7*$AE$7</f>
        <v>0</v>
      </c>
      <c r="AF50" s="30">
        <f>$I$7*$AF$7</f>
        <v>0</v>
      </c>
    </row>
    <row r="51" spans="1:32" ht="11.25" customHeight="1" x14ac:dyDescent="0.25">
      <c r="A51" s="9" t="s">
        <v>22</v>
      </c>
      <c r="B51" s="9" t="s">
        <v>931</v>
      </c>
      <c r="C51" s="9" t="s">
        <v>932</v>
      </c>
      <c r="D51" s="9" t="s">
        <v>933</v>
      </c>
      <c r="E51" s="9" t="s">
        <v>934</v>
      </c>
      <c r="F51" s="9" t="s">
        <v>935</v>
      </c>
      <c r="G51" s="9" t="s">
        <v>936</v>
      </c>
      <c r="L51" s="30">
        <f>$I$8*$L$8</f>
        <v>0</v>
      </c>
      <c r="M51" s="30">
        <f>$I$8*$M$8</f>
        <v>0</v>
      </c>
      <c r="N51" s="30">
        <f>$I$8*$N$8</f>
        <v>0</v>
      </c>
      <c r="O51" s="30">
        <f>$I$8*$O$8</f>
        <v>0</v>
      </c>
      <c r="P51" s="30">
        <f>$I$8*$P$8</f>
        <v>603.4984705306656</v>
      </c>
      <c r="Q51" s="30">
        <f>$I$8*$Q$8</f>
        <v>0</v>
      </c>
      <c r="R51" s="30">
        <f>$I$8*$R$8</f>
        <v>0</v>
      </c>
      <c r="S51" s="30">
        <f>$I$8*$S$8</f>
        <v>0</v>
      </c>
      <c r="T51" s="30">
        <f>$I$8*$T$8</f>
        <v>0</v>
      </c>
      <c r="U51" s="30">
        <f>$I$8*$U$8</f>
        <v>0</v>
      </c>
      <c r="W51" s="30">
        <f>$I$8*$W$8</f>
        <v>3.8677987661389499E-12</v>
      </c>
      <c r="X51" s="30">
        <f>$I$8*$X$8</f>
        <v>0</v>
      </c>
      <c r="Y51" s="30">
        <f>$I$8*$Y$8</f>
        <v>0</v>
      </c>
      <c r="Z51" s="30">
        <f>$I$8*$Z$8</f>
        <v>0</v>
      </c>
      <c r="AA51" s="30">
        <f>$I$8*$AA$8</f>
        <v>524.05764621066646</v>
      </c>
      <c r="AB51" s="30">
        <f>$I$8*$AB$8</f>
        <v>0</v>
      </c>
      <c r="AC51" s="30">
        <f>$I$8*$AC$8</f>
        <v>0</v>
      </c>
      <c r="AD51" s="30">
        <f>$I$8*$AD$8</f>
        <v>0</v>
      </c>
      <c r="AE51" s="30">
        <f>$I$8*$AE$8</f>
        <v>11.245298598179454</v>
      </c>
      <c r="AF51" s="30">
        <f>$I$8*$AF$8</f>
        <v>0</v>
      </c>
    </row>
    <row r="52" spans="1:32" ht="11.25" customHeight="1" x14ac:dyDescent="0.25">
      <c r="A52" s="9" t="s">
        <v>22</v>
      </c>
      <c r="B52" s="9" t="s">
        <v>931</v>
      </c>
      <c r="C52" s="9" t="s">
        <v>932</v>
      </c>
      <c r="D52" s="9" t="s">
        <v>933</v>
      </c>
      <c r="E52" s="9" t="s">
        <v>934</v>
      </c>
      <c r="F52" s="9" t="s">
        <v>935</v>
      </c>
      <c r="G52" s="9" t="s">
        <v>937</v>
      </c>
      <c r="L52" s="30">
        <f>$I$9*$L$9</f>
        <v>0</v>
      </c>
      <c r="M52" s="30">
        <f>$I$9*$M$9</f>
        <v>0</v>
      </c>
      <c r="N52" s="30">
        <f>$I$9*$N$9</f>
        <v>0</v>
      </c>
      <c r="O52" s="30">
        <f>$I$9*$O$9</f>
        <v>0</v>
      </c>
      <c r="P52" s="30">
        <f>$I$9*$P$9</f>
        <v>318.96224263569752</v>
      </c>
      <c r="Q52" s="30">
        <f>$I$9*$Q$9</f>
        <v>0</v>
      </c>
      <c r="R52" s="30">
        <f>$I$9*$R$9</f>
        <v>0</v>
      </c>
      <c r="S52" s="30">
        <f>$I$9*$S$9</f>
        <v>0</v>
      </c>
      <c r="T52" s="30">
        <f>$I$9*$T$9</f>
        <v>0</v>
      </c>
      <c r="U52" s="30">
        <f>$I$9*$U$9</f>
        <v>0</v>
      </c>
      <c r="W52" s="30">
        <f>$I$9*$W$9</f>
        <v>2.0442168932532138E-12</v>
      </c>
      <c r="X52" s="30">
        <f>$I$9*$X$9</f>
        <v>0</v>
      </c>
      <c r="Y52" s="30">
        <f>$I$9*$Y$9</f>
        <v>0</v>
      </c>
      <c r="Z52" s="30">
        <f>$I$9*$Z$9</f>
        <v>0</v>
      </c>
      <c r="AA52" s="30">
        <f>$I$9*$AA$9</f>
        <v>276.97601612603501</v>
      </c>
      <c r="AB52" s="30">
        <f>$I$9*$AB$9</f>
        <v>0</v>
      </c>
      <c r="AC52" s="30">
        <f>$I$9*$AC$9</f>
        <v>0</v>
      </c>
      <c r="AD52" s="30">
        <f>$I$9*$AD$9</f>
        <v>0</v>
      </c>
      <c r="AE52" s="30">
        <f>$I$9*$AE$9</f>
        <v>5.9433881527975254</v>
      </c>
      <c r="AF52" s="30">
        <f>$I$9*$AF$9</f>
        <v>0</v>
      </c>
    </row>
    <row r="53" spans="1:32" ht="11.25" customHeight="1" x14ac:dyDescent="0.25">
      <c r="A53" s="9" t="s">
        <v>22</v>
      </c>
      <c r="B53" s="9" t="s">
        <v>931</v>
      </c>
      <c r="C53" s="9" t="s">
        <v>932</v>
      </c>
      <c r="D53" s="9" t="s">
        <v>933</v>
      </c>
      <c r="E53" s="9" t="s">
        <v>934</v>
      </c>
      <c r="F53" s="9" t="s">
        <v>935</v>
      </c>
      <c r="G53" s="9" t="s">
        <v>938</v>
      </c>
      <c r="L53" s="30">
        <f>$I$10*$L$10</f>
        <v>0</v>
      </c>
      <c r="M53" s="30">
        <f>$I$10*$M$10</f>
        <v>0</v>
      </c>
      <c r="N53" s="30">
        <f>$I$10*$N$10</f>
        <v>0</v>
      </c>
      <c r="O53" s="30">
        <f>$I$10*$O$10</f>
        <v>0</v>
      </c>
      <c r="P53" s="30">
        <f>$I$10*$P$10</f>
        <v>4117.0383992208681</v>
      </c>
      <c r="Q53" s="30">
        <f>$I$10*$Q$10</f>
        <v>0</v>
      </c>
      <c r="R53" s="30">
        <f>$I$10*$R$10</f>
        <v>0</v>
      </c>
      <c r="S53" s="30">
        <f>$I$10*$S$10</f>
        <v>0</v>
      </c>
      <c r="T53" s="30">
        <f>$I$10*$T$10</f>
        <v>0</v>
      </c>
      <c r="U53" s="30">
        <f>$I$10*$U$10</f>
        <v>0</v>
      </c>
      <c r="W53" s="30">
        <f>$I$10*$W$10</f>
        <v>2.6385942663037802E-11</v>
      </c>
      <c r="X53" s="30">
        <f>$I$10*$X$10</f>
        <v>0</v>
      </c>
      <c r="Y53" s="30">
        <f>$I$10*$Y$10</f>
        <v>0</v>
      </c>
      <c r="Z53" s="30">
        <f>$I$10*$Z$10</f>
        <v>0</v>
      </c>
      <c r="AA53" s="30">
        <f>$I$10*$AA$10</f>
        <v>3575.096803406042</v>
      </c>
      <c r="AB53" s="30">
        <f>$I$10*$AB$10</f>
        <v>0</v>
      </c>
      <c r="AC53" s="30">
        <f>$I$10*$AC$10</f>
        <v>0</v>
      </c>
      <c r="AD53" s="30">
        <f>$I$10*$AD$10</f>
        <v>0</v>
      </c>
      <c r="AE53" s="30">
        <f>$I$10*$AE$10</f>
        <v>76.714902191383274</v>
      </c>
      <c r="AF53" s="30">
        <f>$I$10*$AF$10</f>
        <v>0</v>
      </c>
    </row>
    <row r="54" spans="1:32" ht="11.25" customHeight="1" x14ac:dyDescent="0.25">
      <c r="A54" s="9" t="s">
        <v>22</v>
      </c>
      <c r="B54" s="9" t="s">
        <v>939</v>
      </c>
      <c r="C54" s="9" t="s">
        <v>940</v>
      </c>
      <c r="D54" s="9" t="s">
        <v>941</v>
      </c>
      <c r="E54" s="9" t="s">
        <v>942</v>
      </c>
      <c r="F54" s="9" t="s">
        <v>943</v>
      </c>
      <c r="G54" s="9" t="s">
        <v>944</v>
      </c>
      <c r="L54" s="30">
        <f>$I$11*$L$11</f>
        <v>0</v>
      </c>
      <c r="M54" s="30">
        <f>$I$11*$M$11</f>
        <v>0</v>
      </c>
      <c r="N54" s="30">
        <f>$I$11*$N$11</f>
        <v>0</v>
      </c>
      <c r="O54" s="30">
        <f>$I$11*$O$11</f>
        <v>0</v>
      </c>
      <c r="P54" s="30">
        <f>$I$11*$P$11</f>
        <v>6913915.0268490771</v>
      </c>
      <c r="Q54" s="30">
        <f>$I$11*$Q$11</f>
        <v>0</v>
      </c>
      <c r="R54" s="30">
        <f>$I$11*$R$11</f>
        <v>0</v>
      </c>
      <c r="S54" s="30">
        <f>$I$11*$S$11</f>
        <v>0</v>
      </c>
      <c r="T54" s="30">
        <f>$I$11*$T$11</f>
        <v>0</v>
      </c>
      <c r="U54" s="30">
        <f>$I$11*$U$11</f>
        <v>0</v>
      </c>
      <c r="W54" s="30">
        <f>$I$11*$W$11</f>
        <v>4.4311018694914133E-8</v>
      </c>
      <c r="X54" s="30">
        <f>$I$11*$X$11</f>
        <v>0</v>
      </c>
      <c r="Y54" s="30">
        <f>$I$11*$Y$11</f>
        <v>0</v>
      </c>
      <c r="Z54" s="30">
        <f>$I$11*$Z$11</f>
        <v>0</v>
      </c>
      <c r="AA54" s="30">
        <f>$I$11*$AA$11</f>
        <v>6003809.8056571195</v>
      </c>
      <c r="AB54" s="30">
        <f>$I$11*$AB$11</f>
        <v>0</v>
      </c>
      <c r="AC54" s="30">
        <f>$I$11*$AC$11</f>
        <v>0</v>
      </c>
      <c r="AD54" s="30">
        <f>$I$11*$AD$11</f>
        <v>0</v>
      </c>
      <c r="AE54" s="30">
        <f>$I$11*$AE$11</f>
        <v>128830.54847014254</v>
      </c>
      <c r="AF54" s="30">
        <f>$I$11*$AF$11</f>
        <v>0</v>
      </c>
    </row>
    <row r="55" spans="1:32" ht="11.25" customHeight="1" x14ac:dyDescent="0.25">
      <c r="A55" s="9" t="s">
        <v>22</v>
      </c>
      <c r="B55" s="9" t="s">
        <v>939</v>
      </c>
      <c r="C55" s="9" t="s">
        <v>940</v>
      </c>
      <c r="D55" s="9" t="s">
        <v>945</v>
      </c>
      <c r="E55" s="9" t="s">
        <v>946</v>
      </c>
      <c r="F55" s="9" t="s">
        <v>947</v>
      </c>
      <c r="G55" s="9" t="s">
        <v>948</v>
      </c>
      <c r="L55" s="30">
        <f>$I$12*$L$12</f>
        <v>0</v>
      </c>
      <c r="M55" s="30">
        <f>$I$12*$M$12</f>
        <v>0</v>
      </c>
      <c r="N55" s="30">
        <f>$I$12*$N$12</f>
        <v>0</v>
      </c>
      <c r="O55" s="30">
        <f>$I$12*$O$12</f>
        <v>0</v>
      </c>
      <c r="P55" s="30">
        <f>$I$12*$P$12</f>
        <v>20513.327690333066</v>
      </c>
      <c r="Q55" s="30">
        <f>$I$12*$Q$12</f>
        <v>0</v>
      </c>
      <c r="R55" s="30">
        <f>$I$12*$R$12</f>
        <v>0</v>
      </c>
      <c r="S55" s="30">
        <f>$I$12*$S$12</f>
        <v>0</v>
      </c>
      <c r="T55" s="30">
        <f>$I$12*$T$12</f>
        <v>0</v>
      </c>
      <c r="U55" s="30">
        <f>$I$12*$U$12</f>
        <v>0</v>
      </c>
      <c r="W55" s="30">
        <f>$I$12*$W$12</f>
        <v>1.3146913771017167E-10</v>
      </c>
      <c r="X55" s="30">
        <f>$I$12*$X$12</f>
        <v>0</v>
      </c>
      <c r="Y55" s="30">
        <f>$I$12*$Y$12</f>
        <v>0</v>
      </c>
      <c r="Z55" s="30">
        <f>$I$12*$Z$12</f>
        <v>0</v>
      </c>
      <c r="AA55" s="30">
        <f>$I$12*$AA$12</f>
        <v>17813.079486168772</v>
      </c>
      <c r="AB55" s="30">
        <f>$I$12*$AB$12</f>
        <v>0</v>
      </c>
      <c r="AC55" s="30">
        <f>$I$12*$AC$12</f>
        <v>0</v>
      </c>
      <c r="AD55" s="30">
        <f>$I$12*$AD$12</f>
        <v>0</v>
      </c>
      <c r="AE55" s="30">
        <f>$I$12*$AE$12</f>
        <v>382.23542624268521</v>
      </c>
      <c r="AF55" s="30">
        <f>$I$12*$AF$12</f>
        <v>0</v>
      </c>
    </row>
    <row r="56" spans="1:32" ht="11.25" customHeight="1" x14ac:dyDescent="0.25">
      <c r="A56" s="9" t="s">
        <v>22</v>
      </c>
      <c r="B56" s="9" t="s">
        <v>939</v>
      </c>
      <c r="C56" s="9" t="s">
        <v>940</v>
      </c>
      <c r="D56" s="9" t="s">
        <v>949</v>
      </c>
      <c r="E56" s="9" t="s">
        <v>950</v>
      </c>
      <c r="F56" s="9" t="s">
        <v>951</v>
      </c>
      <c r="G56" s="9" t="s">
        <v>952</v>
      </c>
      <c r="L56" s="30">
        <f>$I$13*$L$13</f>
        <v>0</v>
      </c>
      <c r="M56" s="30">
        <f>$I$13*$M$13</f>
        <v>0</v>
      </c>
      <c r="N56" s="30">
        <f>$I$13*$N$13</f>
        <v>0</v>
      </c>
      <c r="O56" s="30">
        <f>$I$13*$O$13</f>
        <v>0</v>
      </c>
      <c r="P56" s="30">
        <f>$I$13*$P$13</f>
        <v>71581.699486628306</v>
      </c>
      <c r="Q56" s="30">
        <f>$I$13*$Q$13</f>
        <v>0</v>
      </c>
      <c r="R56" s="30">
        <f>$I$13*$R$13</f>
        <v>0</v>
      </c>
      <c r="S56" s="30">
        <f>$I$13*$S$13</f>
        <v>0</v>
      </c>
      <c r="T56" s="30">
        <f>$I$13*$T$13</f>
        <v>0</v>
      </c>
      <c r="U56" s="30">
        <f>$I$13*$U$13</f>
        <v>0</v>
      </c>
      <c r="W56" s="30">
        <f>$I$13*$W$13</f>
        <v>4.5876439207718043E-10</v>
      </c>
      <c r="X56" s="30">
        <f>$I$13*$X$13</f>
        <v>0</v>
      </c>
      <c r="Y56" s="30">
        <f>$I$13*$Y$13</f>
        <v>0</v>
      </c>
      <c r="Z56" s="30">
        <f>$I$13*$Z$13</f>
        <v>0</v>
      </c>
      <c r="AA56" s="30">
        <f>$I$13*$AA$13</f>
        <v>62159.125128744723</v>
      </c>
      <c r="AB56" s="30">
        <f>$I$13*$AB$13</f>
        <v>0</v>
      </c>
      <c r="AC56" s="30">
        <f>$I$13*$AC$13</f>
        <v>0</v>
      </c>
      <c r="AD56" s="30">
        <f>$I$13*$AD$13</f>
        <v>0</v>
      </c>
      <c r="AE56" s="30">
        <f>$I$13*$AE$13</f>
        <v>1333.8187654137259</v>
      </c>
      <c r="AF56" s="30">
        <f>$I$13*$AF$13</f>
        <v>0</v>
      </c>
    </row>
    <row r="57" spans="1:32" ht="11.25" customHeight="1" x14ac:dyDescent="0.25">
      <c r="A57" s="9" t="s">
        <v>22</v>
      </c>
      <c r="B57" s="9" t="s">
        <v>939</v>
      </c>
      <c r="C57" s="9" t="s">
        <v>940</v>
      </c>
      <c r="D57" s="9" t="s">
        <v>953</v>
      </c>
      <c r="E57" s="9" t="s">
        <v>954</v>
      </c>
      <c r="F57" s="9" t="s">
        <v>955</v>
      </c>
      <c r="G57" s="9" t="s">
        <v>956</v>
      </c>
      <c r="L57" s="30">
        <f>$I$14*$L$14</f>
        <v>0</v>
      </c>
      <c r="M57" s="30">
        <f>$I$14*$M$14</f>
        <v>0</v>
      </c>
      <c r="N57" s="30">
        <f>$I$14*$N$14</f>
        <v>0</v>
      </c>
      <c r="O57" s="30">
        <f>$I$14*$O$14</f>
        <v>0</v>
      </c>
      <c r="P57" s="30">
        <f>$I$14*$P$14</f>
        <v>85891.185477382867</v>
      </c>
      <c r="Q57" s="30">
        <f>$I$14*$Q$14</f>
        <v>0</v>
      </c>
      <c r="R57" s="30">
        <f>$I$14*$R$14</f>
        <v>0</v>
      </c>
      <c r="S57" s="30">
        <f>$I$14*$S$14</f>
        <v>0</v>
      </c>
      <c r="T57" s="30">
        <f>$I$14*$T$14</f>
        <v>0</v>
      </c>
      <c r="U57" s="30">
        <f>$I$14*$U$14</f>
        <v>0</v>
      </c>
      <c r="W57" s="30">
        <f>$I$14*$W$14</f>
        <v>5.504733440658343E-10</v>
      </c>
      <c r="X57" s="30">
        <f>$I$14*$X$14</f>
        <v>0</v>
      </c>
      <c r="Y57" s="30">
        <f>$I$14*$Y$14</f>
        <v>0</v>
      </c>
      <c r="Z57" s="30">
        <f>$I$14*$Z$14</f>
        <v>0</v>
      </c>
      <c r="AA57" s="30">
        <f>$I$14*$AA$14</f>
        <v>74584.998453999782</v>
      </c>
      <c r="AB57" s="30">
        <f>$I$14*$AB$14</f>
        <v>0</v>
      </c>
      <c r="AC57" s="30">
        <f>$I$14*$AC$14</f>
        <v>0</v>
      </c>
      <c r="AD57" s="30">
        <f>$I$14*$AD$14</f>
        <v>0</v>
      </c>
      <c r="AE57" s="30">
        <f>$I$14*$AE$14</f>
        <v>1600.4548061165403</v>
      </c>
      <c r="AF57" s="30">
        <f>$I$14*$AF$14</f>
        <v>0</v>
      </c>
    </row>
    <row r="58" spans="1:32" ht="11.25" customHeight="1" x14ac:dyDescent="0.25">
      <c r="A58" s="9" t="s">
        <v>22</v>
      </c>
      <c r="B58" s="9" t="s">
        <v>939</v>
      </c>
      <c r="C58" s="9" t="s">
        <v>940</v>
      </c>
      <c r="D58" s="9" t="s">
        <v>957</v>
      </c>
      <c r="E58" s="9" t="s">
        <v>958</v>
      </c>
      <c r="F58" s="9" t="s">
        <v>959</v>
      </c>
      <c r="G58" s="9" t="s">
        <v>960</v>
      </c>
      <c r="L58" s="30">
        <f>$I$15*$L$15</f>
        <v>0</v>
      </c>
      <c r="M58" s="30">
        <f>$I$15*$M$15</f>
        <v>0</v>
      </c>
      <c r="N58" s="30">
        <f>$I$15*$N$15</f>
        <v>0</v>
      </c>
      <c r="O58" s="30">
        <f>$I$15*$O$15</f>
        <v>0</v>
      </c>
      <c r="P58" s="30">
        <f>$I$15*$P$15</f>
        <v>21319.613643906567</v>
      </c>
      <c r="Q58" s="30">
        <f>$I$15*$Q$15</f>
        <v>0</v>
      </c>
      <c r="R58" s="30">
        <f>$I$15*$R$15</f>
        <v>0</v>
      </c>
      <c r="S58" s="30">
        <f>$I$15*$S$15</f>
        <v>0</v>
      </c>
      <c r="T58" s="30">
        <f>$I$15*$T$15</f>
        <v>0</v>
      </c>
      <c r="U58" s="30">
        <f>$I$15*$U$15</f>
        <v>0</v>
      </c>
      <c r="W58" s="30">
        <f>$I$15*$W$15</f>
        <v>1.3663659374969519E-10</v>
      </c>
      <c r="X58" s="30">
        <f>$I$15*$X$15</f>
        <v>0</v>
      </c>
      <c r="Y58" s="30">
        <f>$I$15*$Y$15</f>
        <v>0</v>
      </c>
      <c r="Z58" s="30">
        <f>$I$15*$Z$15</f>
        <v>0</v>
      </c>
      <c r="AA58" s="30">
        <f>$I$15*$AA$15</f>
        <v>18513.23091924682</v>
      </c>
      <c r="AB58" s="30">
        <f>$I$15*$AB$15</f>
        <v>0</v>
      </c>
      <c r="AC58" s="30">
        <f>$I$15*$AC$15</f>
        <v>0</v>
      </c>
      <c r="AD58" s="30">
        <f>$I$15*$AD$15</f>
        <v>0</v>
      </c>
      <c r="AE58" s="30">
        <f>$I$15*$AE$15</f>
        <v>397.25936871511573</v>
      </c>
      <c r="AF58" s="30">
        <f>$I$15*$AF$15</f>
        <v>0</v>
      </c>
    </row>
    <row r="59" spans="1:32" ht="11.25" customHeight="1" x14ac:dyDescent="0.25">
      <c r="A59" s="9" t="s">
        <v>22</v>
      </c>
      <c r="B59" s="9" t="s">
        <v>961</v>
      </c>
      <c r="C59" s="9" t="s">
        <v>962</v>
      </c>
      <c r="D59" s="9" t="s">
        <v>963</v>
      </c>
      <c r="E59" s="9" t="s">
        <v>964</v>
      </c>
      <c r="F59" s="9" t="s">
        <v>965</v>
      </c>
      <c r="G59" s="9" t="s">
        <v>966</v>
      </c>
      <c r="L59" s="30">
        <f>$I$16*$L$16</f>
        <v>0</v>
      </c>
      <c r="M59" s="30">
        <f>$I$16*$M$16</f>
        <v>0</v>
      </c>
      <c r="N59" s="30">
        <f>$I$16*$N$16</f>
        <v>0</v>
      </c>
      <c r="O59" s="30">
        <f>$I$16*$O$16</f>
        <v>0</v>
      </c>
      <c r="P59" s="30">
        <f>$I$16*$P$16</f>
        <v>0</v>
      </c>
      <c r="Q59" s="30">
        <f>$I$16*$Q$16</f>
        <v>0</v>
      </c>
      <c r="R59" s="30">
        <f>$I$16*$R$16</f>
        <v>0</v>
      </c>
      <c r="S59" s="30">
        <f>$I$16*$S$16</f>
        <v>0</v>
      </c>
      <c r="T59" s="30">
        <f>$I$16*$T$16</f>
        <v>0</v>
      </c>
      <c r="U59" s="30">
        <f>$I$16*$U$16</f>
        <v>0</v>
      </c>
      <c r="W59" s="30">
        <f>$I$16*$W$16</f>
        <v>0</v>
      </c>
      <c r="X59" s="30">
        <f>$I$16*$X$16</f>
        <v>0</v>
      </c>
      <c r="Y59" s="30">
        <f>$I$16*$Y$16</f>
        <v>0</v>
      </c>
      <c r="Z59" s="30">
        <f>$I$16*$Z$16</f>
        <v>0</v>
      </c>
      <c r="AA59" s="30">
        <f>$I$16*$AA$16</f>
        <v>0</v>
      </c>
      <c r="AB59" s="30">
        <f>$I$16*$AB$16</f>
        <v>0</v>
      </c>
      <c r="AC59" s="30">
        <f>$I$16*$AC$16</f>
        <v>0</v>
      </c>
      <c r="AD59" s="30">
        <f>$I$16*$AD$16</f>
        <v>0</v>
      </c>
      <c r="AE59" s="30">
        <f>$I$16*$AE$16</f>
        <v>0</v>
      </c>
      <c r="AF59" s="30">
        <f>$I$16*$AF$16</f>
        <v>0</v>
      </c>
    </row>
    <row r="60" spans="1:32" ht="11.25" customHeight="1" x14ac:dyDescent="0.25">
      <c r="A60" s="9" t="s">
        <v>22</v>
      </c>
      <c r="B60" s="9" t="s">
        <v>961</v>
      </c>
      <c r="C60" s="9" t="s">
        <v>962</v>
      </c>
      <c r="D60" s="9" t="s">
        <v>967</v>
      </c>
      <c r="E60" s="9" t="s">
        <v>968</v>
      </c>
      <c r="F60" s="9" t="s">
        <v>969</v>
      </c>
      <c r="G60" s="9" t="s">
        <v>970</v>
      </c>
      <c r="L60" s="30">
        <f>$I$17*$L$17</f>
        <v>0</v>
      </c>
      <c r="M60" s="30">
        <f>$I$17*$M$17</f>
        <v>0</v>
      </c>
      <c r="N60" s="30">
        <f>$I$17*$N$17</f>
        <v>0</v>
      </c>
      <c r="O60" s="30">
        <f>$I$17*$O$17</f>
        <v>0</v>
      </c>
      <c r="P60" s="30">
        <f>$I$17*$P$17</f>
        <v>0</v>
      </c>
      <c r="Q60" s="30">
        <f>$I$17*$Q$17</f>
        <v>0</v>
      </c>
      <c r="R60" s="30">
        <f>$I$17*$R$17</f>
        <v>0</v>
      </c>
      <c r="S60" s="30">
        <f>$I$17*$S$17</f>
        <v>0</v>
      </c>
      <c r="T60" s="30">
        <f>$I$17*$T$17</f>
        <v>0</v>
      </c>
      <c r="U60" s="30">
        <f>$I$17*$U$17</f>
        <v>0</v>
      </c>
      <c r="W60" s="30">
        <f>$I$17*$W$17</f>
        <v>0</v>
      </c>
      <c r="X60" s="30">
        <f>$I$17*$X$17</f>
        <v>0</v>
      </c>
      <c r="Y60" s="30">
        <f>$I$17*$Y$17</f>
        <v>0</v>
      </c>
      <c r="Z60" s="30">
        <f>$I$17*$Z$17</f>
        <v>0</v>
      </c>
      <c r="AA60" s="30">
        <f>$I$17*$AA$17</f>
        <v>0</v>
      </c>
      <c r="AB60" s="30">
        <f>$I$17*$AB$17</f>
        <v>0</v>
      </c>
      <c r="AC60" s="30">
        <f>$I$17*$AC$17</f>
        <v>0</v>
      </c>
      <c r="AD60" s="30">
        <f>$I$17*$AD$17</f>
        <v>0</v>
      </c>
      <c r="AE60" s="30">
        <f>$I$17*$AE$17</f>
        <v>0</v>
      </c>
      <c r="AF60" s="30">
        <f>$I$17*$AF$17</f>
        <v>0</v>
      </c>
    </row>
    <row r="61" spans="1:32" ht="11.25" customHeight="1" x14ac:dyDescent="0.25">
      <c r="A61" s="9" t="s">
        <v>22</v>
      </c>
      <c r="B61" s="9" t="s">
        <v>961</v>
      </c>
      <c r="C61" s="9" t="s">
        <v>962</v>
      </c>
      <c r="D61" s="9" t="s">
        <v>971</v>
      </c>
      <c r="E61" s="9" t="s">
        <v>972</v>
      </c>
      <c r="F61" s="9" t="s">
        <v>973</v>
      </c>
      <c r="G61" s="9" t="s">
        <v>974</v>
      </c>
      <c r="L61" s="30">
        <f>$I$18*$L$18</f>
        <v>0</v>
      </c>
      <c r="M61" s="30">
        <f>$I$18*$M$18</f>
        <v>0</v>
      </c>
      <c r="N61" s="30">
        <f>$I$18*$N$18</f>
        <v>0</v>
      </c>
      <c r="O61" s="30">
        <f>$I$18*$O$18</f>
        <v>0</v>
      </c>
      <c r="P61" s="30">
        <f>$I$18*$P$18</f>
        <v>0</v>
      </c>
      <c r="Q61" s="30">
        <f>$I$18*$Q$18</f>
        <v>0</v>
      </c>
      <c r="R61" s="30">
        <f>$I$18*$R$18</f>
        <v>0</v>
      </c>
      <c r="S61" s="30">
        <f>$I$18*$S$18</f>
        <v>0</v>
      </c>
      <c r="T61" s="30">
        <f>$I$18*$T$18</f>
        <v>0</v>
      </c>
      <c r="U61" s="30">
        <f>$I$18*$U$18</f>
        <v>0</v>
      </c>
      <c r="W61" s="30">
        <f>$I$18*$W$18</f>
        <v>0</v>
      </c>
      <c r="X61" s="30">
        <f>$I$18*$X$18</f>
        <v>0</v>
      </c>
      <c r="Y61" s="30">
        <f>$I$18*$Y$18</f>
        <v>0</v>
      </c>
      <c r="Z61" s="30">
        <f>$I$18*$Z$18</f>
        <v>0</v>
      </c>
      <c r="AA61" s="30">
        <f>$I$18*$AA$18</f>
        <v>0</v>
      </c>
      <c r="AB61" s="30">
        <f>$I$18*$AB$18</f>
        <v>0</v>
      </c>
      <c r="AC61" s="30">
        <f>$I$18*$AC$18</f>
        <v>0</v>
      </c>
      <c r="AD61" s="30">
        <f>$I$18*$AD$18</f>
        <v>0</v>
      </c>
      <c r="AE61" s="30">
        <f>$I$18*$AE$18</f>
        <v>0</v>
      </c>
      <c r="AF61" s="30">
        <f>$I$18*$AF$18</f>
        <v>0</v>
      </c>
    </row>
    <row r="62" spans="1:32" ht="11.25" customHeight="1" x14ac:dyDescent="0.25">
      <c r="A62" s="9" t="s">
        <v>22</v>
      </c>
      <c r="B62" s="9" t="s">
        <v>961</v>
      </c>
      <c r="C62" s="9" t="s">
        <v>962</v>
      </c>
      <c r="D62" s="9" t="s">
        <v>975</v>
      </c>
      <c r="E62" s="9" t="s">
        <v>976</v>
      </c>
      <c r="F62" s="9" t="s">
        <v>977</v>
      </c>
      <c r="G62" s="9" t="s">
        <v>978</v>
      </c>
      <c r="L62" s="30">
        <f>$I$19*$L$19</f>
        <v>0</v>
      </c>
      <c r="M62" s="30">
        <f>$I$19*$M$19</f>
        <v>0</v>
      </c>
      <c r="N62" s="30">
        <f>$I$19*$N$19</f>
        <v>0</v>
      </c>
      <c r="O62" s="30">
        <f>$I$19*$O$19</f>
        <v>0</v>
      </c>
      <c r="P62" s="30">
        <f>$I$19*$P$19</f>
        <v>0</v>
      </c>
      <c r="Q62" s="30">
        <f>$I$19*$Q$19</f>
        <v>0</v>
      </c>
      <c r="R62" s="30">
        <f>$I$19*$R$19</f>
        <v>0</v>
      </c>
      <c r="S62" s="30">
        <f>$I$19*$S$19</f>
        <v>0</v>
      </c>
      <c r="T62" s="30">
        <f>$I$19*$T$19</f>
        <v>0</v>
      </c>
      <c r="U62" s="30">
        <f>$I$19*$U$19</f>
        <v>0</v>
      </c>
      <c r="W62" s="30">
        <f>$I$19*$W$19</f>
        <v>0</v>
      </c>
      <c r="X62" s="30">
        <f>$I$19*$X$19</f>
        <v>0</v>
      </c>
      <c r="Y62" s="30">
        <f>$I$19*$Y$19</f>
        <v>0</v>
      </c>
      <c r="Z62" s="30">
        <f>$I$19*$Z$19</f>
        <v>0</v>
      </c>
      <c r="AA62" s="30">
        <f>$I$19*$AA$19</f>
        <v>0</v>
      </c>
      <c r="AB62" s="30">
        <f>$I$19*$AB$19</f>
        <v>0</v>
      </c>
      <c r="AC62" s="30">
        <f>$I$19*$AC$19</f>
        <v>0</v>
      </c>
      <c r="AD62" s="30">
        <f>$I$19*$AD$19</f>
        <v>0</v>
      </c>
      <c r="AE62" s="30">
        <f>$I$19*$AE$19</f>
        <v>0</v>
      </c>
      <c r="AF62" s="30">
        <f>$I$19*$AF$19</f>
        <v>0</v>
      </c>
    </row>
    <row r="63" spans="1:32" ht="11.25" customHeight="1" x14ac:dyDescent="0.25">
      <c r="A63" s="9" t="s">
        <v>22</v>
      </c>
      <c r="B63" s="9" t="s">
        <v>961</v>
      </c>
      <c r="C63" s="9" t="s">
        <v>962</v>
      </c>
      <c r="D63" s="9" t="s">
        <v>979</v>
      </c>
      <c r="E63" s="9" t="s">
        <v>980</v>
      </c>
      <c r="F63" s="9" t="s">
        <v>981</v>
      </c>
      <c r="G63" s="9" t="s">
        <v>982</v>
      </c>
      <c r="L63" s="30">
        <f>$I$20*$L$20</f>
        <v>0</v>
      </c>
      <c r="M63" s="30">
        <f>$I$20*$M$20</f>
        <v>0</v>
      </c>
      <c r="N63" s="30">
        <f>$I$20*$N$20</f>
        <v>0</v>
      </c>
      <c r="O63" s="30">
        <f>$I$20*$O$20</f>
        <v>0</v>
      </c>
      <c r="P63" s="30">
        <f>$I$20*$P$20</f>
        <v>0</v>
      </c>
      <c r="Q63" s="30">
        <f>$I$20*$Q$20</f>
        <v>0</v>
      </c>
      <c r="R63" s="30">
        <f>$I$20*$R$20</f>
        <v>0</v>
      </c>
      <c r="S63" s="30">
        <f>$I$20*$S$20</f>
        <v>0</v>
      </c>
      <c r="T63" s="30">
        <f>$I$20*$T$20</f>
        <v>0</v>
      </c>
      <c r="U63" s="30">
        <f>$I$20*$U$20</f>
        <v>0</v>
      </c>
      <c r="W63" s="30">
        <f>$I$20*$W$20</f>
        <v>0</v>
      </c>
      <c r="X63" s="30">
        <f>$I$20*$X$20</f>
        <v>0</v>
      </c>
      <c r="Y63" s="30">
        <f>$I$20*$Y$20</f>
        <v>0</v>
      </c>
      <c r="Z63" s="30">
        <f>$I$20*$Z$20</f>
        <v>0</v>
      </c>
      <c r="AA63" s="30">
        <f>$I$20*$AA$20</f>
        <v>0</v>
      </c>
      <c r="AB63" s="30">
        <f>$I$20*$AB$20</f>
        <v>0</v>
      </c>
      <c r="AC63" s="30">
        <f>$I$20*$AC$20</f>
        <v>0</v>
      </c>
      <c r="AD63" s="30">
        <f>$I$20*$AD$20</f>
        <v>0</v>
      </c>
      <c r="AE63" s="30">
        <f>$I$20*$AE$20</f>
        <v>0</v>
      </c>
      <c r="AF63" s="30">
        <f>$I$20*$AF$20</f>
        <v>0</v>
      </c>
    </row>
    <row r="64" spans="1:32" ht="11.25" customHeight="1" x14ac:dyDescent="0.25">
      <c r="A64" s="9" t="s">
        <v>43</v>
      </c>
      <c r="B64" s="9" t="s">
        <v>983</v>
      </c>
      <c r="C64" s="9" t="s">
        <v>984</v>
      </c>
      <c r="D64" s="9" t="s">
        <v>985</v>
      </c>
      <c r="E64" s="9" t="s">
        <v>986</v>
      </c>
      <c r="F64" s="9" t="s">
        <v>987</v>
      </c>
      <c r="G64" s="9" t="s">
        <v>988</v>
      </c>
      <c r="L64" s="30">
        <f>$I$21*$L$21</f>
        <v>0</v>
      </c>
      <c r="M64" s="30">
        <f>$I$21*$M$21</f>
        <v>0</v>
      </c>
      <c r="N64" s="30">
        <f>$I$21*$N$21</f>
        <v>0</v>
      </c>
      <c r="O64" s="30">
        <f>$I$21*$O$21</f>
        <v>0</v>
      </c>
      <c r="P64" s="30">
        <f>$I$21*$P$21</f>
        <v>0</v>
      </c>
      <c r="Q64" s="30">
        <f>$I$21*$Q$21</f>
        <v>0</v>
      </c>
      <c r="R64" s="30">
        <f>$I$21*$R$21</f>
        <v>0</v>
      </c>
      <c r="S64" s="30">
        <f>$I$21*$S$21</f>
        <v>0</v>
      </c>
      <c r="T64" s="30">
        <f>$I$21*$T$21</f>
        <v>0</v>
      </c>
      <c r="U64" s="30">
        <f>$I$21*$U$21</f>
        <v>0</v>
      </c>
      <c r="W64" s="30">
        <f>$I$21*$W$21</f>
        <v>0</v>
      </c>
      <c r="X64" s="30">
        <f>$I$21*$X$21</f>
        <v>0</v>
      </c>
      <c r="Y64" s="30">
        <f>$I$21*$Y$21</f>
        <v>0</v>
      </c>
      <c r="Z64" s="30">
        <f>$I$21*$Z$21</f>
        <v>0</v>
      </c>
      <c r="AA64" s="30">
        <f>$I$21*$AA$21</f>
        <v>0</v>
      </c>
      <c r="AB64" s="30">
        <f>$I$21*$AB$21</f>
        <v>0</v>
      </c>
      <c r="AC64" s="30">
        <f>$I$21*$AC$21</f>
        <v>0</v>
      </c>
      <c r="AD64" s="30">
        <f>$I$21*$AD$21</f>
        <v>0</v>
      </c>
      <c r="AE64" s="30">
        <f>$I$21*$AE$21</f>
        <v>0</v>
      </c>
      <c r="AF64" s="30">
        <f>$I$21*$AF$21</f>
        <v>0</v>
      </c>
    </row>
    <row r="65" spans="1:32" ht="11.25" customHeight="1" x14ac:dyDescent="0.25">
      <c r="A65" s="9" t="s">
        <v>43</v>
      </c>
      <c r="B65" s="9" t="s">
        <v>983</v>
      </c>
      <c r="C65" s="9" t="s">
        <v>984</v>
      </c>
      <c r="D65" s="9" t="s">
        <v>985</v>
      </c>
      <c r="E65" s="9" t="s">
        <v>986</v>
      </c>
      <c r="F65" s="9" t="s">
        <v>987</v>
      </c>
      <c r="G65" s="9" t="s">
        <v>989</v>
      </c>
      <c r="L65" s="30">
        <f>$I$22*$L$22</f>
        <v>0</v>
      </c>
      <c r="M65" s="30">
        <f>$I$22*$M$22</f>
        <v>0</v>
      </c>
      <c r="N65" s="30">
        <f>$I$22*$N$22</f>
        <v>0</v>
      </c>
      <c r="O65" s="30">
        <f>$I$22*$O$22</f>
        <v>0</v>
      </c>
      <c r="P65" s="30">
        <f>$I$22*$P$22</f>
        <v>0</v>
      </c>
      <c r="Q65" s="30">
        <f>$I$22*$Q$22</f>
        <v>0</v>
      </c>
      <c r="R65" s="30">
        <f>$I$22*$R$22</f>
        <v>0</v>
      </c>
      <c r="S65" s="30">
        <f>$I$22*$S$22</f>
        <v>0</v>
      </c>
      <c r="T65" s="30">
        <f>$I$22*$T$22</f>
        <v>0</v>
      </c>
      <c r="U65" s="30">
        <f>$I$22*$U$22</f>
        <v>0</v>
      </c>
      <c r="W65" s="30">
        <f>$I$22*$W$22</f>
        <v>0</v>
      </c>
      <c r="X65" s="30">
        <f>$I$22*$X$22</f>
        <v>0</v>
      </c>
      <c r="Y65" s="30">
        <f>$I$22*$Y$22</f>
        <v>0</v>
      </c>
      <c r="Z65" s="30">
        <f>$I$22*$Z$22</f>
        <v>0</v>
      </c>
      <c r="AA65" s="30">
        <f>$I$22*$AA$22</f>
        <v>0</v>
      </c>
      <c r="AB65" s="30">
        <f>$I$22*$AB$22</f>
        <v>0</v>
      </c>
      <c r="AC65" s="30">
        <f>$I$22*$AC$22</f>
        <v>0</v>
      </c>
      <c r="AD65" s="30">
        <f>$I$22*$AD$22</f>
        <v>0</v>
      </c>
      <c r="AE65" s="30">
        <f>$I$22*$AE$22</f>
        <v>0</v>
      </c>
      <c r="AF65" s="30">
        <f>$I$22*$AF$22</f>
        <v>0</v>
      </c>
    </row>
    <row r="66" spans="1:32" ht="11.25" customHeight="1" x14ac:dyDescent="0.25">
      <c r="A66" s="9" t="s">
        <v>43</v>
      </c>
      <c r="B66" s="9" t="s">
        <v>983</v>
      </c>
      <c r="C66" s="9" t="s">
        <v>984</v>
      </c>
      <c r="D66" s="9" t="s">
        <v>985</v>
      </c>
      <c r="E66" s="9" t="s">
        <v>986</v>
      </c>
      <c r="F66" s="9" t="s">
        <v>987</v>
      </c>
      <c r="G66" s="9" t="s">
        <v>990</v>
      </c>
      <c r="L66" s="30">
        <f>$I$23*$L$23</f>
        <v>0</v>
      </c>
      <c r="M66" s="30">
        <f>$I$23*$M$23</f>
        <v>0</v>
      </c>
      <c r="N66" s="30">
        <f>$I$23*$N$23</f>
        <v>0</v>
      </c>
      <c r="O66" s="30">
        <f>$I$23*$O$23</f>
        <v>0</v>
      </c>
      <c r="P66" s="30">
        <f>$I$23*$P$23</f>
        <v>0</v>
      </c>
      <c r="Q66" s="30">
        <f>$I$23*$Q$23</f>
        <v>0</v>
      </c>
      <c r="R66" s="30">
        <f>$I$23*$R$23</f>
        <v>0</v>
      </c>
      <c r="S66" s="30">
        <f>$I$23*$S$23</f>
        <v>0</v>
      </c>
      <c r="T66" s="30">
        <f>$I$23*$T$23</f>
        <v>0</v>
      </c>
      <c r="U66" s="30">
        <f>$I$23*$U$23</f>
        <v>0</v>
      </c>
      <c r="W66" s="30">
        <f>$I$23*$W$23</f>
        <v>0</v>
      </c>
      <c r="X66" s="30">
        <f>$I$23*$X$23</f>
        <v>0</v>
      </c>
      <c r="Y66" s="30">
        <f>$I$23*$Y$23</f>
        <v>0</v>
      </c>
      <c r="Z66" s="30">
        <f>$I$23*$Z$23</f>
        <v>0</v>
      </c>
      <c r="AA66" s="30">
        <f>$I$23*$AA$23</f>
        <v>0</v>
      </c>
      <c r="AB66" s="30">
        <f>$I$23*$AB$23</f>
        <v>0</v>
      </c>
      <c r="AC66" s="30">
        <f>$I$23*$AC$23</f>
        <v>0</v>
      </c>
      <c r="AD66" s="30">
        <f>$I$23*$AD$23</f>
        <v>0</v>
      </c>
      <c r="AE66" s="30">
        <f>$I$23*$AE$23</f>
        <v>0</v>
      </c>
      <c r="AF66" s="30">
        <f>$I$23*$AF$23</f>
        <v>0</v>
      </c>
    </row>
    <row r="67" spans="1:32" ht="11.25" customHeight="1" x14ac:dyDescent="0.25">
      <c r="A67" s="9" t="s">
        <v>43</v>
      </c>
      <c r="B67" s="9" t="s">
        <v>991</v>
      </c>
      <c r="C67" s="9" t="s">
        <v>992</v>
      </c>
      <c r="D67" s="9" t="s">
        <v>993</v>
      </c>
      <c r="E67" s="9" t="s">
        <v>994</v>
      </c>
      <c r="F67" s="9" t="s">
        <v>995</v>
      </c>
      <c r="G67" s="9" t="s">
        <v>996</v>
      </c>
      <c r="L67" s="30">
        <f>$I$24*$L$24</f>
        <v>0</v>
      </c>
      <c r="M67" s="30">
        <f>$I$24*$M$24</f>
        <v>0</v>
      </c>
      <c r="N67" s="30">
        <f>$I$24*$N$24</f>
        <v>0</v>
      </c>
      <c r="O67" s="30">
        <f>$I$24*$O$24</f>
        <v>0</v>
      </c>
      <c r="P67" s="30">
        <f>$I$24*$P$24</f>
        <v>812297.64855822839</v>
      </c>
      <c r="Q67" s="30">
        <f>$I$24*$Q$24</f>
        <v>0</v>
      </c>
      <c r="R67" s="30">
        <f>$I$24*$R$24</f>
        <v>0</v>
      </c>
      <c r="S67" s="30">
        <f>$I$24*$S$24</f>
        <v>0</v>
      </c>
      <c r="T67" s="30">
        <f>$I$24*$T$24</f>
        <v>0</v>
      </c>
      <c r="U67" s="30">
        <f>$I$24*$U$24</f>
        <v>0</v>
      </c>
      <c r="W67" s="30">
        <f>$I$24*$W$24</f>
        <v>4.873687864404668E-9</v>
      </c>
      <c r="X67" s="30">
        <f>$I$24*$X$24</f>
        <v>0</v>
      </c>
      <c r="Y67" s="30">
        <f>$I$24*$Y$24</f>
        <v>0</v>
      </c>
      <c r="Z67" s="30">
        <f>$I$24*$Z$24</f>
        <v>0</v>
      </c>
      <c r="AA67" s="30">
        <f>$I$24*$AA$24</f>
        <v>660348.0545434471</v>
      </c>
      <c r="AB67" s="30">
        <f>$I$24*$AB$24</f>
        <v>0</v>
      </c>
      <c r="AC67" s="30">
        <f>$I$24*$AC$24</f>
        <v>0</v>
      </c>
      <c r="AD67" s="30">
        <f>$I$24*$AD$24</f>
        <v>0</v>
      </c>
      <c r="AE67" s="30">
        <f>$I$24*$AE$24</f>
        <v>14169.836287595797</v>
      </c>
      <c r="AF67" s="30">
        <f>$I$24*$AF$24</f>
        <v>0</v>
      </c>
    </row>
    <row r="68" spans="1:32" ht="11.25" customHeight="1" x14ac:dyDescent="0.25">
      <c r="A68" s="9" t="s">
        <v>43</v>
      </c>
      <c r="B68" s="9" t="s">
        <v>983</v>
      </c>
      <c r="C68" s="9" t="s">
        <v>984</v>
      </c>
      <c r="D68" s="9" t="s">
        <v>997</v>
      </c>
      <c r="E68" s="9" t="s">
        <v>998</v>
      </c>
      <c r="F68" s="9" t="s">
        <v>999</v>
      </c>
      <c r="G68" s="9" t="s">
        <v>1000</v>
      </c>
      <c r="L68" s="30">
        <f>$I$25*$L$25</f>
        <v>0</v>
      </c>
      <c r="M68" s="30">
        <f>$I$25*$M$25</f>
        <v>0</v>
      </c>
      <c r="N68" s="30">
        <f>$I$25*$N$25</f>
        <v>0</v>
      </c>
      <c r="O68" s="30">
        <f>$I$25*$O$25</f>
        <v>0</v>
      </c>
      <c r="P68" s="30">
        <f>$I$25*$P$25</f>
        <v>0</v>
      </c>
      <c r="Q68" s="30">
        <f>$I$25*$Q$25</f>
        <v>0</v>
      </c>
      <c r="R68" s="30">
        <f>$I$25*$R$25</f>
        <v>0</v>
      </c>
      <c r="S68" s="30">
        <f>$I$25*$S$25</f>
        <v>0</v>
      </c>
      <c r="T68" s="30">
        <f>$I$25*$T$25</f>
        <v>0</v>
      </c>
      <c r="U68" s="30">
        <f>$I$25*$U$25</f>
        <v>0</v>
      </c>
      <c r="W68" s="30">
        <f>$I$25*$W$25</f>
        <v>0</v>
      </c>
      <c r="X68" s="30">
        <f>$I$25*$X$25</f>
        <v>0</v>
      </c>
      <c r="Y68" s="30">
        <f>$I$25*$Y$25</f>
        <v>0</v>
      </c>
      <c r="Z68" s="30">
        <f>$I$25*$Z$25</f>
        <v>0</v>
      </c>
      <c r="AA68" s="30">
        <f>$I$25*$AA$25</f>
        <v>0</v>
      </c>
      <c r="AB68" s="30">
        <f>$I$25*$AB$25</f>
        <v>0</v>
      </c>
      <c r="AC68" s="30">
        <f>$I$25*$AC$25</f>
        <v>0</v>
      </c>
      <c r="AD68" s="30">
        <f>$I$25*$AD$25</f>
        <v>0</v>
      </c>
      <c r="AE68" s="30">
        <f>$I$25*$AE$25</f>
        <v>0</v>
      </c>
      <c r="AF68" s="30">
        <f>$I$25*$AF$25</f>
        <v>0</v>
      </c>
    </row>
    <row r="69" spans="1:32" ht="11.25" customHeight="1" x14ac:dyDescent="0.25">
      <c r="A69" s="9" t="s">
        <v>43</v>
      </c>
      <c r="B69" s="9" t="s">
        <v>983</v>
      </c>
      <c r="C69" s="9" t="s">
        <v>984</v>
      </c>
      <c r="D69" s="9" t="s">
        <v>997</v>
      </c>
      <c r="E69" s="9" t="s">
        <v>998</v>
      </c>
      <c r="F69" s="9" t="s">
        <v>999</v>
      </c>
      <c r="G69" s="9" t="s">
        <v>1001</v>
      </c>
      <c r="L69" s="30">
        <f>$I$26*$L$26</f>
        <v>0</v>
      </c>
      <c r="M69" s="30">
        <f>$I$26*$M$26</f>
        <v>0</v>
      </c>
      <c r="N69" s="30">
        <f>$I$26*$N$26</f>
        <v>0</v>
      </c>
      <c r="O69" s="30">
        <f>$I$26*$O$26</f>
        <v>0</v>
      </c>
      <c r="P69" s="30">
        <f>$I$26*$P$26</f>
        <v>0</v>
      </c>
      <c r="Q69" s="30">
        <f>$I$26*$Q$26</f>
        <v>0</v>
      </c>
      <c r="R69" s="30">
        <f>$I$26*$R$26</f>
        <v>0</v>
      </c>
      <c r="S69" s="30">
        <f>$I$26*$S$26</f>
        <v>0</v>
      </c>
      <c r="T69" s="30">
        <f>$I$26*$T$26</f>
        <v>0</v>
      </c>
      <c r="U69" s="30">
        <f>$I$26*$U$26</f>
        <v>0</v>
      </c>
      <c r="W69" s="30">
        <f>$I$26*$W$26</f>
        <v>0</v>
      </c>
      <c r="X69" s="30">
        <f>$I$26*$X$26</f>
        <v>0</v>
      </c>
      <c r="Y69" s="30">
        <f>$I$26*$Y$26</f>
        <v>0</v>
      </c>
      <c r="Z69" s="30">
        <f>$I$26*$Z$26</f>
        <v>0</v>
      </c>
      <c r="AA69" s="30">
        <f>$I$26*$AA$26</f>
        <v>0</v>
      </c>
      <c r="AB69" s="30">
        <f>$I$26*$AB$26</f>
        <v>0</v>
      </c>
      <c r="AC69" s="30">
        <f>$I$26*$AC$26</f>
        <v>0</v>
      </c>
      <c r="AD69" s="30">
        <f>$I$26*$AD$26</f>
        <v>0</v>
      </c>
      <c r="AE69" s="30">
        <f>$I$26*$AE$26</f>
        <v>0</v>
      </c>
      <c r="AF69" s="30">
        <f>$I$26*$AF$26</f>
        <v>0</v>
      </c>
    </row>
    <row r="70" spans="1:32" ht="11.25" customHeight="1" x14ac:dyDescent="0.25">
      <c r="A70" s="9" t="s">
        <v>43</v>
      </c>
      <c r="B70" s="9" t="s">
        <v>983</v>
      </c>
      <c r="C70" s="9" t="s">
        <v>984</v>
      </c>
      <c r="D70" s="9" t="s">
        <v>997</v>
      </c>
      <c r="E70" s="9" t="s">
        <v>998</v>
      </c>
      <c r="F70" s="9" t="s">
        <v>999</v>
      </c>
      <c r="G70" s="9" t="s">
        <v>1002</v>
      </c>
      <c r="L70" s="30">
        <f>$I$27*$L$27</f>
        <v>0</v>
      </c>
      <c r="M70" s="30">
        <f>$I$27*$M$27</f>
        <v>0</v>
      </c>
      <c r="N70" s="30">
        <f>$I$27*$N$27</f>
        <v>0</v>
      </c>
      <c r="O70" s="30">
        <f>$I$27*$O$27</f>
        <v>0</v>
      </c>
      <c r="P70" s="30">
        <f>$I$27*$P$27</f>
        <v>0</v>
      </c>
      <c r="Q70" s="30">
        <f>$I$27*$Q$27</f>
        <v>0</v>
      </c>
      <c r="R70" s="30">
        <f>$I$27*$R$27</f>
        <v>0</v>
      </c>
      <c r="S70" s="30">
        <f>$I$27*$S$27</f>
        <v>0</v>
      </c>
      <c r="T70" s="30">
        <f>$I$27*$T$27</f>
        <v>0</v>
      </c>
      <c r="U70" s="30">
        <f>$I$27*$U$27</f>
        <v>0</v>
      </c>
      <c r="W70" s="30">
        <f>$I$27*$W$27</f>
        <v>0</v>
      </c>
      <c r="X70" s="30">
        <f>$I$27*$X$27</f>
        <v>0</v>
      </c>
      <c r="Y70" s="30">
        <f>$I$27*$Y$27</f>
        <v>0</v>
      </c>
      <c r="Z70" s="30">
        <f>$I$27*$Z$27</f>
        <v>0</v>
      </c>
      <c r="AA70" s="30">
        <f>$I$27*$AA$27</f>
        <v>0</v>
      </c>
      <c r="AB70" s="30">
        <f>$I$27*$AB$27</f>
        <v>0</v>
      </c>
      <c r="AC70" s="30">
        <f>$I$27*$AC$27</f>
        <v>0</v>
      </c>
      <c r="AD70" s="30">
        <f>$I$27*$AD$27</f>
        <v>0</v>
      </c>
      <c r="AE70" s="30">
        <f>$I$27*$AE$27</f>
        <v>0</v>
      </c>
      <c r="AF70" s="30">
        <f>$I$27*$AF$27</f>
        <v>0</v>
      </c>
    </row>
    <row r="71" spans="1:32" ht="11.25" customHeight="1" x14ac:dyDescent="0.25">
      <c r="A71" s="9" t="s">
        <v>43</v>
      </c>
      <c r="B71" s="9" t="s">
        <v>991</v>
      </c>
      <c r="C71" s="9" t="s">
        <v>992</v>
      </c>
      <c r="D71" s="9" t="s">
        <v>1003</v>
      </c>
      <c r="E71" s="9" t="s">
        <v>1004</v>
      </c>
      <c r="F71" s="9" t="s">
        <v>1005</v>
      </c>
      <c r="G71" s="9" t="s">
        <v>1006</v>
      </c>
      <c r="L71" s="30">
        <f>$I$28*$L$28</f>
        <v>0</v>
      </c>
      <c r="M71" s="30">
        <f>$I$28*$M$28</f>
        <v>0</v>
      </c>
      <c r="N71" s="30">
        <f>$I$28*$N$28</f>
        <v>0</v>
      </c>
      <c r="O71" s="30">
        <f>$I$28*$O$28</f>
        <v>0</v>
      </c>
      <c r="P71" s="30">
        <f>$I$28*$P$28</f>
        <v>0</v>
      </c>
      <c r="Q71" s="30">
        <f>$I$28*$Q$28</f>
        <v>0</v>
      </c>
      <c r="R71" s="30">
        <f>$I$28*$R$28</f>
        <v>0</v>
      </c>
      <c r="S71" s="30">
        <f>$I$28*$S$28</f>
        <v>0</v>
      </c>
      <c r="T71" s="30">
        <f>$I$28*$T$28</f>
        <v>0</v>
      </c>
      <c r="U71" s="30">
        <f>$I$28*$U$28</f>
        <v>0</v>
      </c>
      <c r="W71" s="30">
        <f>$I$28*$W$28</f>
        <v>0</v>
      </c>
      <c r="X71" s="30">
        <f>$I$28*$X$28</f>
        <v>0</v>
      </c>
      <c r="Y71" s="30">
        <f>$I$28*$Y$28</f>
        <v>0</v>
      </c>
      <c r="Z71" s="30">
        <f>$I$28*$Z$28</f>
        <v>0</v>
      </c>
      <c r="AA71" s="30">
        <f>$I$28*$AA$28</f>
        <v>0</v>
      </c>
      <c r="AB71" s="30">
        <f>$I$28*$AB$28</f>
        <v>0</v>
      </c>
      <c r="AC71" s="30">
        <f>$I$28*$AC$28</f>
        <v>0</v>
      </c>
      <c r="AD71" s="30">
        <f>$I$28*$AD$28</f>
        <v>0</v>
      </c>
      <c r="AE71" s="30">
        <f>$I$28*$AE$28</f>
        <v>0</v>
      </c>
      <c r="AF71" s="30">
        <f>$I$28*$AF$28</f>
        <v>0</v>
      </c>
    </row>
    <row r="72" spans="1:32" ht="11.25" customHeight="1" x14ac:dyDescent="0.25">
      <c r="A72" s="9" t="s">
        <v>43</v>
      </c>
      <c r="B72" s="9" t="s">
        <v>983</v>
      </c>
      <c r="C72" s="9" t="s">
        <v>984</v>
      </c>
      <c r="D72" s="9" t="s">
        <v>1007</v>
      </c>
      <c r="E72" s="9" t="s">
        <v>1008</v>
      </c>
      <c r="F72" s="9" t="s">
        <v>1009</v>
      </c>
      <c r="G72" s="9" t="s">
        <v>1010</v>
      </c>
      <c r="L72" s="30">
        <f>$I$29*$L$29</f>
        <v>0</v>
      </c>
      <c r="M72" s="30">
        <f>$I$29*$M$29</f>
        <v>0</v>
      </c>
      <c r="N72" s="30">
        <f>$I$29*$N$29</f>
        <v>0</v>
      </c>
      <c r="O72" s="30">
        <f>$I$29*$O$29</f>
        <v>0</v>
      </c>
      <c r="P72" s="30">
        <f>$I$29*$P$29</f>
        <v>0</v>
      </c>
      <c r="Q72" s="30">
        <f>$I$29*$Q$29</f>
        <v>0</v>
      </c>
      <c r="R72" s="30">
        <f>$I$29*$R$29</f>
        <v>0</v>
      </c>
      <c r="S72" s="30">
        <f>$I$29*$S$29</f>
        <v>0</v>
      </c>
      <c r="T72" s="30">
        <f>$I$29*$T$29</f>
        <v>0</v>
      </c>
      <c r="U72" s="30">
        <f>$I$29*$U$29</f>
        <v>0</v>
      </c>
      <c r="W72" s="30">
        <f>$I$29*$W$29</f>
        <v>0</v>
      </c>
      <c r="X72" s="30">
        <f>$I$29*$X$29</f>
        <v>0</v>
      </c>
      <c r="Y72" s="30">
        <f>$I$29*$Y$29</f>
        <v>0</v>
      </c>
      <c r="Z72" s="30">
        <f>$I$29*$Z$29</f>
        <v>0</v>
      </c>
      <c r="AA72" s="30">
        <f>$I$29*$AA$29</f>
        <v>0</v>
      </c>
      <c r="AB72" s="30">
        <f>$I$29*$AB$29</f>
        <v>0</v>
      </c>
      <c r="AC72" s="30">
        <f>$I$29*$AC$29</f>
        <v>0</v>
      </c>
      <c r="AD72" s="30">
        <f>$I$29*$AD$29</f>
        <v>0</v>
      </c>
      <c r="AE72" s="30">
        <f>$I$29*$AE$29</f>
        <v>0</v>
      </c>
      <c r="AF72" s="30">
        <f>$I$29*$AF$29</f>
        <v>0</v>
      </c>
    </row>
    <row r="73" spans="1:32" ht="11.25" customHeight="1" x14ac:dyDescent="0.25">
      <c r="A73" s="9" t="s">
        <v>43</v>
      </c>
      <c r="B73" s="9" t="s">
        <v>983</v>
      </c>
      <c r="C73" s="9" t="s">
        <v>984</v>
      </c>
      <c r="D73" s="9" t="s">
        <v>1007</v>
      </c>
      <c r="E73" s="9" t="s">
        <v>1008</v>
      </c>
      <c r="F73" s="9" t="s">
        <v>1009</v>
      </c>
      <c r="G73" s="9" t="s">
        <v>1011</v>
      </c>
      <c r="L73" s="30">
        <f>$I$30*$L$30</f>
        <v>0</v>
      </c>
      <c r="M73" s="30">
        <f>$I$30*$M$30</f>
        <v>0</v>
      </c>
      <c r="N73" s="30">
        <f>$I$30*$N$30</f>
        <v>0</v>
      </c>
      <c r="O73" s="30">
        <f>$I$30*$O$30</f>
        <v>0</v>
      </c>
      <c r="P73" s="30">
        <f>$I$30*$P$30</f>
        <v>0</v>
      </c>
      <c r="Q73" s="30">
        <f>$I$30*$Q$30</f>
        <v>0</v>
      </c>
      <c r="R73" s="30">
        <f>$I$30*$R$30</f>
        <v>0</v>
      </c>
      <c r="S73" s="30">
        <f>$I$30*$S$30</f>
        <v>0</v>
      </c>
      <c r="T73" s="30">
        <f>$I$30*$T$30</f>
        <v>0</v>
      </c>
      <c r="U73" s="30">
        <f>$I$30*$U$30</f>
        <v>0</v>
      </c>
      <c r="W73" s="30">
        <f>$I$30*$W$30</f>
        <v>0</v>
      </c>
      <c r="X73" s="30">
        <f>$I$30*$X$30</f>
        <v>0</v>
      </c>
      <c r="Y73" s="30">
        <f>$I$30*$Y$30</f>
        <v>0</v>
      </c>
      <c r="Z73" s="30">
        <f>$I$30*$Z$30</f>
        <v>0</v>
      </c>
      <c r="AA73" s="30">
        <f>$I$30*$AA$30</f>
        <v>0</v>
      </c>
      <c r="AB73" s="30">
        <f>$I$30*$AB$30</f>
        <v>0</v>
      </c>
      <c r="AC73" s="30">
        <f>$I$30*$AC$30</f>
        <v>0</v>
      </c>
      <c r="AD73" s="30">
        <f>$I$30*$AD$30</f>
        <v>0</v>
      </c>
      <c r="AE73" s="30">
        <f>$I$30*$AE$30</f>
        <v>0</v>
      </c>
      <c r="AF73" s="30">
        <f>$I$30*$AF$30</f>
        <v>0</v>
      </c>
    </row>
    <row r="74" spans="1:32" ht="11.25" customHeight="1" x14ac:dyDescent="0.25">
      <c r="A74" s="9" t="s">
        <v>43</v>
      </c>
      <c r="B74" s="9" t="s">
        <v>983</v>
      </c>
      <c r="C74" s="9" t="s">
        <v>984</v>
      </c>
      <c r="D74" s="9" t="s">
        <v>1007</v>
      </c>
      <c r="E74" s="9" t="s">
        <v>1008</v>
      </c>
      <c r="F74" s="9" t="s">
        <v>1009</v>
      </c>
      <c r="G74" s="9" t="s">
        <v>1012</v>
      </c>
      <c r="L74" s="30">
        <f>$I$31*$L$31</f>
        <v>0</v>
      </c>
      <c r="M74" s="30">
        <f>$I$31*$M$31</f>
        <v>0</v>
      </c>
      <c r="N74" s="30">
        <f>$I$31*$N$31</f>
        <v>0</v>
      </c>
      <c r="O74" s="30">
        <f>$I$31*$O$31</f>
        <v>0</v>
      </c>
      <c r="P74" s="30">
        <f>$I$31*$P$31</f>
        <v>0</v>
      </c>
      <c r="Q74" s="30">
        <f>$I$31*$Q$31</f>
        <v>0</v>
      </c>
      <c r="R74" s="30">
        <f>$I$31*$R$31</f>
        <v>0</v>
      </c>
      <c r="S74" s="30">
        <f>$I$31*$S$31</f>
        <v>0</v>
      </c>
      <c r="T74" s="30">
        <f>$I$31*$T$31</f>
        <v>0</v>
      </c>
      <c r="U74" s="30">
        <f>$I$31*$U$31</f>
        <v>0</v>
      </c>
      <c r="W74" s="30">
        <f>$I$31*$W$31</f>
        <v>0</v>
      </c>
      <c r="X74" s="30">
        <f>$I$31*$X$31</f>
        <v>0</v>
      </c>
      <c r="Y74" s="30">
        <f>$I$31*$Y$31</f>
        <v>0</v>
      </c>
      <c r="Z74" s="30">
        <f>$I$31*$Z$31</f>
        <v>0</v>
      </c>
      <c r="AA74" s="30">
        <f>$I$31*$AA$31</f>
        <v>0</v>
      </c>
      <c r="AB74" s="30">
        <f>$I$31*$AB$31</f>
        <v>0</v>
      </c>
      <c r="AC74" s="30">
        <f>$I$31*$AC$31</f>
        <v>0</v>
      </c>
      <c r="AD74" s="30">
        <f>$I$31*$AD$31</f>
        <v>0</v>
      </c>
      <c r="AE74" s="30">
        <f>$I$31*$AE$31</f>
        <v>0</v>
      </c>
      <c r="AF74" s="30">
        <f>$I$31*$AF$31</f>
        <v>0</v>
      </c>
    </row>
    <row r="75" spans="1:32" ht="11.25" customHeight="1" x14ac:dyDescent="0.25">
      <c r="A75" s="9" t="s">
        <v>43</v>
      </c>
      <c r="B75" s="9" t="s">
        <v>991</v>
      </c>
      <c r="C75" s="9" t="s">
        <v>992</v>
      </c>
      <c r="D75" s="9" t="s">
        <v>1013</v>
      </c>
      <c r="E75" s="9" t="s">
        <v>1014</v>
      </c>
      <c r="F75" s="9" t="s">
        <v>1015</v>
      </c>
      <c r="G75" s="9" t="s">
        <v>1016</v>
      </c>
      <c r="L75" s="30">
        <f>$I$32*$L$32</f>
        <v>0</v>
      </c>
      <c r="M75" s="30">
        <f>$I$32*$M$32</f>
        <v>0</v>
      </c>
      <c r="N75" s="30">
        <f>$I$32*$N$32</f>
        <v>0</v>
      </c>
      <c r="O75" s="30">
        <f>$I$32*$O$32</f>
        <v>0</v>
      </c>
      <c r="P75" s="30">
        <f>$I$32*$P$32</f>
        <v>0</v>
      </c>
      <c r="Q75" s="30">
        <f>$I$32*$Q$32</f>
        <v>0</v>
      </c>
      <c r="R75" s="30">
        <f>$I$32*$R$32</f>
        <v>0</v>
      </c>
      <c r="S75" s="30">
        <f>$I$32*$S$32</f>
        <v>0</v>
      </c>
      <c r="T75" s="30">
        <f>$I$32*$T$32</f>
        <v>0</v>
      </c>
      <c r="U75" s="30">
        <f>$I$32*$U$32</f>
        <v>0</v>
      </c>
      <c r="W75" s="30">
        <f>$I$32*$W$32</f>
        <v>0</v>
      </c>
      <c r="X75" s="30">
        <f>$I$32*$X$32</f>
        <v>0</v>
      </c>
      <c r="Y75" s="30">
        <f>$I$32*$Y$32</f>
        <v>0</v>
      </c>
      <c r="Z75" s="30">
        <f>$I$32*$Z$32</f>
        <v>0</v>
      </c>
      <c r="AA75" s="30">
        <f>$I$32*$AA$32</f>
        <v>0</v>
      </c>
      <c r="AB75" s="30">
        <f>$I$32*$AB$32</f>
        <v>0</v>
      </c>
      <c r="AC75" s="30">
        <f>$I$32*$AC$32</f>
        <v>0</v>
      </c>
      <c r="AD75" s="30">
        <f>$I$32*$AD$32</f>
        <v>0</v>
      </c>
      <c r="AE75" s="30">
        <f>$I$32*$AE$32</f>
        <v>0</v>
      </c>
      <c r="AF75" s="30">
        <f>$I$32*$AF$32</f>
        <v>0</v>
      </c>
    </row>
    <row r="76" spans="1:32" ht="11.25" customHeight="1" x14ac:dyDescent="0.25">
      <c r="A76" s="9" t="s">
        <v>43</v>
      </c>
      <c r="B76" s="9" t="s">
        <v>1017</v>
      </c>
      <c r="C76" s="9" t="s">
        <v>1018</v>
      </c>
      <c r="D76" s="9" t="s">
        <v>1019</v>
      </c>
      <c r="E76" s="9" t="s">
        <v>1020</v>
      </c>
      <c r="F76" s="9" t="s">
        <v>1021</v>
      </c>
      <c r="G76" s="9" t="s">
        <v>1022</v>
      </c>
      <c r="L76" s="30">
        <f>$I$33*$L$33</f>
        <v>0</v>
      </c>
      <c r="M76" s="30">
        <f>$I$33*$M$33</f>
        <v>0</v>
      </c>
      <c r="N76" s="30">
        <f>$I$33*$N$33</f>
        <v>0</v>
      </c>
      <c r="O76" s="30">
        <f>$I$33*$O$33</f>
        <v>0</v>
      </c>
      <c r="P76" s="30">
        <f>$I$33*$P$33</f>
        <v>0</v>
      </c>
      <c r="Q76" s="30">
        <f>$I$33*$Q$33</f>
        <v>0</v>
      </c>
      <c r="R76" s="30">
        <f>$I$33*$R$33</f>
        <v>0</v>
      </c>
      <c r="S76" s="30">
        <f>$I$33*$S$33</f>
        <v>0</v>
      </c>
      <c r="T76" s="30">
        <f>$I$33*$T$33</f>
        <v>0</v>
      </c>
      <c r="U76" s="30">
        <f>$I$33*$U$33</f>
        <v>0</v>
      </c>
      <c r="W76" s="30">
        <f>$I$33*$W$33</f>
        <v>0</v>
      </c>
      <c r="X76" s="30">
        <f>$I$33*$X$33</f>
        <v>0</v>
      </c>
      <c r="Y76" s="30">
        <f>$I$33*$Y$33</f>
        <v>0</v>
      </c>
      <c r="Z76" s="30">
        <f>$I$33*$Z$33</f>
        <v>0</v>
      </c>
      <c r="AA76" s="30">
        <f>$I$33*$AA$33</f>
        <v>0</v>
      </c>
      <c r="AB76" s="30">
        <f>$I$33*$AB$33</f>
        <v>0</v>
      </c>
      <c r="AC76" s="30">
        <f>$I$33*$AC$33</f>
        <v>0</v>
      </c>
      <c r="AD76" s="30">
        <f>$I$33*$AD$33</f>
        <v>0</v>
      </c>
      <c r="AE76" s="30">
        <f>$I$33*$AE$33</f>
        <v>0</v>
      </c>
      <c r="AF76" s="30">
        <f>$I$33*$AF$33</f>
        <v>0</v>
      </c>
    </row>
    <row r="77" spans="1:32" ht="11.25" customHeight="1" x14ac:dyDescent="0.25">
      <c r="A77" s="9" t="s">
        <v>43</v>
      </c>
      <c r="B77" s="9" t="s">
        <v>1017</v>
      </c>
      <c r="C77" s="9" t="s">
        <v>1018</v>
      </c>
      <c r="D77" s="9" t="s">
        <v>1023</v>
      </c>
      <c r="E77" s="9" t="s">
        <v>1024</v>
      </c>
      <c r="F77" s="9" t="s">
        <v>1025</v>
      </c>
      <c r="G77" s="9" t="s">
        <v>1026</v>
      </c>
      <c r="L77" s="30">
        <f>$I$34*$L$34</f>
        <v>0</v>
      </c>
      <c r="M77" s="30">
        <f>$I$34*$M$34</f>
        <v>0</v>
      </c>
      <c r="N77" s="30">
        <f>$I$34*$N$34</f>
        <v>0</v>
      </c>
      <c r="O77" s="30">
        <f>$I$34*$O$34</f>
        <v>0</v>
      </c>
      <c r="P77" s="30">
        <f>$I$34*$P$34</f>
        <v>0</v>
      </c>
      <c r="Q77" s="30">
        <f>$I$34*$Q$34</f>
        <v>0</v>
      </c>
      <c r="R77" s="30">
        <f>$I$34*$R$34</f>
        <v>0</v>
      </c>
      <c r="S77" s="30">
        <f>$I$34*$S$34</f>
        <v>0</v>
      </c>
      <c r="T77" s="30">
        <f>$I$34*$T$34</f>
        <v>0</v>
      </c>
      <c r="U77" s="30">
        <f>$I$34*$U$34</f>
        <v>0</v>
      </c>
      <c r="W77" s="30">
        <f>$I$34*$W$34</f>
        <v>0</v>
      </c>
      <c r="X77" s="30">
        <f>$I$34*$X$34</f>
        <v>0</v>
      </c>
      <c r="Y77" s="30">
        <f>$I$34*$Y$34</f>
        <v>0</v>
      </c>
      <c r="Z77" s="30">
        <f>$I$34*$Z$34</f>
        <v>0</v>
      </c>
      <c r="AA77" s="30">
        <f>$I$34*$AA$34</f>
        <v>0</v>
      </c>
      <c r="AB77" s="30">
        <f>$I$34*$AB$34</f>
        <v>0</v>
      </c>
      <c r="AC77" s="30">
        <f>$I$34*$AC$34</f>
        <v>0</v>
      </c>
      <c r="AD77" s="30">
        <f>$I$34*$AD$34</f>
        <v>0</v>
      </c>
      <c r="AE77" s="30">
        <f>$I$34*$AE$34</f>
        <v>0</v>
      </c>
      <c r="AF77" s="30">
        <f>$I$34*$AF$34</f>
        <v>0</v>
      </c>
    </row>
    <row r="78" spans="1:32" ht="11.25" customHeight="1" x14ac:dyDescent="0.25">
      <c r="A78" s="9" t="s">
        <v>43</v>
      </c>
      <c r="B78" s="9" t="s">
        <v>1017</v>
      </c>
      <c r="C78" s="9" t="s">
        <v>1018</v>
      </c>
      <c r="D78" s="9" t="s">
        <v>1027</v>
      </c>
      <c r="E78" s="9" t="s">
        <v>1028</v>
      </c>
      <c r="F78" s="9" t="s">
        <v>1029</v>
      </c>
      <c r="G78" s="9" t="s">
        <v>1030</v>
      </c>
      <c r="L78" s="30">
        <f>$I$35*$L$35</f>
        <v>0</v>
      </c>
      <c r="M78" s="30">
        <f>$I$35*$M$35</f>
        <v>0</v>
      </c>
      <c r="N78" s="30">
        <f>$I$35*$N$35</f>
        <v>0</v>
      </c>
      <c r="O78" s="30">
        <f>$I$35*$O$35</f>
        <v>0</v>
      </c>
      <c r="P78" s="30">
        <f>$I$35*$P$35</f>
        <v>0</v>
      </c>
      <c r="Q78" s="30">
        <f>$I$35*$Q$35</f>
        <v>0</v>
      </c>
      <c r="R78" s="30">
        <f>$I$35*$R$35</f>
        <v>0</v>
      </c>
      <c r="S78" s="30">
        <f>$I$35*$S$35</f>
        <v>0</v>
      </c>
      <c r="T78" s="30">
        <f>$I$35*$T$35</f>
        <v>0</v>
      </c>
      <c r="U78" s="30">
        <f>$I$35*$U$35</f>
        <v>0</v>
      </c>
      <c r="W78" s="30">
        <f>$I$35*$W$35</f>
        <v>0</v>
      </c>
      <c r="X78" s="30">
        <f>$I$35*$X$35</f>
        <v>0</v>
      </c>
      <c r="Y78" s="30">
        <f>$I$35*$Y$35</f>
        <v>0</v>
      </c>
      <c r="Z78" s="30">
        <f>$I$35*$Z$35</f>
        <v>0</v>
      </c>
      <c r="AA78" s="30">
        <f>$I$35*$AA$35</f>
        <v>0</v>
      </c>
      <c r="AB78" s="30">
        <f>$I$35*$AB$35</f>
        <v>0</v>
      </c>
      <c r="AC78" s="30">
        <f>$I$35*$AC$35</f>
        <v>0</v>
      </c>
      <c r="AD78" s="30">
        <f>$I$35*$AD$35</f>
        <v>0</v>
      </c>
      <c r="AE78" s="30">
        <f>$I$35*$AE$35</f>
        <v>0</v>
      </c>
      <c r="AF78" s="30">
        <f>$I$35*$AF$35</f>
        <v>0</v>
      </c>
    </row>
    <row r="79" spans="1:32" ht="11.25" customHeight="1" x14ac:dyDescent="0.25">
      <c r="A79" s="9" t="s">
        <v>39</v>
      </c>
      <c r="B79" s="9" t="s">
        <v>1031</v>
      </c>
      <c r="C79" s="9" t="s">
        <v>1032</v>
      </c>
      <c r="D79" s="9" t="s">
        <v>1033</v>
      </c>
      <c r="E79" s="9" t="s">
        <v>1034</v>
      </c>
      <c r="F79" s="9" t="s">
        <v>1035</v>
      </c>
      <c r="G79" s="9" t="s">
        <v>1036</v>
      </c>
      <c r="L79" s="30">
        <f>$I$36*$L$36</f>
        <v>0</v>
      </c>
      <c r="M79" s="30">
        <f>$I$36*$M$36</f>
        <v>0</v>
      </c>
      <c r="N79" s="30">
        <f>$I$36*$N$36</f>
        <v>0</v>
      </c>
      <c r="O79" s="30">
        <f>$I$36*$O$36</f>
        <v>0</v>
      </c>
      <c r="P79" s="30">
        <f>$I$36*$P$36</f>
        <v>0</v>
      </c>
      <c r="Q79" s="30">
        <f>$I$36*$Q$36</f>
        <v>0</v>
      </c>
      <c r="R79" s="30">
        <f>$I$36*$R$36</f>
        <v>0</v>
      </c>
      <c r="S79" s="30">
        <f>$I$36*$S$36</f>
        <v>0</v>
      </c>
      <c r="T79" s="30">
        <f>$I$36*$T$36</f>
        <v>0</v>
      </c>
      <c r="U79" s="30">
        <f>$I$36*$U$36</f>
        <v>0</v>
      </c>
      <c r="W79" s="30">
        <f>$I$36*$W$36</f>
        <v>0</v>
      </c>
      <c r="X79" s="30">
        <f>$I$36*$X$36</f>
        <v>0</v>
      </c>
      <c r="Y79" s="30">
        <f>$I$36*$Y$36</f>
        <v>0</v>
      </c>
      <c r="Z79" s="30">
        <f>$I$36*$Z$36</f>
        <v>0</v>
      </c>
      <c r="AA79" s="30">
        <f>$I$36*$AA$36</f>
        <v>0</v>
      </c>
      <c r="AB79" s="30">
        <f>$I$36*$AB$36</f>
        <v>0</v>
      </c>
      <c r="AC79" s="30">
        <f>$I$36*$AC$36</f>
        <v>0</v>
      </c>
      <c r="AD79" s="30">
        <f>$I$36*$AD$36</f>
        <v>0</v>
      </c>
      <c r="AE79" s="30">
        <f>$I$36*$AE$36</f>
        <v>0</v>
      </c>
      <c r="AF79" s="30">
        <f>$I$36*$AF$36</f>
        <v>0</v>
      </c>
    </row>
    <row r="80" spans="1:32" ht="11.25" customHeight="1" x14ac:dyDescent="0.25">
      <c r="A80" s="9" t="s">
        <v>39</v>
      </c>
      <c r="B80" s="9" t="s">
        <v>1031</v>
      </c>
      <c r="C80" s="9" t="s">
        <v>1032</v>
      </c>
      <c r="D80" s="9" t="s">
        <v>1033</v>
      </c>
      <c r="E80" s="9" t="s">
        <v>1034</v>
      </c>
      <c r="F80" s="9" t="s">
        <v>1035</v>
      </c>
      <c r="G80" s="9" t="s">
        <v>1037</v>
      </c>
      <c r="L80" s="30">
        <f>$I$37*$L$37</f>
        <v>0</v>
      </c>
      <c r="M80" s="30">
        <f>$I$37*$M$37</f>
        <v>0</v>
      </c>
      <c r="N80" s="30">
        <f>$I$37*$N$37</f>
        <v>0</v>
      </c>
      <c r="O80" s="30">
        <f>$I$37*$O$37</f>
        <v>0</v>
      </c>
      <c r="P80" s="30">
        <f>$I$37*$P$37</f>
        <v>0</v>
      </c>
      <c r="Q80" s="30">
        <f>$I$37*$Q$37</f>
        <v>0</v>
      </c>
      <c r="R80" s="30">
        <f>$I$37*$R$37</f>
        <v>0</v>
      </c>
      <c r="S80" s="30">
        <f>$I$37*$S$37</f>
        <v>0</v>
      </c>
      <c r="T80" s="30">
        <f>$I$37*$T$37</f>
        <v>0</v>
      </c>
      <c r="U80" s="30">
        <f>$I$37*$U$37</f>
        <v>0</v>
      </c>
      <c r="W80" s="30">
        <f>$I$37*$W$37</f>
        <v>0</v>
      </c>
      <c r="X80" s="30">
        <f>$I$37*$X$37</f>
        <v>0</v>
      </c>
      <c r="Y80" s="30">
        <f>$I$37*$Y$37</f>
        <v>0</v>
      </c>
      <c r="Z80" s="30">
        <f>$I$37*$Z$37</f>
        <v>0</v>
      </c>
      <c r="AA80" s="30">
        <f>$I$37*$AA$37</f>
        <v>0</v>
      </c>
      <c r="AB80" s="30">
        <f>$I$37*$AB$37</f>
        <v>0</v>
      </c>
      <c r="AC80" s="30">
        <f>$I$37*$AC$37</f>
        <v>0</v>
      </c>
      <c r="AD80" s="30">
        <f>$I$37*$AD$37</f>
        <v>0</v>
      </c>
      <c r="AE80" s="30">
        <f>$I$37*$AE$37</f>
        <v>0</v>
      </c>
      <c r="AF80" s="30">
        <f>$I$37*$AF$37</f>
        <v>0</v>
      </c>
    </row>
    <row r="81" spans="1:32" ht="11.25" customHeight="1" x14ac:dyDescent="0.25">
      <c r="A81" s="9" t="s">
        <v>39</v>
      </c>
      <c r="B81" s="9" t="s">
        <v>1031</v>
      </c>
      <c r="C81" s="9" t="s">
        <v>1032</v>
      </c>
      <c r="D81" s="9" t="s">
        <v>1033</v>
      </c>
      <c r="E81" s="9" t="s">
        <v>1034</v>
      </c>
      <c r="F81" s="9" t="s">
        <v>1035</v>
      </c>
      <c r="G81" s="9" t="s">
        <v>1038</v>
      </c>
      <c r="L81" s="30">
        <f>$I$38*$L$38</f>
        <v>0</v>
      </c>
      <c r="M81" s="30">
        <f>$I$38*$M$38</f>
        <v>0</v>
      </c>
      <c r="N81" s="30">
        <f>$I$38*$N$38</f>
        <v>0</v>
      </c>
      <c r="O81" s="30">
        <f>$I$38*$O$38</f>
        <v>0</v>
      </c>
      <c r="P81" s="30">
        <f>$I$38*$P$38</f>
        <v>0</v>
      </c>
      <c r="Q81" s="30">
        <f>$I$38*$Q$38</f>
        <v>0</v>
      </c>
      <c r="R81" s="30">
        <f>$I$38*$R$38</f>
        <v>0</v>
      </c>
      <c r="S81" s="30">
        <f>$I$38*$S$38</f>
        <v>0</v>
      </c>
      <c r="T81" s="30">
        <f>$I$38*$T$38</f>
        <v>0</v>
      </c>
      <c r="U81" s="30">
        <f>$I$38*$U$38</f>
        <v>0</v>
      </c>
      <c r="W81" s="30">
        <f>$I$38*$W$38</f>
        <v>0</v>
      </c>
      <c r="X81" s="30">
        <f>$I$38*$X$38</f>
        <v>0</v>
      </c>
      <c r="Y81" s="30">
        <f>$I$38*$Y$38</f>
        <v>0</v>
      </c>
      <c r="Z81" s="30">
        <f>$I$38*$Z$38</f>
        <v>0</v>
      </c>
      <c r="AA81" s="30">
        <f>$I$38*$AA$38</f>
        <v>0</v>
      </c>
      <c r="AB81" s="30">
        <f>$I$38*$AB$38</f>
        <v>0</v>
      </c>
      <c r="AC81" s="30">
        <f>$I$38*$AC$38</f>
        <v>0</v>
      </c>
      <c r="AD81" s="30">
        <f>$I$38*$AD$38</f>
        <v>0</v>
      </c>
      <c r="AE81" s="30">
        <f>$I$38*$AE$38</f>
        <v>0</v>
      </c>
      <c r="AF81" s="30">
        <f>$I$38*$AF$38</f>
        <v>0</v>
      </c>
    </row>
    <row r="82" spans="1:32" ht="11.25" customHeight="1" x14ac:dyDescent="0.25">
      <c r="A82" s="9" t="s">
        <v>39</v>
      </c>
      <c r="B82" s="9" t="s">
        <v>1039</v>
      </c>
      <c r="C82" s="9" t="s">
        <v>1040</v>
      </c>
      <c r="D82" s="9" t="s">
        <v>1041</v>
      </c>
      <c r="E82" s="9" t="s">
        <v>1042</v>
      </c>
      <c r="F82" s="9" t="s">
        <v>1043</v>
      </c>
      <c r="G82" s="9" t="s">
        <v>1044</v>
      </c>
      <c r="L82" s="30">
        <f>$I$39*$L$39</f>
        <v>0</v>
      </c>
      <c r="M82" s="30">
        <f>$I$39*$M$39</f>
        <v>0</v>
      </c>
      <c r="N82" s="30">
        <f>$I$39*$N$39</f>
        <v>0</v>
      </c>
      <c r="O82" s="30">
        <f>$I$39*$O$39</f>
        <v>0</v>
      </c>
      <c r="P82" s="30">
        <f>$I$39*$P$39</f>
        <v>1205500.9742389615</v>
      </c>
      <c r="Q82" s="30">
        <f>$I$39*$Q$39</f>
        <v>0</v>
      </c>
      <c r="R82" s="30">
        <f>$I$39*$R$39</f>
        <v>0</v>
      </c>
      <c r="S82" s="30">
        <f>$I$39*$S$39</f>
        <v>0</v>
      </c>
      <c r="T82" s="30">
        <f>$I$39*$T$39</f>
        <v>0</v>
      </c>
      <c r="U82" s="30">
        <f>$I$39*$U$39</f>
        <v>0</v>
      </c>
      <c r="W82" s="30">
        <f>$I$39*$W$39</f>
        <v>7.7260099377564794E-9</v>
      </c>
      <c r="X82" s="30">
        <f>$I$39*$X$39</f>
        <v>0</v>
      </c>
      <c r="Y82" s="30">
        <f>$I$39*$Y$39</f>
        <v>0</v>
      </c>
      <c r="Z82" s="30">
        <f>$I$39*$Z$39</f>
        <v>0</v>
      </c>
      <c r="AA82" s="30">
        <f>$I$39*$AA$39</f>
        <v>1046816.2454642612</v>
      </c>
      <c r="AB82" s="30">
        <f>$I$39*$AB$39</f>
        <v>0</v>
      </c>
      <c r="AC82" s="30">
        <f>$I$39*$AC$39</f>
        <v>0</v>
      </c>
      <c r="AD82" s="30">
        <f>$I$39*$AD$39</f>
        <v>0</v>
      </c>
      <c r="AE82" s="30">
        <f>$I$39*$AE$39</f>
        <v>22462.722074163947</v>
      </c>
      <c r="AF82" s="30">
        <f>$I$39*$AF$39</f>
        <v>0</v>
      </c>
    </row>
    <row r="83" spans="1:32" ht="11.25" customHeight="1" x14ac:dyDescent="0.25">
      <c r="A83" s="9" t="s">
        <v>39</v>
      </c>
      <c r="B83" s="9" t="s">
        <v>1045</v>
      </c>
      <c r="C83" s="9" t="s">
        <v>1046</v>
      </c>
      <c r="D83" s="9" t="s">
        <v>1047</v>
      </c>
      <c r="E83" s="9" t="s">
        <v>1048</v>
      </c>
      <c r="F83" s="9" t="s">
        <v>1049</v>
      </c>
      <c r="G83" s="9" t="s">
        <v>1050</v>
      </c>
      <c r="L83" s="30">
        <f>$I$40*$L$40</f>
        <v>0</v>
      </c>
      <c r="M83" s="30">
        <f>$I$40*$M$40</f>
        <v>0</v>
      </c>
      <c r="N83" s="30">
        <f>$I$40*$N$40</f>
        <v>0</v>
      </c>
      <c r="O83" s="30">
        <f>$I$40*$O$40</f>
        <v>0</v>
      </c>
      <c r="P83" s="30">
        <f>$I$40*$P$40</f>
        <v>0</v>
      </c>
      <c r="Q83" s="30">
        <f>$I$40*$Q$40</f>
        <v>0</v>
      </c>
      <c r="R83" s="30">
        <f>$I$40*$R$40</f>
        <v>0</v>
      </c>
      <c r="S83" s="30">
        <f>$I$40*$S$40</f>
        <v>0</v>
      </c>
      <c r="T83" s="30">
        <f>$I$40*$T$40</f>
        <v>0</v>
      </c>
      <c r="U83" s="30">
        <f>$I$40*$U$40</f>
        <v>0</v>
      </c>
      <c r="W83" s="30">
        <f>$I$40*$W$40</f>
        <v>0</v>
      </c>
      <c r="X83" s="30">
        <f>$I$40*$X$40</f>
        <v>0</v>
      </c>
      <c r="Y83" s="30">
        <f>$I$40*$Y$40</f>
        <v>0</v>
      </c>
      <c r="Z83" s="30">
        <f>$I$40*$Z$40</f>
        <v>0</v>
      </c>
      <c r="AA83" s="30">
        <f>$I$40*$AA$40</f>
        <v>0</v>
      </c>
      <c r="AB83" s="30">
        <f>$I$40*$AB$40</f>
        <v>0</v>
      </c>
      <c r="AC83" s="30">
        <f>$I$40*$AC$40</f>
        <v>0</v>
      </c>
      <c r="AD83" s="30">
        <f>$I$40*$AD$40</f>
        <v>0</v>
      </c>
      <c r="AE83" s="30">
        <f>$I$40*$AE$40</f>
        <v>0</v>
      </c>
      <c r="AF83" s="30">
        <f>$I$40*$AF$40</f>
        <v>0</v>
      </c>
    </row>
    <row r="84" spans="1:32" ht="11.25" customHeight="1" x14ac:dyDescent="0.25">
      <c r="A84" s="9" t="s">
        <v>46</v>
      </c>
      <c r="B84" s="9" t="s">
        <v>1051</v>
      </c>
      <c r="C84" s="9" t="s">
        <v>1052</v>
      </c>
      <c r="D84" s="9" t="s">
        <v>1053</v>
      </c>
      <c r="E84" s="9" t="s">
        <v>1054</v>
      </c>
      <c r="F84" s="9" t="s">
        <v>1055</v>
      </c>
      <c r="G84" s="9" t="s">
        <v>1056</v>
      </c>
      <c r="L84" s="30">
        <f>$I$41*$L$41</f>
        <v>0</v>
      </c>
      <c r="M84" s="30">
        <f>$I$41*$M$41</f>
        <v>0</v>
      </c>
      <c r="N84" s="30">
        <f>$I$41*$N$41</f>
        <v>0</v>
      </c>
      <c r="O84" s="30">
        <f>$I$41*$O$41</f>
        <v>0</v>
      </c>
      <c r="P84" s="30">
        <f>$I$41*$P$41</f>
        <v>480123.56211540737</v>
      </c>
      <c r="Q84" s="30">
        <f>$I$41*$Q$41</f>
        <v>0</v>
      </c>
      <c r="R84" s="30">
        <f>$I$41*$R$41</f>
        <v>0</v>
      </c>
      <c r="S84" s="30">
        <f>$I$41*$S$41</f>
        <v>0</v>
      </c>
      <c r="T84" s="30">
        <f>$I$41*$T$41</f>
        <v>0</v>
      </c>
      <c r="U84" s="30">
        <f>$I$41*$U$41</f>
        <v>0</v>
      </c>
      <c r="W84" s="30">
        <f>$I$41*$W$41</f>
        <v>3.0770936660556879E-9</v>
      </c>
      <c r="X84" s="30">
        <f>$I$41*$X$41</f>
        <v>0</v>
      </c>
      <c r="Y84" s="30">
        <f>$I$41*$Y$41</f>
        <v>0</v>
      </c>
      <c r="Z84" s="30">
        <f>$I$41*$Z$41</f>
        <v>0</v>
      </c>
      <c r="AA84" s="30">
        <f>$I$41*$AA$41</f>
        <v>416923.05140597105</v>
      </c>
      <c r="AB84" s="30">
        <f>$I$41*$AB$41</f>
        <v>0</v>
      </c>
      <c r="AC84" s="30">
        <f>$I$41*$AC$41</f>
        <v>0</v>
      </c>
      <c r="AD84" s="30">
        <f>$I$41*$AD$41</f>
        <v>0</v>
      </c>
      <c r="AE84" s="30">
        <f>$I$41*$AE$41</f>
        <v>8946.3902290618335</v>
      </c>
      <c r="AF84" s="30">
        <f>$I$41*$AF$41</f>
        <v>0</v>
      </c>
    </row>
    <row r="85" spans="1:32" ht="11.25" customHeight="1" x14ac:dyDescent="0.25">
      <c r="A85" s="9" t="s">
        <v>46</v>
      </c>
      <c r="B85" s="9" t="s">
        <v>1051</v>
      </c>
      <c r="C85" s="9" t="s">
        <v>1052</v>
      </c>
      <c r="D85" s="9" t="s">
        <v>1057</v>
      </c>
      <c r="E85" s="9" t="s">
        <v>1058</v>
      </c>
      <c r="F85" s="9" t="s">
        <v>1059</v>
      </c>
      <c r="G85" s="9" t="s">
        <v>1060</v>
      </c>
      <c r="L85" s="30">
        <f>$I$42*$L$42</f>
        <v>0</v>
      </c>
      <c r="M85" s="30">
        <f>$I$42*$M$42</f>
        <v>0</v>
      </c>
      <c r="N85" s="30">
        <f>$I$42*$N$42</f>
        <v>0</v>
      </c>
      <c r="O85" s="30">
        <f>$I$42*$O$42</f>
        <v>0</v>
      </c>
      <c r="P85" s="30">
        <f>$I$42*$P$42</f>
        <v>0</v>
      </c>
      <c r="Q85" s="30">
        <f>$I$42*$Q$42</f>
        <v>0</v>
      </c>
      <c r="R85" s="30">
        <f>$I$42*$R$42</f>
        <v>0</v>
      </c>
      <c r="S85" s="30">
        <f>$I$42*$S$42</f>
        <v>0</v>
      </c>
      <c r="T85" s="30">
        <f>$I$42*$T$42</f>
        <v>0</v>
      </c>
      <c r="U85" s="30">
        <f>$I$42*$U$42</f>
        <v>0</v>
      </c>
      <c r="W85" s="30">
        <f>$I$42*$W$42</f>
        <v>0</v>
      </c>
      <c r="X85" s="30">
        <f>$I$42*$X$42</f>
        <v>0</v>
      </c>
      <c r="Y85" s="30">
        <f>$I$42*$Y$42</f>
        <v>0</v>
      </c>
      <c r="Z85" s="30">
        <f>$I$42*$Z$42</f>
        <v>0</v>
      </c>
      <c r="AA85" s="30">
        <f>$I$42*$AA$42</f>
        <v>0</v>
      </c>
      <c r="AB85" s="30">
        <f>$I$42*$AB$42</f>
        <v>0</v>
      </c>
      <c r="AC85" s="30">
        <f>$I$42*$AC$42</f>
        <v>0</v>
      </c>
      <c r="AD85" s="30">
        <f>$I$42*$AD$42</f>
        <v>0</v>
      </c>
      <c r="AE85" s="30">
        <f>$I$42*$AE$42</f>
        <v>0</v>
      </c>
      <c r="AF85" s="30">
        <f>$I$42*$AF$42</f>
        <v>0</v>
      </c>
    </row>
  </sheetData>
  <mergeCells count="69">
    <mergeCell ref="F1:F4"/>
    <mergeCell ref="A1:A4"/>
    <mergeCell ref="B1:B4"/>
    <mergeCell ref="C1:C4"/>
    <mergeCell ref="D1:D4"/>
    <mergeCell ref="E1:E4"/>
    <mergeCell ref="H1:H4"/>
    <mergeCell ref="I1:I4"/>
    <mergeCell ref="J1:J4"/>
    <mergeCell ref="L1:U1"/>
    <mergeCell ref="L2:U2"/>
    <mergeCell ref="L3:O3"/>
    <mergeCell ref="Q3:S3"/>
    <mergeCell ref="A5:A7"/>
    <mergeCell ref="B5:B6"/>
    <mergeCell ref="C5:C6"/>
    <mergeCell ref="D5:D6"/>
    <mergeCell ref="E5:E6"/>
    <mergeCell ref="A8:A20"/>
    <mergeCell ref="B8:B10"/>
    <mergeCell ref="C8:C10"/>
    <mergeCell ref="D8:D10"/>
    <mergeCell ref="E8:E10"/>
    <mergeCell ref="B11:B15"/>
    <mergeCell ref="C11:C15"/>
    <mergeCell ref="B16:B20"/>
    <mergeCell ref="C16:C20"/>
    <mergeCell ref="A21:A35"/>
    <mergeCell ref="B21:B23"/>
    <mergeCell ref="C21:C23"/>
    <mergeCell ref="D21:D23"/>
    <mergeCell ref="E21:E23"/>
    <mergeCell ref="B25:B27"/>
    <mergeCell ref="C25:C27"/>
    <mergeCell ref="D25:D27"/>
    <mergeCell ref="E25:E27"/>
    <mergeCell ref="W1:AF1"/>
    <mergeCell ref="W2:AF2"/>
    <mergeCell ref="W3:Z3"/>
    <mergeCell ref="AB3:AD3"/>
    <mergeCell ref="B33:B35"/>
    <mergeCell ref="C33:C35"/>
    <mergeCell ref="F25:F27"/>
    <mergeCell ref="B29:B31"/>
    <mergeCell ref="C29:C31"/>
    <mergeCell ref="D29:D31"/>
    <mergeCell ref="E29:E31"/>
    <mergeCell ref="F29:F31"/>
    <mergeCell ref="F21:F23"/>
    <mergeCell ref="F8:F10"/>
    <mergeCell ref="F5:F6"/>
    <mergeCell ref="G1:G4"/>
    <mergeCell ref="E36:E38"/>
    <mergeCell ref="F36:F38"/>
    <mergeCell ref="A41:A42"/>
    <mergeCell ref="B41:B42"/>
    <mergeCell ref="C41:C42"/>
    <mergeCell ref="A36:A40"/>
    <mergeCell ref="B36:B38"/>
    <mergeCell ref="C36:C38"/>
    <mergeCell ref="D36:D38"/>
    <mergeCell ref="L44:U44"/>
    <mergeCell ref="W44:AF44"/>
    <mergeCell ref="L45:U45"/>
    <mergeCell ref="W45:AF45"/>
    <mergeCell ref="L46:O46"/>
    <mergeCell ref="Q46:S46"/>
    <mergeCell ref="W46:Z46"/>
    <mergeCell ref="AB46:AD46"/>
  </mergeCells>
  <pageMargins left="0.511811024" right="0.511811024" top="0.78740157499999996" bottom="0.78740157499999996" header="0.31496062000000002" footer="0.3149606200000000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F42E5-80AB-481C-A02E-37C7FE193E17}">
  <dimension ref="A1:AG15"/>
  <sheetViews>
    <sheetView showGridLines="0" workbookViewId="0">
      <selection activeCell="J15" sqref="J15"/>
    </sheetView>
  </sheetViews>
  <sheetFormatPr defaultRowHeight="11.25" x14ac:dyDescent="0.2"/>
  <cols>
    <col min="1" max="1" width="19.140625" style="16" bestFit="1" customWidth="1"/>
    <col min="2" max="2" width="12.42578125" style="16" bestFit="1" customWidth="1"/>
    <col min="3" max="7" width="10.28515625" style="16" bestFit="1" customWidth="1"/>
    <col min="8" max="8" width="8.7109375" style="16" bestFit="1" customWidth="1"/>
    <col min="9" max="9" width="8" style="16" bestFit="1" customWidth="1"/>
    <col min="10" max="10" width="7.28515625" style="16" bestFit="1" customWidth="1"/>
    <col min="11" max="11" width="7.140625" style="16" bestFit="1" customWidth="1"/>
    <col min="12" max="12" width="9.5703125" style="16" bestFit="1" customWidth="1"/>
    <col min="13" max="13" width="9.7109375" style="16" bestFit="1" customWidth="1"/>
    <col min="14" max="14" width="10.85546875" style="16" bestFit="1" customWidth="1"/>
    <col min="15" max="15" width="7.42578125" style="16" bestFit="1" customWidth="1"/>
    <col min="16" max="16" width="9.7109375" style="16" bestFit="1" customWidth="1"/>
    <col min="17" max="17" width="11" style="16" bestFit="1" customWidth="1"/>
    <col min="18" max="18" width="7.7109375" style="16" bestFit="1" customWidth="1"/>
    <col min="19" max="19" width="7.140625" style="16" bestFit="1" customWidth="1"/>
    <col min="20" max="20" width="14.5703125" style="16" bestFit="1" customWidth="1"/>
    <col min="21" max="21" width="17.7109375" style="16" bestFit="1" customWidth="1"/>
    <col min="22" max="22" width="18.42578125" style="16" bestFit="1" customWidth="1"/>
    <col min="23" max="23" width="6" style="16" bestFit="1" customWidth="1"/>
    <col min="24" max="24" width="10.85546875" style="16" bestFit="1" customWidth="1"/>
    <col min="25" max="26" width="9.140625" style="16"/>
    <col min="27" max="27" width="3" style="16" bestFit="1" customWidth="1"/>
    <col min="28" max="28" width="21.5703125" style="16" bestFit="1" customWidth="1"/>
    <col min="29" max="29" width="13.5703125" style="16" bestFit="1" customWidth="1"/>
    <col min="30" max="30" width="25.140625" style="16" bestFit="1" customWidth="1"/>
    <col min="31" max="33" width="10.28515625" style="16" bestFit="1" customWidth="1"/>
    <col min="34" max="16384" width="9.140625" style="16"/>
  </cols>
  <sheetData>
    <row r="1" spans="1:33" x14ac:dyDescent="0.2">
      <c r="A1" s="16" t="s">
        <v>61</v>
      </c>
      <c r="B1" s="16" t="s">
        <v>62</v>
      </c>
      <c r="C1" s="16" t="s">
        <v>63</v>
      </c>
      <c r="D1" s="16" t="s">
        <v>64</v>
      </c>
      <c r="E1" s="16" t="s">
        <v>65</v>
      </c>
      <c r="F1" s="16" t="s">
        <v>15</v>
      </c>
      <c r="G1" s="16" t="s">
        <v>67</v>
      </c>
      <c r="I1" s="16" t="s">
        <v>1068</v>
      </c>
      <c r="AA1" s="16" t="s">
        <v>33</v>
      </c>
      <c r="AB1" s="16" t="s">
        <v>25</v>
      </c>
      <c r="AC1" s="16" t="s">
        <v>25</v>
      </c>
      <c r="AD1" s="16" t="s">
        <v>25</v>
      </c>
      <c r="AE1" s="16" t="s">
        <v>25</v>
      </c>
      <c r="AF1" s="16" t="s">
        <v>25</v>
      </c>
      <c r="AG1" s="16" t="s">
        <v>25</v>
      </c>
    </row>
    <row r="2" spans="1:33" x14ac:dyDescent="0.2">
      <c r="A2" s="16" t="s">
        <v>33</v>
      </c>
      <c r="B2" s="16" t="s">
        <v>25</v>
      </c>
      <c r="C2" s="16" t="s">
        <v>25</v>
      </c>
      <c r="D2" s="16" t="s">
        <v>25</v>
      </c>
      <c r="E2" s="16" t="s">
        <v>25</v>
      </c>
      <c r="F2" s="16" t="s">
        <v>25</v>
      </c>
      <c r="G2" s="16" t="s">
        <v>25</v>
      </c>
      <c r="I2" s="16" t="str">
        <f>IF($G$2&lt;&gt;"Não se aplica",$A$2&amp;$B$2&amp;$C$2&amp;$D$2&amp;$E$2&amp;$F$2&amp;$G$2,IF($F$2&lt;&gt;"Não se aplica",$A$2&amp;$B$2&amp;$C$2&amp;$D$2&amp;$E$2&amp;$F$2,IF($E$2&lt;&gt;"Não se aplica",$A$2&amp;$B$2&amp;$C$2&amp;$D$2&amp;$E$2,IF($D$2&lt;&gt;"Não se aplica",$A$2&amp;$B$2&amp;$C$2&amp;$D$2,IF($C$2&lt;&gt;"Não se aplica",$A$2&amp;$B$2&amp;$C$2,IF($B$2&lt;&gt;"Não se aplica",$A$2&amp;$B$2,$A$2))))))</f>
        <v>A4</v>
      </c>
      <c r="AA2" s="16" t="s">
        <v>81</v>
      </c>
      <c r="AB2" s="16" t="s">
        <v>41</v>
      </c>
      <c r="AC2" s="16" t="s">
        <v>24</v>
      </c>
      <c r="AD2" s="16" t="s">
        <v>24</v>
      </c>
      <c r="AE2" s="16" t="s">
        <v>79</v>
      </c>
      <c r="AG2" s="16" t="s">
        <v>77</v>
      </c>
    </row>
    <row r="3" spans="1:33" x14ac:dyDescent="0.2">
      <c r="AA3" s="16" t="s">
        <v>22</v>
      </c>
      <c r="AB3" s="16" t="s">
        <v>80</v>
      </c>
      <c r="AC3" s="16" t="s">
        <v>44</v>
      </c>
      <c r="AD3" s="16" t="s">
        <v>29</v>
      </c>
      <c r="AE3" s="16" t="s">
        <v>82</v>
      </c>
      <c r="AG3" s="16" t="s">
        <v>78</v>
      </c>
    </row>
    <row r="4" spans="1:33" x14ac:dyDescent="0.2">
      <c r="AA4" s="16" t="s">
        <v>43</v>
      </c>
      <c r="AB4" s="16" t="s">
        <v>34</v>
      </c>
      <c r="AC4" s="16" t="s">
        <v>47</v>
      </c>
      <c r="AD4" s="16" t="s">
        <v>30</v>
      </c>
      <c r="AE4" s="16" t="s">
        <v>83</v>
      </c>
      <c r="AG4" s="16" t="s">
        <v>75</v>
      </c>
    </row>
    <row r="5" spans="1:33" x14ac:dyDescent="0.2">
      <c r="A5" s="16" t="s">
        <v>1061</v>
      </c>
      <c r="B5" s="16" t="str">
        <f>TUSD!$AI$4</f>
        <v>CDE Covid TUSD</v>
      </c>
      <c r="C5" s="16" t="str">
        <f>TUSD!$AJ$4</f>
        <v>TFSEE</v>
      </c>
      <c r="D5" s="16" t="str">
        <f>TUSD!$AK$4</f>
        <v>P&amp;D</v>
      </c>
      <c r="E5" s="16" t="str">
        <f>TUSD!$AL$4</f>
        <v>ONS</v>
      </c>
      <c r="F5" s="16" t="str">
        <f>TUSD!$AM$4</f>
        <v>CCC</v>
      </c>
      <c r="G5" s="16" t="str">
        <f>TUSD!$AN$4</f>
        <v>CDE</v>
      </c>
      <c r="H5" s="16" t="str">
        <f>TUSD!$AO$4</f>
        <v>PROINFA</v>
      </c>
      <c r="I5" s="16" t="str">
        <f>TUSD!$AP$4</f>
        <v>LIMINAR 1</v>
      </c>
      <c r="J5" s="16" t="str">
        <f>TUSD!$AQ$4</f>
        <v>TUSD RB</v>
      </c>
      <c r="K5" s="16" t="str">
        <f>TUSD!$AR$4</f>
        <v>TUSD FR</v>
      </c>
      <c r="L5" s="16" t="str">
        <f>TUSD!$AS$4</f>
        <v>CONEXAO T</v>
      </c>
      <c r="M5" s="16" t="str">
        <f>TUSD!$AT$4</f>
        <v>CONEXAO D</v>
      </c>
      <c r="N5" s="16" t="str">
        <f>TUSD!$AU$4</f>
        <v>CUSD</v>
      </c>
      <c r="O5" s="16" t="str">
        <f>TUSD!$AV$4</f>
        <v>TUSDG-T</v>
      </c>
      <c r="P5" s="16" t="str">
        <f>TUSD!$AW$4</f>
        <v>TUSDG-ONS</v>
      </c>
      <c r="Q5" s="16" t="str">
        <f>TUSD!$AX$4</f>
        <v>DISTRIBUICAO</v>
      </c>
      <c r="R5" s="16" t="str">
        <f>TUSD!$AY$4</f>
        <v>SUBSIDIO</v>
      </c>
      <c r="S5" s="16" t="str">
        <f>TUSD!$AZ$4</f>
        <v>OUTROS</v>
      </c>
      <c r="T5" s="16" t="str">
        <f>TUSD!$BA$4</f>
        <v>PERDAS TECNICAS</v>
      </c>
      <c r="U5" s="16" t="str">
        <f>TUSD!$BB$4</f>
        <v>PERDAS RB/ PERDAS D</v>
      </c>
      <c r="V5" s="16" t="str">
        <f>TUSD!$BC$4</f>
        <v>PERDAS NAO TECNICAS</v>
      </c>
      <c r="W5" s="16" t="str">
        <f>TUSD!$BD$4</f>
        <v>RI</v>
      </c>
      <c r="X5" s="16" t="s">
        <v>482</v>
      </c>
      <c r="AA5" s="16" t="s">
        <v>39</v>
      </c>
      <c r="AB5" s="16" t="s">
        <v>37</v>
      </c>
      <c r="AD5" s="16" t="s">
        <v>31</v>
      </c>
      <c r="AG5" s="16" t="s">
        <v>9</v>
      </c>
    </row>
    <row r="6" spans="1:33" x14ac:dyDescent="0.2">
      <c r="A6" s="16" t="s">
        <v>1062</v>
      </c>
      <c r="B6" s="56">
        <f>SUM(TUSD!$AI$57:'TUSD'!$AI$103)</f>
        <v>0</v>
      </c>
      <c r="C6" s="56">
        <f>SUM(TUSD!$AJ$57:'TUSD'!$AJ$103)</f>
        <v>95967.836077332555</v>
      </c>
      <c r="D6" s="56">
        <f>SUM(TUSD!$AK$57:'TUSD'!$AK$103)</f>
        <v>9.305104878093185E-5</v>
      </c>
      <c r="E6" s="56">
        <f>SUM(TUSD!$AL$57:'TUSD'!$AL$103)</f>
        <v>0</v>
      </c>
      <c r="F6" s="56">
        <f>SUM(TUSD!$AM$57:'TUSD'!$AM$103)</f>
        <v>0</v>
      </c>
      <c r="G6" s="56">
        <f>SUM(TUSD!$AN$57:'TUSD'!$AN$103)</f>
        <v>3245475.2197832661</v>
      </c>
      <c r="H6" s="56">
        <f>SUM(TUSD!$AO$57:'TUSD'!$AO$103)</f>
        <v>368317.87844508875</v>
      </c>
      <c r="I6" s="56">
        <f>SUM(TUSD!$AP$57:'TUSD'!$AP$103)</f>
        <v>0</v>
      </c>
      <c r="J6" s="56">
        <f>SUM(TUSD!$AQ$57:'TUSD'!$AQ$103)</f>
        <v>0</v>
      </c>
      <c r="K6" s="56">
        <f>SUM(TUSD!$AR$57:'TUSD'!$AR$103)</f>
        <v>0</v>
      </c>
      <c r="L6" s="56">
        <f>SUM(TUSD!$AS$57:'TUSD'!$AS$103)</f>
        <v>0</v>
      </c>
      <c r="M6" s="56">
        <f>SUM(TUSD!$AT$57:'TUSD'!$AT$103)</f>
        <v>0</v>
      </c>
      <c r="N6" s="56">
        <f>SUM(TUSD!$AU$57:'TUSD'!$AU$103)</f>
        <v>7595740.5307881972</v>
      </c>
      <c r="O6" s="56">
        <f>SUM(TUSD!$AV$57:'TUSD'!$AV$103)</f>
        <v>0</v>
      </c>
      <c r="P6" s="56">
        <f>SUM(TUSD!$AW$57:'TUSD'!$AW$103)</f>
        <v>0</v>
      </c>
      <c r="Q6" s="56">
        <f>SUM(TUSD!$AX$57:'TUSD'!$AX$103)</f>
        <v>17679406.479918852</v>
      </c>
      <c r="R6" s="56">
        <f>SUM(TUSD!$AY$57:'TUSD'!$AY$103)</f>
        <v>332741.7811380928</v>
      </c>
      <c r="S6" s="56">
        <f>SUM(TUSD!$AZ$57:'TUSD'!$AZ$103)</f>
        <v>0</v>
      </c>
      <c r="T6" s="56">
        <f>SUM(TUSD!$BA$57:'TUSD'!$BA$103)</f>
        <v>1504830.7176617486</v>
      </c>
      <c r="U6" s="56">
        <f>SUM(TUSD!$BB$57:'TUSD'!$BB$103)</f>
        <v>0</v>
      </c>
      <c r="V6" s="56">
        <f>SUM(TUSD!$BC$57:'TUSD'!$BC$103)</f>
        <v>194267.90784005425</v>
      </c>
      <c r="W6" s="56">
        <f>SUM(TUSD!$BD$57:'TUSD'!$BD$103)</f>
        <v>0</v>
      </c>
      <c r="X6" s="56">
        <f t="shared" ref="X6:X11" si="0">SUM(B6:W6)</f>
        <v>31016748.351745684</v>
      </c>
      <c r="AA6" s="16" t="s">
        <v>46</v>
      </c>
      <c r="AB6" s="16" t="s">
        <v>23</v>
      </c>
      <c r="AD6" s="16" t="s">
        <v>32</v>
      </c>
      <c r="AG6" s="16" t="s">
        <v>72</v>
      </c>
    </row>
    <row r="7" spans="1:33" x14ac:dyDescent="0.2">
      <c r="A7" s="16" t="s">
        <v>1063</v>
      </c>
      <c r="B7" s="56">
        <f>SUM(TUSD!$L$57:'TUSD'!$L$103)</f>
        <v>934868.33265575394</v>
      </c>
      <c r="C7" s="56">
        <f>SUM(TUSD!$M$57:'TUSD'!$M$103)</f>
        <v>125839.07698273635</v>
      </c>
      <c r="D7" s="56">
        <f ca="1">SUM(TUSD!$N$57:'TUSD'!$N$103)</f>
        <v>0</v>
      </c>
      <c r="E7" s="56">
        <f>SUM(TUSD!$O$57:'TUSD'!$O$103)</f>
        <v>0</v>
      </c>
      <c r="F7" s="56">
        <f>SUM(TUSD!$P$57:'TUSD'!$P$103)</f>
        <v>0</v>
      </c>
      <c r="G7" s="56">
        <f>SUM(TUSD!$Q$57:'TUSD'!$Q$103)</f>
        <v>3668212.0402545789</v>
      </c>
      <c r="H7" s="56">
        <f>SUM(TUSD!$R$57:'TUSD'!$R$103)</f>
        <v>607877.57463136909</v>
      </c>
      <c r="I7" s="56">
        <f>SUM(TUSD!$S$57:'TUSD'!$S$103)</f>
        <v>0</v>
      </c>
      <c r="J7" s="56">
        <f>SUM(TUSD!$T$57:'TUSD'!$T$103)</f>
        <v>0</v>
      </c>
      <c r="K7" s="56">
        <f>SUM(TUSD!$U$57:'TUSD'!$U$103)</f>
        <v>0</v>
      </c>
      <c r="L7" s="56">
        <f>SUM(TUSD!$V$57:'TUSD'!$V$103)</f>
        <v>0</v>
      </c>
      <c r="M7" s="56">
        <f>SUM(TUSD!$W$57:'TUSD'!$W$103)</f>
        <v>0</v>
      </c>
      <c r="N7" s="56">
        <f>SUM(TUSD!$X$57:'TUSD'!$X$103)</f>
        <v>10004455.22307246</v>
      </c>
      <c r="O7" s="56">
        <f>SUM(TUSD!$Y$57:'TUSD'!$Y$103)</f>
        <v>0</v>
      </c>
      <c r="P7" s="56">
        <f>SUM(TUSD!$Z$57:'TUSD'!$Z$103)</f>
        <v>0</v>
      </c>
      <c r="Q7" s="56">
        <f>SUM(TUSD!$AA$57:'TUSD'!$AA$103)</f>
        <v>20897709.695562858</v>
      </c>
      <c r="R7" s="56">
        <f ca="1">SUM(TUSD!$AB$57:'TUSD'!$AB$103)</f>
        <v>0</v>
      </c>
      <c r="S7" s="56">
        <f ca="1">SUM(TUSD!$AC$57:'TUSD'!$AC$103)</f>
        <v>0</v>
      </c>
      <c r="T7" s="56">
        <f>SUM(TUSD!$AD$57:'TUSD'!$AD$103)</f>
        <v>1753527.7011314703</v>
      </c>
      <c r="U7" s="56">
        <f>SUM(TUSD!$AE$57:'TUSD'!$AE$103)</f>
        <v>0</v>
      </c>
      <c r="V7" s="56">
        <f ca="1">SUM(TUSD!$AF$57:'TUSD'!$AF$103)</f>
        <v>166923.93613301712</v>
      </c>
      <c r="W7" s="56">
        <f ca="1">SUM(TUSD!$AG$57:'TUSD'!$AG$103)</f>
        <v>0</v>
      </c>
      <c r="X7" s="56">
        <f t="shared" ca="1" si="0"/>
        <v>38159413.580424249</v>
      </c>
      <c r="AB7" s="16" t="s">
        <v>86</v>
      </c>
      <c r="AD7" s="16" t="s">
        <v>87</v>
      </c>
      <c r="AG7" s="16" t="s">
        <v>73</v>
      </c>
    </row>
    <row r="8" spans="1:33" x14ac:dyDescent="0.2">
      <c r="A8" s="16" t="s">
        <v>1066</v>
      </c>
      <c r="B8" s="56">
        <f>IF($G$2&lt;&gt;"Não se aplica",SUMIF(TUSD!$G$57:'TUSD'!$G$103,$I$2,TUSD!$AI$57:'TUSD'!$AI$103),IF($F$2&lt;&gt;"Não se aplica",SUMIF(TUSD!$F$57:'TUSD'!$F$103,$I$2,TUSD!$AI$57:'TUSD'!$AI$103),IF($E$2&lt;&gt;"Não se aplica",SUMIF(TUSD!$E$57:'TUSD'!$E$103,$I$2,TUSD!$AI$57:'TUSD'!$AI$103),IF($D$2&lt;&gt;"Não se aplica",SUMIF(TUSD!$D$57:'TUSD'!$D$103,$I$2,TUSD!$AI$57:'TUSD'!$AI$103),IF($C$2&lt;&gt;"Não se aplica",SUMIF(TUSD!$C$57:'TUSD'!$C$103,$I$2,TUSD!$AI$57:'TUSD'!$AI$103),IF($B$2&lt;&gt;"Não se aplica",SUMIF(TUSD!$B$57:'TUSD'!$B$103,$I$2,TUSD!$AI$57:'TUSD'!$AI$103),SUMIF(TUSD!$A$57:'TUSD'!$A$103,$I$2,TUSD!$AI$57:'TUSD'!$AI$103)))))))</f>
        <v>0</v>
      </c>
      <c r="C8" s="56">
        <f>IF($G$2&lt;&gt;"Não se aplica",SUMIF(TUSD!$G$57:'TUSD'!$G$103,$I$2,TUSD!$AJ$57:'TUSD'!$AJ$103),IF($F$2&lt;&gt;"Não se aplica",SUMIF(TUSD!$F$57:'TUSD'!$F$103,$I$2,TUSD!$AJ$57:'TUSD'!$AJ$103),IF($E$2&lt;&gt;"Não se aplica",SUMIF(TUSD!$E$57:'TUSD'!$E$103,$I$2,TUSD!$AJ$57:'TUSD'!$AJ$103),IF($D$2&lt;&gt;"Não se aplica",SUMIF(TUSD!$D$57:'TUSD'!$D$103,$I$2,TUSD!$AJ$57:'TUSD'!$AJ$103),IF($C$2&lt;&gt;"Não se aplica",SUMIF(TUSD!$C$57:'TUSD'!$C$103,$I$2,TUSD!$AJ$57:'TUSD'!$AJ$103),IF($B$2&lt;&gt;"Não se aplica",SUMIF(TUSD!$B$57:'TUSD'!$B$103,$I$2,TUSD!$AJ$57:'TUSD'!$AJ$103),SUMIF(TUSD!$A$57:'TUSD'!$A$103,$I$2,TUSD!$AJ$57:'TUSD'!$AJ$103)))))))</f>
        <v>5462.1337497730074</v>
      </c>
      <c r="D8" s="56">
        <f>IF($G$2&lt;&gt;"Não se aplica",SUMIF(TUSD!$G$57:'TUSD'!$G$103,$I$2,TUSD!$AK$57:'TUSD'!$AK$103),IF($F$2&lt;&gt;"Não se aplica",SUMIF(TUSD!$F$57:'TUSD'!$F$103,$I$2,TUSD!$AK$57:'TUSD'!$AK$103),IF($E$2&lt;&gt;"Não se aplica",SUMIF(TUSD!$E$57:'TUSD'!$E$103,$I$2,TUSD!$AK$57:'TUSD'!$AK$103),IF($D$2&lt;&gt;"Não se aplica",SUMIF(TUSD!$D$57:'TUSD'!$D$103,$I$2,TUSD!$AK$57:'TUSD'!$AK$103),IF($C$2&lt;&gt;"Não se aplica",SUMIF(TUSD!$C$57:'TUSD'!$C$103,$I$2,TUSD!$AK$57:'TUSD'!$AK$103),IF($B$2&lt;&gt;"Não se aplica",SUMIF(TUSD!$B$57:'TUSD'!$B$103,$I$2,TUSD!$AK$57:'TUSD'!$AK$103),SUMIF(TUSD!$A$57:'TUSD'!$A$103,$I$2,TUSD!$AK$57:'TUSD'!$AK$103)))))))</f>
        <v>1.6701368146213857E-6</v>
      </c>
      <c r="E8" s="56">
        <f>IF($G$2&lt;&gt;"Não se aplica",SUMIF(TUSD!$G$57:'TUSD'!$G$103,$I$2,TUSD!$AL$57:'TUSD'!$AL$103),IF($F$2&lt;&gt;"Não se aplica",SUMIF(TUSD!$F$57:'TUSD'!$F$103,$I$2,TUSD!$AL$57:'TUSD'!$AL$103),IF($E$2&lt;&gt;"Não se aplica",SUMIF(TUSD!$E$57:'TUSD'!$E$103,$I$2,TUSD!$AL$57:'TUSD'!$AL$103),IF($D$2&lt;&gt;"Não se aplica",SUMIF(TUSD!$D$57:'TUSD'!$D$103,$I$2,TUSD!$AL$57:'TUSD'!$AL$103),IF($C$2&lt;&gt;"Não se aplica",SUMIF(TUSD!$C$57:'TUSD'!$C$103,$I$2,TUSD!$AL$57:'TUSD'!$AL$103),IF($B$2&lt;&gt;"Não se aplica",SUMIF(TUSD!$B$57:'TUSD'!$B$103,$I$2,TUSD!$AL$57:'TUSD'!$AL$103),SUMIF(TUSD!$A$57:'TUSD'!$A$103,$I$2,TUSD!$AL$57:'TUSD'!$AL$103)))))))</f>
        <v>0</v>
      </c>
      <c r="F8" s="56">
        <f>IF($G$2&lt;&gt;"Não se aplica",SUMIF(TUSD!$G$57:'TUSD'!$G$103,$I$2,TUSD!$AM$57:'TUSD'!$AM$103),IF($F$2&lt;&gt;"Não se aplica",SUMIF(TUSD!$F$57:'TUSD'!$F$103,$I$2,TUSD!$AM$57:'TUSD'!$AM$103),IF($E$2&lt;&gt;"Não se aplica",SUMIF(TUSD!$E$57:'TUSD'!$E$103,$I$2,TUSD!$AM$57:'TUSD'!$AM$103),IF($D$2&lt;&gt;"Não se aplica",SUMIF(TUSD!$D$57:'TUSD'!$D$103,$I$2,TUSD!$AM$57:'TUSD'!$AM$103),IF($C$2&lt;&gt;"Não se aplica",SUMIF(TUSD!$C$57:'TUSD'!$C$103,$I$2,TUSD!$AM$57:'TUSD'!$AM$103),IF($B$2&lt;&gt;"Não se aplica",SUMIF(TUSD!$B$57:'TUSD'!$B$103,$I$2,TUSD!$AM$57:'TUSD'!$AM$103),SUMIF(TUSD!$A$57:'TUSD'!$A$103,$I$2,TUSD!$AM$57:'TUSD'!$AM$103)))))))</f>
        <v>0</v>
      </c>
      <c r="G8" s="56">
        <f>IF($G$2&lt;&gt;"Não se aplica",SUMIF(TUSD!$G$57:'TUSD'!$G$103,$I$2,TUSD!$AN$57:'TUSD'!$AN$103),IF($F$2&lt;&gt;"Não se aplica",SUMIF(TUSD!$F$57:'TUSD'!$F$103,$I$2,TUSD!$AN$57:'TUSD'!$AN$103),IF($E$2&lt;&gt;"Não se aplica",SUMIF(TUSD!$E$57:'TUSD'!$E$103,$I$2,TUSD!$AN$57:'TUSD'!$AN$103),IF($D$2&lt;&gt;"Não se aplica",SUMIF(TUSD!$D$57:'TUSD'!$D$103,$I$2,TUSD!$AN$57:'TUSD'!$AN$103),IF($C$2&lt;&gt;"Não se aplica",SUMIF(TUSD!$C$57:'TUSD'!$C$103,$I$2,TUSD!$AN$57:'TUSD'!$AN$103),IF($B$2&lt;&gt;"Não se aplica",SUMIF(TUSD!$B$57:'TUSD'!$B$103,$I$2,TUSD!$AN$57:'TUSD'!$AN$103),SUMIF(TUSD!$A$57:'TUSD'!$A$103,$I$2,TUSD!$AN$57:'TUSD'!$AN$103)))))))</f>
        <v>288143.9005692139</v>
      </c>
      <c r="H8" s="56">
        <f>IF($G$2&lt;&gt;"Não se aplica",SUMIF(TUSD!$G$57:'TUSD'!$G$103,$I$2,TUSD!$AO$57:'TUSD'!$AO$103),IF($F$2&lt;&gt;"Não se aplica",SUMIF(TUSD!$F$57:'TUSD'!$F$103,$I$2,TUSD!$AO$57:'TUSD'!$AO$103),IF($E$2&lt;&gt;"Não se aplica",SUMIF(TUSD!$E$57:'TUSD'!$E$103,$I$2,TUSD!$AO$57:'TUSD'!$AO$103),IF($D$2&lt;&gt;"Não se aplica",SUMIF(TUSD!$D$57:'TUSD'!$D$103,$I$2,TUSD!$AO$57:'TUSD'!$AO$103),IF($C$2&lt;&gt;"Não se aplica",SUMIF(TUSD!$C$57:'TUSD'!$C$103,$I$2,TUSD!$AO$57:'TUSD'!$AO$103),IF($B$2&lt;&gt;"Não se aplica",SUMIF(TUSD!$B$57:'TUSD'!$B$103,$I$2,TUSD!$AO$57:'TUSD'!$AO$103),SUMIF(TUSD!$A$57:'TUSD'!$A$103,$I$2,TUSD!$AO$57:'TUSD'!$AO$103)))))))</f>
        <v>37094.627249966034</v>
      </c>
      <c r="I8" s="56">
        <f>IF($G$2&lt;&gt;"Não se aplica",SUMIF(TUSD!$G$57:'TUSD'!$G$103,$I$2,TUSD!$AP$57:'TUSD'!$AP$103),IF($F$2&lt;&gt;"Não se aplica",SUMIF(TUSD!$F$57:'TUSD'!$F$103,$I$2,TUSD!$AP$57:'TUSD'!$AP$103),IF($E$2&lt;&gt;"Não se aplica",SUMIF(TUSD!$E$57:'TUSD'!$E$103,$I$2,TUSD!$AP$57:'TUSD'!$AP$103),IF($D$2&lt;&gt;"Não se aplica",SUMIF(TUSD!$D$57:'TUSD'!$D$103,$I$2,TUSD!$AP$57:'TUSD'!$AP$103),IF($C$2&lt;&gt;"Não se aplica",SUMIF(TUSD!$C$57:'TUSD'!$C$103,$I$2,TUSD!$AP$57:'TUSD'!$AP$103),IF($B$2&lt;&gt;"Não se aplica",SUMIF(TUSD!$B$57:'TUSD'!$B$103,$I$2,TUSD!$AP$57:'TUSD'!$AP$103),SUMIF(TUSD!$A$57:'TUSD'!$A$103,$I$2,TUSD!$AP$57:'TUSD'!$AP$103)))))))</f>
        <v>0</v>
      </c>
      <c r="J8" s="56">
        <f>IF($G$2&lt;&gt;"Não se aplica",SUMIF(TUSD!$G$57:'TUSD'!$G$103,$I$2,TUSD!$AQ$57:'TUSD'!$AQ$103),IF($F$2&lt;&gt;"Não se aplica",SUMIF(TUSD!$F$57:'TUSD'!$F$103,$I$2,TUSD!$AQ$57:'TUSD'!$AQ$103),IF($E$2&lt;&gt;"Não se aplica",SUMIF(TUSD!$E$57:'TUSD'!$E$103,$I$2,TUSD!$AQ$57:'TUSD'!$AQ$103),IF($D$2&lt;&gt;"Não se aplica",SUMIF(TUSD!$D$57:'TUSD'!$D$103,$I$2,TUSD!$AQ$57:'TUSD'!$AQ$103),IF($C$2&lt;&gt;"Não se aplica",SUMIF(TUSD!$C$57:'TUSD'!$C$103,$I$2,TUSD!$AQ$57:'TUSD'!$AQ$103),IF($B$2&lt;&gt;"Não se aplica",SUMIF(TUSD!$B$57:'TUSD'!$B$103,$I$2,TUSD!$AQ$57:'TUSD'!$AQ$103),SUMIF(TUSD!$A$57:'TUSD'!$A$103,$I$2,TUSD!$AQ$57:'TUSD'!$AQ$103)))))))</f>
        <v>0</v>
      </c>
      <c r="K8" s="56">
        <f>IF($G$2&lt;&gt;"Não se aplica",SUMIF(TUSD!$G$57:'TUSD'!$G$103,$I$2,TUSD!$AR$57:'TUSD'!$AR$103),IF($F$2&lt;&gt;"Não se aplica",SUMIF(TUSD!$F$57:'TUSD'!$F$103,$I$2,TUSD!$AR$57:'TUSD'!$AR$103),IF($E$2&lt;&gt;"Não se aplica",SUMIF(TUSD!$E$57:'TUSD'!$E$103,$I$2,TUSD!$AR$57:'TUSD'!$AR$103),IF($D$2&lt;&gt;"Não se aplica",SUMIF(TUSD!$D$57:'TUSD'!$D$103,$I$2,TUSD!$AR$57:'TUSD'!$AR$103),IF($C$2&lt;&gt;"Não se aplica",SUMIF(TUSD!$C$57:'TUSD'!$C$103,$I$2,TUSD!$AR$57:'TUSD'!$AR$103),IF($B$2&lt;&gt;"Não se aplica",SUMIF(TUSD!$B$57:'TUSD'!$B$103,$I$2,TUSD!$AR$57:'TUSD'!$AR$103),SUMIF(TUSD!$A$57:'TUSD'!$A$103,$I$2,TUSD!$AR$57:'TUSD'!$AR$103)))))))</f>
        <v>0</v>
      </c>
      <c r="L8" s="56">
        <f>IF($G$2&lt;&gt;"Não se aplica",SUMIF(TUSD!$G$57:'TUSD'!$G$103,$I$2,TUSD!$AS$57:'TUSD'!$AS$103),IF($F$2&lt;&gt;"Não se aplica",SUMIF(TUSD!$F$57:'TUSD'!$F$103,$I$2,TUSD!$AS$57:'TUSD'!$AS$103),IF($E$2&lt;&gt;"Não se aplica",SUMIF(TUSD!$E$57:'TUSD'!$E$103,$I$2,TUSD!$AS$57:'TUSD'!$AS$103),IF($D$2&lt;&gt;"Não se aplica",SUMIF(TUSD!$D$57:'TUSD'!$D$103,$I$2,TUSD!$AS$57:'TUSD'!$AS$103),IF($C$2&lt;&gt;"Não se aplica",SUMIF(TUSD!$C$57:'TUSD'!$C$103,$I$2,TUSD!$AS$57:'TUSD'!$AS$103),IF($B$2&lt;&gt;"Não se aplica",SUMIF(TUSD!$B$57:'TUSD'!$B$103,$I$2,TUSD!$AS$57:'TUSD'!$AS$103),SUMIF(TUSD!$A$57:'TUSD'!$A$103,$I$2,TUSD!$AS$57:'TUSD'!$AS$103)))))))</f>
        <v>0</v>
      </c>
      <c r="M8" s="56">
        <f>IF($G$2&lt;&gt;"Não se aplica",SUMIF(TUSD!$G$57:'TUSD'!$G$103,$I$2,TUSD!$AT$57:'TUSD'!$AT$103),IF($F$2&lt;&gt;"Não se aplica",SUMIF(TUSD!$F$57:'TUSD'!$F$103,$I$2,TUSD!$AT$57:'TUSD'!$AT$103),IF($E$2&lt;&gt;"Não se aplica",SUMIF(TUSD!$E$57:'TUSD'!$E$103,$I$2,TUSD!$AT$57:'TUSD'!$AT$103),IF($D$2&lt;&gt;"Não se aplica",SUMIF(TUSD!$D$57:'TUSD'!$D$103,$I$2,TUSD!$AT$57:'TUSD'!$AT$103),IF($C$2&lt;&gt;"Não se aplica",SUMIF(TUSD!$C$57:'TUSD'!$C$103,$I$2,TUSD!$AT$57:'TUSD'!$AT$103),IF($B$2&lt;&gt;"Não se aplica",SUMIF(TUSD!$B$57:'TUSD'!$B$103,$I$2,TUSD!$AT$57:'TUSD'!$AT$103),SUMIF(TUSD!$A$57:'TUSD'!$A$103,$I$2,TUSD!$AT$57:'TUSD'!$AT$103)))))))</f>
        <v>0</v>
      </c>
      <c r="N8" s="56">
        <f>IF($G$2&lt;&gt;"Não se aplica",SUMIF(TUSD!$G$57:'TUSD'!$G$103,$I$2,TUSD!$AU$57:'TUSD'!$AU$103),IF($F$2&lt;&gt;"Não se aplica",SUMIF(TUSD!$F$57:'TUSD'!$F$103,$I$2,TUSD!$AU$57:'TUSD'!$AU$103),IF($E$2&lt;&gt;"Não se aplica",SUMIF(TUSD!$E$57:'TUSD'!$E$103,$I$2,TUSD!$AU$57:'TUSD'!$AU$103),IF($D$2&lt;&gt;"Não se aplica",SUMIF(TUSD!$D$57:'TUSD'!$D$103,$I$2,TUSD!$AU$57:'TUSD'!$AU$103),IF($C$2&lt;&gt;"Não se aplica",SUMIF(TUSD!$C$57:'TUSD'!$C$103,$I$2,TUSD!$AU$57:'TUSD'!$AU$103),IF($B$2&lt;&gt;"Não se aplica",SUMIF(TUSD!$B$57:'TUSD'!$B$103,$I$2,TUSD!$AU$57:'TUSD'!$AU$103),SUMIF(TUSD!$A$57:'TUSD'!$A$103,$I$2,TUSD!$AU$57:'TUSD'!$AU$103)))))))</f>
        <v>643614.69361831073</v>
      </c>
      <c r="O8" s="56">
        <f>IF($G$2&lt;&gt;"Não se aplica",SUMIF(TUSD!$G$57:'TUSD'!$G$103,$I$2,TUSD!$AV$57:'TUSD'!$AV$103),IF($F$2&lt;&gt;"Não se aplica",SUMIF(TUSD!$F$57:'TUSD'!$F$103,$I$2,TUSD!$AV$57:'TUSD'!$AV$103),IF($E$2&lt;&gt;"Não se aplica",SUMIF(TUSD!$E$57:'TUSD'!$E$103,$I$2,TUSD!$AV$57:'TUSD'!$AV$103),IF($D$2&lt;&gt;"Não se aplica",SUMIF(TUSD!$D$57:'TUSD'!$D$103,$I$2,TUSD!$AV$57:'TUSD'!$AV$103),IF($C$2&lt;&gt;"Não se aplica",SUMIF(TUSD!$C$57:'TUSD'!$C$103,$I$2,TUSD!$AV$57:'TUSD'!$AV$103),IF($B$2&lt;&gt;"Não se aplica",SUMIF(TUSD!$B$57:'TUSD'!$B$103,$I$2,TUSD!$AV$57:'TUSD'!$AV$103),SUMIF(TUSD!$A$57:'TUSD'!$A$103,$I$2,TUSD!$AV$57:'TUSD'!$AV$103)))))))</f>
        <v>0</v>
      </c>
      <c r="P8" s="56">
        <f>IF($G$2&lt;&gt;"Não se aplica",SUMIF(TUSD!$G$57:'TUSD'!$G$103,$I$2,TUSD!$AW$57:'TUSD'!$AW$103),IF($F$2&lt;&gt;"Não se aplica",SUMIF(TUSD!$F$57:'TUSD'!$F$103,$I$2,TUSD!$AW$57:'TUSD'!$AW$103),IF($E$2&lt;&gt;"Não se aplica",SUMIF(TUSD!$E$57:'TUSD'!$E$103,$I$2,TUSD!$AW$57:'TUSD'!$AW$103),IF($D$2&lt;&gt;"Não se aplica",SUMIF(TUSD!$D$57:'TUSD'!$D$103,$I$2,TUSD!$AW$57:'TUSD'!$AW$103),IF($C$2&lt;&gt;"Não se aplica",SUMIF(TUSD!$C$57:'TUSD'!$C$103,$I$2,TUSD!$AW$57:'TUSD'!$AW$103),IF($B$2&lt;&gt;"Não se aplica",SUMIF(TUSD!$B$57:'TUSD'!$B$103,$I$2,TUSD!$AW$57:'TUSD'!$AW$103),SUMIF(TUSD!$A$57:'TUSD'!$A$103,$I$2,TUSD!$AW$57:'TUSD'!$AW$103)))))))</f>
        <v>0</v>
      </c>
      <c r="Q8" s="56">
        <f>IF($G$2&lt;&gt;"Não se aplica",SUMIF(TUSD!$G$57:'TUSD'!$G$103,$I$2,TUSD!$AX$57:'TUSD'!$AX$103),IF($F$2&lt;&gt;"Não se aplica",SUMIF(TUSD!$F$57:'TUSD'!$F$103,$I$2,TUSD!$AX$57:'TUSD'!$AX$103),IF($E$2&lt;&gt;"Não se aplica",SUMIF(TUSD!$E$57:'TUSD'!$E$103,$I$2,TUSD!$AX$57:'TUSD'!$AX$103),IF($D$2&lt;&gt;"Não se aplica",SUMIF(TUSD!$D$57:'TUSD'!$D$103,$I$2,TUSD!$AX$57:'TUSD'!$AX$103),IF($C$2&lt;&gt;"Não se aplica",SUMIF(TUSD!$C$57:'TUSD'!$C$103,$I$2,TUSD!$AX$57:'TUSD'!$AX$103),IF($B$2&lt;&gt;"Não se aplica",SUMIF(TUSD!$B$57:'TUSD'!$B$103,$I$2,TUSD!$AX$57:'TUSD'!$AX$103),SUMIF(TUSD!$A$57:'TUSD'!$A$103,$I$2,TUSD!$AX$57:'TUSD'!$AX$103)))))))</f>
        <v>952835.72825928568</v>
      </c>
      <c r="R8" s="56">
        <f>IF($G$2&lt;&gt;"Não se aplica",SUMIF(TUSD!$G$57:'TUSD'!$G$103,$I$2,TUSD!$AY$57:'TUSD'!$AY$103),IF($F$2&lt;&gt;"Não se aplica",SUMIF(TUSD!$F$57:'TUSD'!$F$103,$I$2,TUSD!$AY$57:'TUSD'!$AY$103),IF($E$2&lt;&gt;"Não se aplica",SUMIF(TUSD!$E$57:'TUSD'!$E$103,$I$2,TUSD!$AY$57:'TUSD'!$AY$103),IF($D$2&lt;&gt;"Não se aplica",SUMIF(TUSD!$D$57:'TUSD'!$D$103,$I$2,TUSD!$AY$57:'TUSD'!$AY$103),IF($C$2&lt;&gt;"Não se aplica",SUMIF(TUSD!$C$57:'TUSD'!$C$103,$I$2,TUSD!$AY$57:'TUSD'!$AY$103),IF($B$2&lt;&gt;"Não se aplica",SUMIF(TUSD!$B$57:'TUSD'!$B$103,$I$2,TUSD!$AY$57:'TUSD'!$AY$103),SUMIF(TUSD!$A$57:'TUSD'!$A$103,$I$2,TUSD!$AY$57:'TUSD'!$AY$103)))))))</f>
        <v>21376.513827715324</v>
      </c>
      <c r="S8" s="56">
        <f>IF($G$2&lt;&gt;"Não se aplica",SUMIF(TUSD!$G$57:'TUSD'!$G$103,$I$2,TUSD!$AZ$57:'TUSD'!$AZ$103),IF($F$2&lt;&gt;"Não se aplica",SUMIF(TUSD!$F$57:'TUSD'!$F$103,$I$2,TUSD!$AZ$57:'TUSD'!$AZ$103),IF($E$2&lt;&gt;"Não se aplica",SUMIF(TUSD!$E$57:'TUSD'!$E$103,$I$2,TUSD!$AZ$57:'TUSD'!$AZ$103),IF($D$2&lt;&gt;"Não se aplica",SUMIF(TUSD!$D$57:'TUSD'!$D$103,$I$2,TUSD!$AZ$57:'TUSD'!$AZ$103),IF($C$2&lt;&gt;"Não se aplica",SUMIF(TUSD!$C$57:'TUSD'!$C$103,$I$2,TUSD!$AZ$57:'TUSD'!$AZ$103),IF($B$2&lt;&gt;"Não se aplica",SUMIF(TUSD!$B$57:'TUSD'!$B$103,$I$2,TUSD!$AZ$57:'TUSD'!$AZ$103),SUMIF(TUSD!$A$57:'TUSD'!$A$103,$I$2,TUSD!$AZ$57:'TUSD'!$AZ$103)))))))</f>
        <v>0</v>
      </c>
      <c r="T8" s="56">
        <f>IF($G$2&lt;&gt;"Não se aplica",SUMIF(TUSD!$G$57:'TUSD'!$G$103,$I$2,TUSD!$BA$57:'TUSD'!$BA$103),IF($F$2&lt;&gt;"Não se aplica",SUMIF(TUSD!$F$57:'TUSD'!$F$103,$I$2,TUSD!$BA$57:'TUSD'!$BA$103),IF($E$2&lt;&gt;"Não se aplica",SUMIF(TUSD!$E$57:'TUSD'!$E$103,$I$2,TUSD!$BA$57:'TUSD'!$BA$103),IF($D$2&lt;&gt;"Não se aplica",SUMIF(TUSD!$D$57:'TUSD'!$D$103,$I$2,TUSD!$BA$57:'TUSD'!$BA$103),IF($C$2&lt;&gt;"Não se aplica",SUMIF(TUSD!$C$57:'TUSD'!$C$103,$I$2,TUSD!$BA$57:'TUSD'!$BA$103),IF($B$2&lt;&gt;"Não se aplica",SUMIF(TUSD!$B$57:'TUSD'!$B$103,$I$2,TUSD!$BA$57:'TUSD'!$BA$103),SUMIF(TUSD!$A$57:'TUSD'!$A$103,$I$2,TUSD!$BA$57:'TUSD'!$BA$103)))))))</f>
        <v>67181.713950127989</v>
      </c>
      <c r="U8" s="56">
        <f>IF($G$2&lt;&gt;"Não se aplica",SUMIF(TUSD!$G$57:'TUSD'!$G$103,$I$2,TUSD!$BB$57:'TUSD'!$BB$103),IF($F$2&lt;&gt;"Não se aplica",SUMIF(TUSD!$F$57:'TUSD'!$F$103,$I$2,TUSD!$BB$57:'TUSD'!$BB$103),IF($E$2&lt;&gt;"Não se aplica",SUMIF(TUSD!$E$57:'TUSD'!$E$103,$I$2,TUSD!$BB$57:'TUSD'!$BB$103),IF($D$2&lt;&gt;"Não se aplica",SUMIF(TUSD!$D$57:'TUSD'!$D$103,$I$2,TUSD!$BB$57:'TUSD'!$BB$103),IF($C$2&lt;&gt;"Não se aplica",SUMIF(TUSD!$C$57:'TUSD'!$C$103,$I$2,TUSD!$BB$57:'TUSD'!$BB$103),IF($B$2&lt;&gt;"Não se aplica",SUMIF(TUSD!$B$57:'TUSD'!$B$103,$I$2,TUSD!$BB$57:'TUSD'!$BB$103),SUMIF(TUSD!$A$57:'TUSD'!$A$103,$I$2,TUSD!$BB$57:'TUSD'!$BB$103)))))))</f>
        <v>0</v>
      </c>
      <c r="V8" s="56">
        <f>IF($G$2&lt;&gt;"Não se aplica",SUMIF(TUSD!$G$57:'TUSD'!$G$103,$I$2,TUSD!$BC$57:'TUSD'!$BC$103),IF($F$2&lt;&gt;"Não se aplica",SUMIF(TUSD!$F$57:'TUSD'!$F$103,$I$2,TUSD!$BC$57:'TUSD'!$BC$103),IF($E$2&lt;&gt;"Não se aplica",SUMIF(TUSD!$E$57:'TUSD'!$E$103,$I$2,TUSD!$BC$57:'TUSD'!$BC$103),IF($D$2&lt;&gt;"Não se aplica",SUMIF(TUSD!$D$57:'TUSD'!$D$103,$I$2,TUSD!$BC$57:'TUSD'!$BC$103),IF($C$2&lt;&gt;"Não se aplica",SUMIF(TUSD!$C$57:'TUSD'!$C$103,$I$2,TUSD!$BC$57:'TUSD'!$BC$103),IF($B$2&lt;&gt;"Não se aplica",SUMIF(TUSD!$B$57:'TUSD'!$B$103,$I$2,TUSD!$BC$57:'TUSD'!$BC$103),SUMIF(TUSD!$A$57:'TUSD'!$A$103,$I$2,TUSD!$BC$57:'TUSD'!$BC$103)))))))</f>
        <v>13484.106650267973</v>
      </c>
      <c r="W8" s="56">
        <f>IF($G$2&lt;&gt;"Não se aplica",SUMIF(TUSD!$G$57:'TUSD'!$G$103,$I$2,TUSD!$BD$57:'TUSD'!$BD$103),IF($F$2&lt;&gt;"Não se aplica",SUMIF(TUSD!$F$57:'TUSD'!$F$103,$I$2,TUSD!$BD$57:'TUSD'!$BD$103),IF($E$2&lt;&gt;"Não se aplica",SUMIF(TUSD!$E$57:'TUSD'!$E$103,$I$2,TUSD!$BD$57:'TUSD'!$BD$103),IF($D$2&lt;&gt;"Não se aplica",SUMIF(TUSD!$D$57:'TUSD'!$D$103,$I$2,TUSD!$BD$57:'TUSD'!$BD$103),IF($C$2&lt;&gt;"Não se aplica",SUMIF(TUSD!$C$57:'TUSD'!$C$103,$I$2,TUSD!$BD$57:'TUSD'!$BD$103),IF($B$2&lt;&gt;"Não se aplica",SUMIF(TUSD!$B$57:'TUSD'!$B$103,$I$2,TUSD!$BD$57:'TUSD'!$BD$103),SUMIF(TUSD!$A$57:'TUSD'!$A$103,$I$2,TUSD!$BD$57:'TUSD'!$BD$103)))))))</f>
        <v>0</v>
      </c>
      <c r="X8" s="56">
        <f t="shared" si="0"/>
        <v>2029193.4178763309</v>
      </c>
      <c r="AD8" s="16" t="s">
        <v>88</v>
      </c>
      <c r="AG8" s="16" t="s">
        <v>84</v>
      </c>
    </row>
    <row r="9" spans="1:33" x14ac:dyDescent="0.2">
      <c r="A9" s="16" t="s">
        <v>1067</v>
      </c>
      <c r="B9" s="56">
        <f>IF($G$2&lt;&gt;"Não se aplica",SUMIF(TUSD!$G$57:'TUSD'!$G$103,$I$2,TUSD!$L$57:'TUSD'!$L$103),IF($F$2&lt;&gt;"Não se aplica",SUMIF(TUSD!$F$57:'TUSD'!$F$103,$I$2,TUSD!$L$57:'TUSD'!$L$103),IF($E$2&lt;&gt;"Não se aplica",SUMIF(TUSD!$E$57:'TUSD'!$E$103,$I$2,TUSD!$L$57:'TUSD'!$L$103),IF($D$2&lt;&gt;"Não se aplica",SUMIF(TUSD!$D$57:'TUSD'!$D$103,$I$2,TUSD!$L$57:'TUSD'!$L$103),IF($C$2&lt;&gt;"Não se aplica",SUMIF(TUSD!$C$57:'TUSD'!$C$103,$I$2,TUSD!$L$57:'TUSD'!$L$103),IF($B$2&lt;&gt;"Não se aplica",SUMIF(TUSD!$B$57:'TUSD'!$B$103,$I$2,TUSD!$L$57:'TUSD'!$L$103),SUMIF(TUSD!$A$57:'TUSD'!$A$103,$I$2,TUSD!$L$57:'TUSD'!$L$103)))))))</f>
        <v>79979.943417887727</v>
      </c>
      <c r="C9" s="56">
        <f>IF($G$2&lt;&gt;"Não se aplica",SUMIF(TUSD!$G$57:'TUSD'!$G$103,$I$2,TUSD!$M$57:'TUSD'!$M$103),IF($F$2&lt;&gt;"Não se aplica",SUMIF(TUSD!$F$57:'TUSD'!$F$103,$I$2,TUSD!$M$57:'TUSD'!$M$103),IF($E$2&lt;&gt;"Não se aplica",SUMIF(TUSD!$E$57:'TUSD'!$E$103,$I$2,TUSD!$M$57:'TUSD'!$M$103),IF($D$2&lt;&gt;"Não se aplica",SUMIF(TUSD!$D$57:'TUSD'!$D$103,$I$2,TUSD!$M$57:'TUSD'!$M$103),IF($C$2&lt;&gt;"Não se aplica",SUMIF(TUSD!$C$57:'TUSD'!$C$103,$I$2,TUSD!$M$57:'TUSD'!$M$103),IF($B$2&lt;&gt;"Não se aplica",SUMIF(TUSD!$B$57:'TUSD'!$B$103,$I$2,TUSD!$M$57:'TUSD'!$M$103),SUMIF(TUSD!$A$57:'TUSD'!$A$103,$I$2,TUSD!$M$57:'TUSD'!$M$103)))))))</f>
        <v>6747.5020342355001</v>
      </c>
      <c r="D9" s="56">
        <f ca="1">IF($G$2&lt;&gt;"Não se aplica",SUMIF(TUSD!$G$57:'TUSD'!$G$103,$I$2,TUSD!$N$57:'TUSD'!$N$103),IF($F$2&lt;&gt;"Não se aplica",SUMIF(TUSD!$F$57:'TUSD'!$F$103,$I$2,TUSD!$N$57:'TUSD'!$N$103),IF($E$2&lt;&gt;"Não se aplica",SUMIF(TUSD!$E$57:'TUSD'!$E$103,$I$2,TUSD!$N$57:'TUSD'!$N$103),IF($D$2&lt;&gt;"Não se aplica",SUMIF(TUSD!$D$57:'TUSD'!$D$103,$I$2,TUSD!$N$57:'TUSD'!$N$103),IF($C$2&lt;&gt;"Não se aplica",SUMIF(TUSD!$C$57:'TUSD'!$C$103,$I$2,TUSD!$N$57:'TUSD'!$N$103),IF($B$2&lt;&gt;"Não se aplica",SUMIF(TUSD!$B$57:'TUSD'!$B$103,$I$2,TUSD!$N$57:'TUSD'!$N$103),SUMIF(TUSD!$A$57:'TUSD'!$A$103,$I$2,TUSD!$N$57:'TUSD'!$N$103)))))))</f>
        <v>0</v>
      </c>
      <c r="E9" s="56">
        <f>IF($G$2&lt;&gt;"Não se aplica",SUMIF(TUSD!$G$57:'TUSD'!$G$103,$I$2,TUSD!$O$57:'TUSD'!$O$103),IF($F$2&lt;&gt;"Não se aplica",SUMIF(TUSD!$F$57:'TUSD'!$F$103,$I$2,TUSD!$O$57:'TUSD'!$O$103),IF($E$2&lt;&gt;"Não se aplica",SUMIF(TUSD!$E$57:'TUSD'!$E$103,$I$2,TUSD!$O$57:'TUSD'!$O$103),IF($D$2&lt;&gt;"Não se aplica",SUMIF(TUSD!$D$57:'TUSD'!$D$103,$I$2,TUSD!$O$57:'TUSD'!$O$103),IF($C$2&lt;&gt;"Não se aplica",SUMIF(TUSD!$C$57:'TUSD'!$C$103,$I$2,TUSD!$O$57:'TUSD'!$O$103),IF($B$2&lt;&gt;"Não se aplica",SUMIF(TUSD!$B$57:'TUSD'!$B$103,$I$2,TUSD!$O$57:'TUSD'!$O$103),SUMIF(TUSD!$A$57:'TUSD'!$A$103,$I$2,TUSD!$O$57:'TUSD'!$O$103)))))))</f>
        <v>0</v>
      </c>
      <c r="F9" s="56">
        <f>IF($G$2&lt;&gt;"Não se aplica",SUMIF(TUSD!$G$57:'TUSD'!$G$103,$I$2,TUSD!$P$57:'TUSD'!$P$103),IF($F$2&lt;&gt;"Não se aplica",SUMIF(TUSD!$F$57:'TUSD'!$F$103,$I$2,TUSD!$P$57:'TUSD'!$P$103),IF($E$2&lt;&gt;"Não se aplica",SUMIF(TUSD!$E$57:'TUSD'!$E$103,$I$2,TUSD!$P$57:'TUSD'!$P$103),IF($D$2&lt;&gt;"Não se aplica",SUMIF(TUSD!$D$57:'TUSD'!$D$103,$I$2,TUSD!$P$57:'TUSD'!$P$103),IF($C$2&lt;&gt;"Não se aplica",SUMIF(TUSD!$C$57:'TUSD'!$C$103,$I$2,TUSD!$P$57:'TUSD'!$P$103),IF($B$2&lt;&gt;"Não se aplica",SUMIF(TUSD!$B$57:'TUSD'!$B$103,$I$2,TUSD!$P$57:'TUSD'!$P$103),SUMIF(TUSD!$A$57:'TUSD'!$A$103,$I$2,TUSD!$P$57:'TUSD'!$P$103)))))))</f>
        <v>0</v>
      </c>
      <c r="G9" s="56">
        <f>IF($G$2&lt;&gt;"Não se aplica",SUMIF(TUSD!$G$57:'TUSD'!$G$103,$I$2,TUSD!$Q$57:'TUSD'!$Q$103),IF($F$2&lt;&gt;"Não se aplica",SUMIF(TUSD!$F$57:'TUSD'!$F$103,$I$2,TUSD!$Q$57:'TUSD'!$Q$103),IF($E$2&lt;&gt;"Não se aplica",SUMIF(TUSD!$E$57:'TUSD'!$E$103,$I$2,TUSD!$Q$57:'TUSD'!$Q$103),IF($D$2&lt;&gt;"Não se aplica",SUMIF(TUSD!$D$57:'TUSD'!$D$103,$I$2,TUSD!$Q$57:'TUSD'!$Q$103),IF($C$2&lt;&gt;"Não se aplica",SUMIF(TUSD!$C$57:'TUSD'!$C$103,$I$2,TUSD!$Q$57:'TUSD'!$Q$103),IF($B$2&lt;&gt;"Não se aplica",SUMIF(TUSD!$B$57:'TUSD'!$B$103,$I$2,TUSD!$Q$57:'TUSD'!$Q$103),SUMIF(TUSD!$A$57:'TUSD'!$A$103,$I$2,TUSD!$Q$57:'TUSD'!$Q$103)))))))</f>
        <v>313823.22106358915</v>
      </c>
      <c r="H9" s="56">
        <f>IF($G$2&lt;&gt;"Não se aplica",SUMIF(TUSD!$G$57:'TUSD'!$G$103,$I$2,TUSD!$R$57:'TUSD'!$R$103),IF($F$2&lt;&gt;"Não se aplica",SUMIF(TUSD!$F$57:'TUSD'!$F$103,$I$2,TUSD!$R$57:'TUSD'!$R$103),IF($E$2&lt;&gt;"Não se aplica",SUMIF(TUSD!$E$57:'TUSD'!$E$103,$I$2,TUSD!$R$57:'TUSD'!$R$103),IF($D$2&lt;&gt;"Não se aplica",SUMIF(TUSD!$D$57:'TUSD'!$D$103,$I$2,TUSD!$R$57:'TUSD'!$R$103),IF($C$2&lt;&gt;"Não se aplica",SUMIF(TUSD!$C$57:'TUSD'!$C$103,$I$2,TUSD!$R$57:'TUSD'!$R$103),IF($B$2&lt;&gt;"Não se aplica",SUMIF(TUSD!$B$57:'TUSD'!$B$103,$I$2,TUSD!$R$57:'TUSD'!$R$103),SUMIF(TUSD!$A$57:'TUSD'!$A$103,$I$2,TUSD!$R$57:'TUSD'!$R$103)))))))</f>
        <v>60918.249946175849</v>
      </c>
      <c r="I9" s="56">
        <f>IF($G$2&lt;&gt;"Não se aplica",SUMIF(TUSD!$G$57:'TUSD'!$G$103,$I$2,TUSD!$S$57:'TUSD'!$S$103),IF($F$2&lt;&gt;"Não se aplica",SUMIF(TUSD!$F$57:'TUSD'!$F$103,$I$2,TUSD!$S$57:'TUSD'!$S$103),IF($E$2&lt;&gt;"Não se aplica",SUMIF(TUSD!$E$57:'TUSD'!$E$103,$I$2,TUSD!$S$57:'TUSD'!$S$103),IF($D$2&lt;&gt;"Não se aplica",SUMIF(TUSD!$D$57:'TUSD'!$D$103,$I$2,TUSD!$S$57:'TUSD'!$S$103),IF($C$2&lt;&gt;"Não se aplica",SUMIF(TUSD!$C$57:'TUSD'!$C$103,$I$2,TUSD!$S$57:'TUSD'!$S$103),IF($B$2&lt;&gt;"Não se aplica",SUMIF(TUSD!$B$57:'TUSD'!$B$103,$I$2,TUSD!$S$57:'TUSD'!$S$103),SUMIF(TUSD!$A$57:'TUSD'!$A$103,$I$2,TUSD!$S$57:'TUSD'!$S$103)))))))</f>
        <v>0</v>
      </c>
      <c r="J9" s="56">
        <f>IF($G$2&lt;&gt;"Não se aplica",SUMIF(TUSD!$G$57:'TUSD'!$G$103,$I$2,TUSD!$T$57:'TUSD'!$T$103),IF($F$2&lt;&gt;"Não se aplica",SUMIF(TUSD!$F$57:'TUSD'!$F$103,$I$2,TUSD!$T$57:'TUSD'!$T$103),IF($E$2&lt;&gt;"Não se aplica",SUMIF(TUSD!$E$57:'TUSD'!$E$103,$I$2,TUSD!$T$57:'TUSD'!$T$103),IF($D$2&lt;&gt;"Não se aplica",SUMIF(TUSD!$D$57:'TUSD'!$D$103,$I$2,TUSD!$T$57:'TUSD'!$T$103),IF($C$2&lt;&gt;"Não se aplica",SUMIF(TUSD!$C$57:'TUSD'!$C$103,$I$2,TUSD!$T$57:'TUSD'!$T$103),IF($B$2&lt;&gt;"Não se aplica",SUMIF(TUSD!$B$57:'TUSD'!$B$103,$I$2,TUSD!$T$57:'TUSD'!$T$103),SUMIF(TUSD!$A$57:'TUSD'!$A$103,$I$2,TUSD!$T$57:'TUSD'!$T$103)))))))</f>
        <v>0</v>
      </c>
      <c r="K9" s="56">
        <f>IF($G$2&lt;&gt;"Não se aplica",SUMIF(TUSD!$G$57:'TUSD'!$G$103,$I$2,TUSD!$U$57:'TUSD'!$U$103),IF($F$2&lt;&gt;"Não se aplica",SUMIF(TUSD!$F$57:'TUSD'!$F$103,$I$2,TUSD!$U$57:'TUSD'!$U$103),IF($E$2&lt;&gt;"Não se aplica",SUMIF(TUSD!$E$57:'TUSD'!$E$103,$I$2,TUSD!$U$57:'TUSD'!$U$103),IF($D$2&lt;&gt;"Não se aplica",SUMIF(TUSD!$D$57:'TUSD'!$D$103,$I$2,TUSD!$U$57:'TUSD'!$U$103),IF($C$2&lt;&gt;"Não se aplica",SUMIF(TUSD!$C$57:'TUSD'!$C$103,$I$2,TUSD!$U$57:'TUSD'!$U$103),IF($B$2&lt;&gt;"Não se aplica",SUMIF(TUSD!$B$57:'TUSD'!$B$103,$I$2,TUSD!$U$57:'TUSD'!$U$103),SUMIF(TUSD!$A$57:'TUSD'!$A$103,$I$2,TUSD!$U$57:'TUSD'!$U$103)))))))</f>
        <v>0</v>
      </c>
      <c r="L9" s="56">
        <f>IF($G$2&lt;&gt;"Não se aplica",SUMIF(TUSD!$G$57:'TUSD'!$G$103,$I$2,TUSD!$V$57:'TUSD'!$V$103),IF($F$2&lt;&gt;"Não se aplica",SUMIF(TUSD!$F$57:'TUSD'!$F$103,$I$2,TUSD!$V$57:'TUSD'!$V$103),IF($E$2&lt;&gt;"Não se aplica",SUMIF(TUSD!$E$57:'TUSD'!$E$103,$I$2,TUSD!$V$57:'TUSD'!$V$103),IF($D$2&lt;&gt;"Não se aplica",SUMIF(TUSD!$D$57:'TUSD'!$D$103,$I$2,TUSD!$V$57:'TUSD'!$V$103),IF($C$2&lt;&gt;"Não se aplica",SUMIF(TUSD!$C$57:'TUSD'!$C$103,$I$2,TUSD!$V$57:'TUSD'!$V$103),IF($B$2&lt;&gt;"Não se aplica",SUMIF(TUSD!$B$57:'TUSD'!$B$103,$I$2,TUSD!$V$57:'TUSD'!$V$103),SUMIF(TUSD!$A$57:'TUSD'!$A$103,$I$2,TUSD!$V$57:'TUSD'!$V$103)))))))</f>
        <v>0</v>
      </c>
      <c r="M9" s="56">
        <f>IF($G$2&lt;&gt;"Não se aplica",SUMIF(TUSD!$G$57:'TUSD'!$G$103,$I$2,TUSD!$W$57:'TUSD'!$W$103),IF($F$2&lt;&gt;"Não se aplica",SUMIF(TUSD!$F$57:'TUSD'!$F$103,$I$2,TUSD!$W$57:'TUSD'!$W$103),IF($E$2&lt;&gt;"Não se aplica",SUMIF(TUSD!$E$57:'TUSD'!$E$103,$I$2,TUSD!$W$57:'TUSD'!$W$103),IF($D$2&lt;&gt;"Não se aplica",SUMIF(TUSD!$D$57:'TUSD'!$D$103,$I$2,TUSD!$W$57:'TUSD'!$W$103),IF($C$2&lt;&gt;"Não se aplica",SUMIF(TUSD!$C$57:'TUSD'!$C$103,$I$2,TUSD!$W$57:'TUSD'!$W$103),IF($B$2&lt;&gt;"Não se aplica",SUMIF(TUSD!$B$57:'TUSD'!$B$103,$I$2,TUSD!$W$57:'TUSD'!$W$103),SUMIF(TUSD!$A$57:'TUSD'!$A$103,$I$2,TUSD!$W$57:'TUSD'!$W$103)))))))</f>
        <v>0</v>
      </c>
      <c r="N9" s="56">
        <f>IF($G$2&lt;&gt;"Não se aplica",SUMIF(TUSD!$G$57:'TUSD'!$G$103,$I$2,TUSD!$X$57:'TUSD'!$X$103),IF($F$2&lt;&gt;"Não se aplica",SUMIF(TUSD!$F$57:'TUSD'!$F$103,$I$2,TUSD!$X$57:'TUSD'!$X$103),IF($E$2&lt;&gt;"Não se aplica",SUMIF(TUSD!$E$57:'TUSD'!$E$103,$I$2,TUSD!$X$57:'TUSD'!$X$103),IF($D$2&lt;&gt;"Não se aplica",SUMIF(TUSD!$D$57:'TUSD'!$D$103,$I$2,TUSD!$X$57:'TUSD'!$X$103),IF($C$2&lt;&gt;"Não se aplica",SUMIF(TUSD!$C$57:'TUSD'!$C$103,$I$2,TUSD!$X$57:'TUSD'!$X$103),IF($B$2&lt;&gt;"Não se aplica",SUMIF(TUSD!$B$57:'TUSD'!$B$103,$I$2,TUSD!$X$57:'TUSD'!$X$103),SUMIF(TUSD!$A$57:'TUSD'!$A$103,$I$2,TUSD!$X$57:'TUSD'!$X$103)))))))</f>
        <v>843510.08623298118</v>
      </c>
      <c r="O9" s="56">
        <f>IF($G$2&lt;&gt;"Não se aplica",SUMIF(TUSD!$G$57:'TUSD'!$G$103,$I$2,TUSD!$Y$57:'TUSD'!$Y$103),IF($F$2&lt;&gt;"Não se aplica",SUMIF(TUSD!$F$57:'TUSD'!$F$103,$I$2,TUSD!$Y$57:'TUSD'!$Y$103),IF($E$2&lt;&gt;"Não se aplica",SUMIF(TUSD!$E$57:'TUSD'!$E$103,$I$2,TUSD!$Y$57:'TUSD'!$Y$103),IF($D$2&lt;&gt;"Não se aplica",SUMIF(TUSD!$D$57:'TUSD'!$D$103,$I$2,TUSD!$Y$57:'TUSD'!$Y$103),IF($C$2&lt;&gt;"Não se aplica",SUMIF(TUSD!$C$57:'TUSD'!$C$103,$I$2,TUSD!$Y$57:'TUSD'!$Y$103),IF($B$2&lt;&gt;"Não se aplica",SUMIF(TUSD!$B$57:'TUSD'!$B$103,$I$2,TUSD!$Y$57:'TUSD'!$Y$103),SUMIF(TUSD!$A$57:'TUSD'!$A$103,$I$2,TUSD!$Y$57:'TUSD'!$Y$103)))))))</f>
        <v>0</v>
      </c>
      <c r="P9" s="56">
        <f>IF($G$2&lt;&gt;"Não se aplica",SUMIF(TUSD!$G$57:'TUSD'!$G$103,$I$2,TUSD!$Z$57:'TUSD'!$Z$103),IF($F$2&lt;&gt;"Não se aplica",SUMIF(TUSD!$F$57:'TUSD'!$F$103,$I$2,TUSD!$Z$57:'TUSD'!$Z$103),IF($E$2&lt;&gt;"Não se aplica",SUMIF(TUSD!$E$57:'TUSD'!$E$103,$I$2,TUSD!$Z$57:'TUSD'!$Z$103),IF($D$2&lt;&gt;"Não se aplica",SUMIF(TUSD!$D$57:'TUSD'!$D$103,$I$2,TUSD!$Z$57:'TUSD'!$Z$103),IF($C$2&lt;&gt;"Não se aplica",SUMIF(TUSD!$C$57:'TUSD'!$C$103,$I$2,TUSD!$Z$57:'TUSD'!$Z$103),IF($B$2&lt;&gt;"Não se aplica",SUMIF(TUSD!$B$57:'TUSD'!$B$103,$I$2,TUSD!$Z$57:'TUSD'!$Z$103),SUMIF(TUSD!$A$57:'TUSD'!$A$103,$I$2,TUSD!$Z$57:'TUSD'!$Z$103)))))))</f>
        <v>0</v>
      </c>
      <c r="Q9" s="56">
        <f>IF($G$2&lt;&gt;"Não se aplica",SUMIF(TUSD!$G$57:'TUSD'!$G$103,$I$2,TUSD!$AA$57:'TUSD'!$AA$103),IF($F$2&lt;&gt;"Não se aplica",SUMIF(TUSD!$F$57:'TUSD'!$F$103,$I$2,TUSD!$AA$57:'TUSD'!$AA$103),IF($E$2&lt;&gt;"Não se aplica",SUMIF(TUSD!$E$57:'TUSD'!$E$103,$I$2,TUSD!$AA$57:'TUSD'!$AA$103),IF($D$2&lt;&gt;"Não se aplica",SUMIF(TUSD!$D$57:'TUSD'!$D$103,$I$2,TUSD!$AA$57:'TUSD'!$AA$103),IF($C$2&lt;&gt;"Não se aplica",SUMIF(TUSD!$C$57:'TUSD'!$C$103,$I$2,TUSD!$AA$57:'TUSD'!$AA$103),IF($B$2&lt;&gt;"Não se aplica",SUMIF(TUSD!$B$57:'TUSD'!$B$103,$I$2,TUSD!$AA$57:'TUSD'!$AA$103),SUMIF(TUSD!$A$57:'TUSD'!$A$103,$I$2,TUSD!$AA$57:'TUSD'!$AA$103)))))))</f>
        <v>1120540.9050137922</v>
      </c>
      <c r="R9" s="56">
        <f ca="1">IF($G$2&lt;&gt;"Não se aplica",SUMIF(TUSD!$G$57:'TUSD'!$G$103,$I$2,TUSD!$AB$57:'TUSD'!$AB$103),IF($F$2&lt;&gt;"Não se aplica",SUMIF(TUSD!$F$57:'TUSD'!$F$103,$I$2,TUSD!$AB$57:'TUSD'!$AB$103),IF($E$2&lt;&gt;"Não se aplica",SUMIF(TUSD!$E$57:'TUSD'!$E$103,$I$2,TUSD!$AB$57:'TUSD'!$AB$103),IF($D$2&lt;&gt;"Não se aplica",SUMIF(TUSD!$D$57:'TUSD'!$D$103,$I$2,TUSD!$AB$57:'TUSD'!$AB$103),IF($C$2&lt;&gt;"Não se aplica",SUMIF(TUSD!$C$57:'TUSD'!$C$103,$I$2,TUSD!$AB$57:'TUSD'!$AB$103),IF($B$2&lt;&gt;"Não se aplica",SUMIF(TUSD!$B$57:'TUSD'!$B$103,$I$2,TUSD!$AB$57:'TUSD'!$AB$103),SUMIF(TUSD!$A$57:'TUSD'!$A$103,$I$2,TUSD!$AB$57:'TUSD'!$AB$103)))))))</f>
        <v>0</v>
      </c>
      <c r="S9" s="56">
        <f ca="1">IF($G$2&lt;&gt;"Não se aplica",SUMIF(TUSD!$G$57:'TUSD'!$G$103,$I$2,TUSD!$AC$57:'TUSD'!$AC$103),IF($F$2&lt;&gt;"Não se aplica",SUMIF(TUSD!$F$57:'TUSD'!$F$103,$I$2,TUSD!$AC$57:'TUSD'!$AC$103),IF($E$2&lt;&gt;"Não se aplica",SUMIF(TUSD!$E$57:'TUSD'!$E$103,$I$2,TUSD!$AC$57:'TUSD'!$AC$103),IF($D$2&lt;&gt;"Não se aplica",SUMIF(TUSD!$D$57:'TUSD'!$D$103,$I$2,TUSD!$AC$57:'TUSD'!$AC$103),IF($C$2&lt;&gt;"Não se aplica",SUMIF(TUSD!$C$57:'TUSD'!$C$103,$I$2,TUSD!$AC$57:'TUSD'!$AC$103),IF($B$2&lt;&gt;"Não se aplica",SUMIF(TUSD!$B$57:'TUSD'!$B$103,$I$2,TUSD!$AC$57:'TUSD'!$AC$103),SUMIF(TUSD!$A$57:'TUSD'!$A$103,$I$2,TUSD!$AC$57:'TUSD'!$AC$103)))))))</f>
        <v>0</v>
      </c>
      <c r="T9" s="56">
        <f>IF($G$2&lt;&gt;"Não se aplica",SUMIF(TUSD!$G$57:'TUSD'!$G$103,$I$2,TUSD!$AD$57:'TUSD'!$AD$103),IF($F$2&lt;&gt;"Não se aplica",SUMIF(TUSD!$F$57:'TUSD'!$F$103,$I$2,TUSD!$AD$57:'TUSD'!$AD$103),IF($E$2&lt;&gt;"Não se aplica",SUMIF(TUSD!$E$57:'TUSD'!$E$103,$I$2,TUSD!$AD$57:'TUSD'!$AD$103),IF($D$2&lt;&gt;"Não se aplica",SUMIF(TUSD!$D$57:'TUSD'!$D$103,$I$2,TUSD!$AD$57:'TUSD'!$AD$103),IF($C$2&lt;&gt;"Não se aplica",SUMIF(TUSD!$C$57:'TUSD'!$C$103,$I$2,TUSD!$AD$57:'TUSD'!$AD$103),IF($B$2&lt;&gt;"Não se aplica",SUMIF(TUSD!$B$57:'TUSD'!$B$103,$I$2,TUSD!$AD$57:'TUSD'!$AD$103),SUMIF(TUSD!$A$57:'TUSD'!$A$103,$I$2,TUSD!$AD$57:'TUSD'!$AD$103)))))))</f>
        <v>77881.146011128323</v>
      </c>
      <c r="U9" s="56">
        <f>IF($G$2&lt;&gt;"Não se aplica",SUMIF(TUSD!$G$57:'TUSD'!$G$103,$I$2,TUSD!$AE$57:'TUSD'!$AE$103),IF($F$2&lt;&gt;"Não se aplica",SUMIF(TUSD!$F$57:'TUSD'!$F$103,$I$2,TUSD!$AE$57:'TUSD'!$AE$103),IF($E$2&lt;&gt;"Não se aplica",SUMIF(TUSD!$E$57:'TUSD'!$E$103,$I$2,TUSD!$AE$57:'TUSD'!$AE$103),IF($D$2&lt;&gt;"Não se aplica",SUMIF(TUSD!$D$57:'TUSD'!$D$103,$I$2,TUSD!$AE$57:'TUSD'!$AE$103),IF($C$2&lt;&gt;"Não se aplica",SUMIF(TUSD!$C$57:'TUSD'!$C$103,$I$2,TUSD!$AE$57:'TUSD'!$AE$103),IF($B$2&lt;&gt;"Não se aplica",SUMIF(TUSD!$B$57:'TUSD'!$B$103,$I$2,TUSD!$AE$57:'TUSD'!$AE$103),SUMIF(TUSD!$A$57:'TUSD'!$A$103,$I$2,TUSD!$AE$57:'TUSD'!$AE$103)))))))</f>
        <v>0</v>
      </c>
      <c r="V9" s="56">
        <f ca="1">IF($G$2&lt;&gt;"Não se aplica",SUMIF(TUSD!$G$57:'TUSD'!$G$103,$I$2,TUSD!$AF$57:'TUSD'!$AF$103),IF($F$2&lt;&gt;"Não se aplica",SUMIF(TUSD!$F$57:'TUSD'!$F$103,$I$2,TUSD!$AF$57:'TUSD'!$AF$103),IF($E$2&lt;&gt;"Não se aplica",SUMIF(TUSD!$E$57:'TUSD'!$E$103,$I$2,TUSD!$AF$57:'TUSD'!$AF$103),IF($D$2&lt;&gt;"Não se aplica",SUMIF(TUSD!$D$57:'TUSD'!$D$103,$I$2,TUSD!$AF$57:'TUSD'!$AF$103),IF($C$2&lt;&gt;"Não se aplica",SUMIF(TUSD!$C$57:'TUSD'!$C$103,$I$2,TUSD!$AF$57:'TUSD'!$AF$103),IF($B$2&lt;&gt;"Não se aplica",SUMIF(TUSD!$B$57:'TUSD'!$B$103,$I$2,TUSD!$AF$57:'TUSD'!$AF$103),SUMIF(TUSD!$A$57:'TUSD'!$A$103,$I$2,TUSD!$AF$57:'TUSD'!$AF$103)))))))</f>
        <v>11022.293531584546</v>
      </c>
      <c r="W9" s="56">
        <f ca="1">IF($G$2&lt;&gt;"Não se aplica",SUMIF(TUSD!$G$57:'TUSD'!$G$103,$I$2,TUSD!$AG$57:'TUSD'!$AG$103),IF($F$2&lt;&gt;"Não se aplica",SUMIF(TUSD!$F$57:'TUSD'!$F$103,$I$2,TUSD!$AG$57:'TUSD'!$AG$103),IF($E$2&lt;&gt;"Não se aplica",SUMIF(TUSD!$E$57:'TUSD'!$E$103,$I$2,TUSD!$AG$57:'TUSD'!$AG$103),IF($D$2&lt;&gt;"Não se aplica",SUMIF(TUSD!$D$57:'TUSD'!$D$103,$I$2,TUSD!$AG$57:'TUSD'!$AG$103),IF($C$2&lt;&gt;"Não se aplica",SUMIF(TUSD!$C$57:'TUSD'!$C$103,$I$2,TUSD!$AG$57:'TUSD'!$AG$103),IF($B$2&lt;&gt;"Não se aplica",SUMIF(TUSD!$B$57:'TUSD'!$B$103,$I$2,TUSD!$AG$57:'TUSD'!$AG$103),SUMIF(TUSD!$A$57:'TUSD'!$A$103,$I$2,TUSD!$AG$57:'TUSD'!$AG$103)))))))</f>
        <v>0</v>
      </c>
      <c r="X9" s="56">
        <f t="shared" ca="1" si="0"/>
        <v>2514423.3472513743</v>
      </c>
      <c r="AD9" s="16" t="s">
        <v>48</v>
      </c>
    </row>
    <row r="10" spans="1:33" x14ac:dyDescent="0.2">
      <c r="A10" s="16" t="s">
        <v>1064</v>
      </c>
      <c r="B10" s="56">
        <f>SUMIF(TUSD!$A$57:'TUSD'!$A$103,$A$2,TUSD!$AI$57:'TUSD'!$AI$103)</f>
        <v>0</v>
      </c>
      <c r="C10" s="56">
        <f>SUMIF(TUSD!$A$57:'TUSD'!$A$103,$A$2,TUSD!$AJ$57:'TUSD'!$AJ$103)</f>
        <v>5462.1337497730074</v>
      </c>
      <c r="D10" s="56">
        <f>SUMIF(TUSD!$A$57:'TUSD'!$A$103,$A$2,TUSD!$AK$57:'TUSD'!$AK$103)</f>
        <v>1.6701368146213857E-6</v>
      </c>
      <c r="E10" s="56">
        <f>SUMIF(TUSD!$A$57:'TUSD'!$A$103,$A$2,TUSD!$AL$57:'TUSD'!$AL$103)</f>
        <v>0</v>
      </c>
      <c r="F10" s="56">
        <f>SUMIF(TUSD!$A$57:'TUSD'!$A$103,$A$2,TUSD!$AM$57:'TUSD'!$AM$103)</f>
        <v>0</v>
      </c>
      <c r="G10" s="56">
        <f>SUMIF(TUSD!$A$57:'TUSD'!$A$103,$A$2,TUSD!$AN$57:'TUSD'!$AN$103)</f>
        <v>288143.9005692139</v>
      </c>
      <c r="H10" s="56">
        <f>SUMIF(TUSD!$A$57:'TUSD'!$A$103,$A$2,TUSD!$AO$57:'TUSD'!$AO$103)</f>
        <v>37094.627249966034</v>
      </c>
      <c r="I10" s="56">
        <f>SUMIF(TUSD!$A$57:'TUSD'!$A$103,$A$2,TUSD!$AP$57:'TUSD'!$AP$103)</f>
        <v>0</v>
      </c>
      <c r="J10" s="56">
        <f>SUMIF(TUSD!$A$57:'TUSD'!$A$103,$A$2,TUSD!$AQ$57:'TUSD'!$AQ$103)</f>
        <v>0</v>
      </c>
      <c r="K10" s="56">
        <f>SUMIF(TUSD!$A$57:'TUSD'!$A$103,$A$2,TUSD!$AR$57:'TUSD'!$AR$103)</f>
        <v>0</v>
      </c>
      <c r="L10" s="56">
        <f>SUMIF(TUSD!$A$57:'TUSD'!$A$103,$A$2,TUSD!$AS$57:'TUSD'!$AS$103)</f>
        <v>0</v>
      </c>
      <c r="M10" s="56">
        <f>SUMIF(TUSD!$A$57:'TUSD'!$A$103,$A$2,TUSD!$AT$57:'TUSD'!$AT$103)</f>
        <v>0</v>
      </c>
      <c r="N10" s="56">
        <f>SUMIF(TUSD!$A$57:'TUSD'!$A$103,$A$2,TUSD!$AU$57:'TUSD'!$AU$103)</f>
        <v>643614.69361831073</v>
      </c>
      <c r="O10" s="56">
        <f>SUMIF(TUSD!$A$57:'TUSD'!$A$103,$A$2,TUSD!$AV$57:'TUSD'!$AV$103)</f>
        <v>0</v>
      </c>
      <c r="P10" s="56">
        <f>SUMIF(TUSD!$A$57:'TUSD'!$A$103,$A$2,TUSD!$AW$57:'TUSD'!$AW$103)</f>
        <v>0</v>
      </c>
      <c r="Q10" s="56">
        <f>SUMIF(TUSD!$A$57:'TUSD'!$A$103,$A$2,TUSD!$AX$57:'TUSD'!$AX$103)</f>
        <v>952835.72825928568</v>
      </c>
      <c r="R10" s="56">
        <f>SUMIF(TUSD!$A$57:'TUSD'!$A$103,$A$2,TUSD!$AY$57:'TUSD'!$AY$103)</f>
        <v>21376.513827715324</v>
      </c>
      <c r="S10" s="56">
        <f>SUMIF(TUSD!$A$57:'TUSD'!$A$103,$A$2,TUSD!$AZ$57:'TUSD'!$AZ$103)</f>
        <v>0</v>
      </c>
      <c r="T10" s="56">
        <f>SUMIF(TUSD!$A$57:'TUSD'!$A$103,$A$2,TUSD!$BA$57:'TUSD'!$BA$103)</f>
        <v>67181.713950127989</v>
      </c>
      <c r="U10" s="56">
        <f>SUMIF(TUSD!$A$57:'TUSD'!$A$103,$A$2,TUSD!$BB$57:'TUSD'!$BB$103)</f>
        <v>0</v>
      </c>
      <c r="V10" s="56">
        <f>SUMIF(TUSD!$A$57:'TUSD'!$A$103,$A$2,TUSD!$BC$57:'TUSD'!$BC$103)</f>
        <v>13484.106650267973</v>
      </c>
      <c r="W10" s="56">
        <f>SUMIF(TUSD!$A$57:'TUSD'!$A$103,$A$2,TUSD!$BD$57:'TUSD'!$BD$103)</f>
        <v>0</v>
      </c>
      <c r="X10" s="56">
        <f t="shared" si="0"/>
        <v>2029193.4178763309</v>
      </c>
      <c r="AD10" s="16" t="s">
        <v>89</v>
      </c>
    </row>
    <row r="11" spans="1:33" x14ac:dyDescent="0.2">
      <c r="A11" s="16" t="s">
        <v>1065</v>
      </c>
      <c r="B11" s="56">
        <f>SUMIF(TUSD!$A$57:'TUSD'!$A$103,$A$2,TUSD!$L$57:'TUSD'!$L$103)</f>
        <v>79979.943417887727</v>
      </c>
      <c r="C11" s="56">
        <f>SUMIF(TUSD!$A$57:'TUSD'!$A$103,$A$2,TUSD!$M$57:'TUSD'!$M$103)</f>
        <v>6747.5020342355001</v>
      </c>
      <c r="D11" s="56">
        <f ca="1">SUMIF(TUSD!$A$57:'TUSD'!$A$103,$A$2,TUSD!$N$57:'TUSD'!$N$103)</f>
        <v>0</v>
      </c>
      <c r="E11" s="56">
        <f>SUMIF(TUSD!$A$57:'TUSD'!$A$103,$A$2,TUSD!$O$57:'TUSD'!$O$103)</f>
        <v>0</v>
      </c>
      <c r="F11" s="56">
        <f>SUMIF(TUSD!$A$57:'TUSD'!$A$103,$A$2,TUSD!$P$57:'TUSD'!$P$103)</f>
        <v>0</v>
      </c>
      <c r="G11" s="56">
        <f>SUMIF(TUSD!$A$57:'TUSD'!$A$103,$A$2,TUSD!$Q$57:'TUSD'!$Q$103)</f>
        <v>313823.22106358915</v>
      </c>
      <c r="H11" s="56">
        <f>SUMIF(TUSD!$A$57:'TUSD'!$A$103,$A$2,TUSD!$R$57:'TUSD'!$R$103)</f>
        <v>60918.249946175849</v>
      </c>
      <c r="I11" s="56">
        <f>SUMIF(TUSD!$A$57:'TUSD'!$A$103,$A$2,TUSD!$S$57:'TUSD'!$S$103)</f>
        <v>0</v>
      </c>
      <c r="J11" s="56">
        <f>SUMIF(TUSD!$A$57:'TUSD'!$A$103,$A$2,TUSD!$T$57:'TUSD'!$T$103)</f>
        <v>0</v>
      </c>
      <c r="K11" s="56">
        <f>SUMIF(TUSD!$A$57:'TUSD'!$A$103,$A$2,TUSD!$U$57:'TUSD'!$U$103)</f>
        <v>0</v>
      </c>
      <c r="L11" s="56">
        <f>SUMIF(TUSD!$A$57:'TUSD'!$A$103,$A$2,TUSD!$V$57:'TUSD'!$V$103)</f>
        <v>0</v>
      </c>
      <c r="M11" s="56">
        <f>SUMIF(TUSD!$A$57:'TUSD'!$A$103,$A$2,TUSD!$W$57:'TUSD'!$W$103)</f>
        <v>0</v>
      </c>
      <c r="N11" s="56">
        <f>SUMIF(TUSD!$A$57:'TUSD'!$A$103,$A$2,TUSD!$X$57:'TUSD'!$X$103)</f>
        <v>843510.08623298118</v>
      </c>
      <c r="O11" s="56">
        <f>SUMIF(TUSD!$A$57:'TUSD'!$A$103,$A$2,TUSD!$Y$57:'TUSD'!$Y$103)</f>
        <v>0</v>
      </c>
      <c r="P11" s="56">
        <f>SUMIF(TUSD!$A$57:'TUSD'!$A$103,$A$2,TUSD!$Z$57:'TUSD'!$Z$103)</f>
        <v>0</v>
      </c>
      <c r="Q11" s="56">
        <f>SUMIF(TUSD!$A$57:'TUSD'!$A$103,$A$2,TUSD!$AA$57:'TUSD'!$AA$103)</f>
        <v>1120540.9050137922</v>
      </c>
      <c r="R11" s="56">
        <f ca="1">SUMIF(TUSD!$A$57:'TUSD'!$A$103,$A$2,TUSD!$AB$57:'TUSD'!$AB$103)</f>
        <v>0</v>
      </c>
      <c r="S11" s="56">
        <f ca="1">SUMIF(TUSD!$A$57:'TUSD'!$A$103,$A$2,TUSD!$AC$57:'TUSD'!$AC$103)</f>
        <v>0</v>
      </c>
      <c r="T11" s="56">
        <f>SUMIF(TUSD!$A$57:'TUSD'!$A$103,$A$2,TUSD!$AD$57:'TUSD'!$AD$103)</f>
        <v>77881.146011128323</v>
      </c>
      <c r="U11" s="56">
        <f>SUMIF(TUSD!$A$57:'TUSD'!$A$103,$A$2,TUSD!$AE$57:'TUSD'!$AE$103)</f>
        <v>0</v>
      </c>
      <c r="V11" s="56">
        <f ca="1">SUMIF(TUSD!$A$57:'TUSD'!$A$103,$A$2,TUSD!$AF$57:'TUSD'!$AF$103)</f>
        <v>11022.293531584546</v>
      </c>
      <c r="W11" s="56">
        <f ca="1">SUMIF(TUSD!$A$57:'TUSD'!$A$103,$A$2,TUSD!$AG$57:'TUSD'!$AG$103)</f>
        <v>0</v>
      </c>
      <c r="X11" s="56">
        <f t="shared" ca="1" si="0"/>
        <v>2514423.3472513743</v>
      </c>
    </row>
    <row r="13" spans="1:33" x14ac:dyDescent="0.2">
      <c r="A13" s="16" t="s">
        <v>1069</v>
      </c>
      <c r="B13" s="75">
        <f t="shared" ref="B13:X13" si="1">IF($X$6&lt;&gt;0,(B$7-B$6)/$X$6,0)</f>
        <v>3.0140758858854966E-2</v>
      </c>
      <c r="C13" s="75">
        <f t="shared" si="1"/>
        <v>9.6306810006802621E-4</v>
      </c>
      <c r="D13" s="75">
        <f t="shared" ca="1" si="1"/>
        <v>-3.0000259126355116E-12</v>
      </c>
      <c r="E13" s="75">
        <f t="shared" si="1"/>
        <v>0</v>
      </c>
      <c r="F13" s="75">
        <f t="shared" si="1"/>
        <v>0</v>
      </c>
      <c r="G13" s="75">
        <f t="shared" si="1"/>
        <v>1.3629308129829166E-2</v>
      </c>
      <c r="H13" s="75">
        <f t="shared" si="1"/>
        <v>7.7235593321889088E-3</v>
      </c>
      <c r="I13" s="75">
        <f t="shared" si="1"/>
        <v>0</v>
      </c>
      <c r="J13" s="75">
        <f t="shared" si="1"/>
        <v>0</v>
      </c>
      <c r="K13" s="75">
        <f t="shared" si="1"/>
        <v>0</v>
      </c>
      <c r="L13" s="75">
        <f t="shared" si="1"/>
        <v>0</v>
      </c>
      <c r="M13" s="75">
        <f t="shared" si="1"/>
        <v>0</v>
      </c>
      <c r="N13" s="75">
        <f t="shared" si="1"/>
        <v>7.7658517423174547E-2</v>
      </c>
      <c r="O13" s="75">
        <f t="shared" si="1"/>
        <v>0</v>
      </c>
      <c r="P13" s="75">
        <f t="shared" si="1"/>
        <v>0</v>
      </c>
      <c r="Q13" s="75">
        <f t="shared" si="1"/>
        <v>0.10376017431443207</v>
      </c>
      <c r="R13" s="75">
        <f t="shared" ca="1" si="1"/>
        <v>-1.0727809935607433E-2</v>
      </c>
      <c r="S13" s="75">
        <f t="shared" ca="1" si="1"/>
        <v>0</v>
      </c>
      <c r="T13" s="75">
        <f t="shared" si="1"/>
        <v>8.0181513758106268E-3</v>
      </c>
      <c r="U13" s="75">
        <f t="shared" si="1"/>
        <v>0</v>
      </c>
      <c r="V13" s="75">
        <f t="shared" ca="1" si="1"/>
        <v>-8.815873087966087E-4</v>
      </c>
      <c r="W13" s="75">
        <f t="shared" ca="1" si="1"/>
        <v>0</v>
      </c>
      <c r="X13" s="75">
        <f t="shared" ca="1" si="1"/>
        <v>0.23028414028695443</v>
      </c>
    </row>
    <row r="14" spans="1:33" x14ac:dyDescent="0.2">
      <c r="A14" s="16" t="s">
        <v>1070</v>
      </c>
      <c r="B14" s="75">
        <f t="shared" ref="B14:X14" si="2">IF($X$10&lt;&gt;0,(B$9-B$8)/$X$10,0)</f>
        <v>3.9414647570457526E-2</v>
      </c>
      <c r="C14" s="75">
        <f t="shared" si="2"/>
        <v>6.3343803165284533E-4</v>
      </c>
      <c r="D14" s="75">
        <f t="shared" ca="1" si="2"/>
        <v>-8.2305452004140695E-13</v>
      </c>
      <c r="E14" s="75">
        <f t="shared" si="2"/>
        <v>0</v>
      </c>
      <c r="F14" s="75">
        <f t="shared" si="2"/>
        <v>0</v>
      </c>
      <c r="G14" s="75">
        <f t="shared" si="2"/>
        <v>1.26549397746668E-2</v>
      </c>
      <c r="H14" s="75">
        <f t="shared" si="2"/>
        <v>1.1740439568911387E-2</v>
      </c>
      <c r="I14" s="75">
        <f t="shared" si="2"/>
        <v>0</v>
      </c>
      <c r="J14" s="75">
        <f t="shared" si="2"/>
        <v>0</v>
      </c>
      <c r="K14" s="75">
        <f t="shared" si="2"/>
        <v>0</v>
      </c>
      <c r="L14" s="75">
        <f t="shared" si="2"/>
        <v>0</v>
      </c>
      <c r="M14" s="75">
        <f t="shared" si="2"/>
        <v>0</v>
      </c>
      <c r="N14" s="75">
        <f t="shared" si="2"/>
        <v>9.8509777753898201E-2</v>
      </c>
      <c r="O14" s="75">
        <f t="shared" si="2"/>
        <v>0</v>
      </c>
      <c r="P14" s="75">
        <f t="shared" si="2"/>
        <v>0</v>
      </c>
      <c r="Q14" s="75">
        <f t="shared" si="2"/>
        <v>8.2646225479096905E-2</v>
      </c>
      <c r="R14" s="75">
        <f t="shared" ca="1" si="2"/>
        <v>-1.0534488057864435E-2</v>
      </c>
      <c r="S14" s="75">
        <f t="shared" ca="1" si="2"/>
        <v>0</v>
      </c>
      <c r="T14" s="75">
        <f t="shared" si="2"/>
        <v>5.2727512157012182E-3</v>
      </c>
      <c r="U14" s="75">
        <f t="shared" si="2"/>
        <v>0</v>
      </c>
      <c r="V14" s="75">
        <f t="shared" ca="1" si="2"/>
        <v>-1.2131978632474857E-3</v>
      </c>
      <c r="W14" s="75">
        <f t="shared" ca="1" si="2"/>
        <v>0</v>
      </c>
      <c r="X14" s="75">
        <f t="shared" ca="1" si="2"/>
        <v>0.23912453347244975</v>
      </c>
    </row>
    <row r="15" spans="1:33" x14ac:dyDescent="0.2">
      <c r="A15" s="16" t="s">
        <v>1071</v>
      </c>
      <c r="B15" s="75">
        <f t="shared" ref="B15:X15" si="3">IF($X$8&lt;&gt;0,(B$9-B$8)/$X$8,0)</f>
        <v>3.9414647570457526E-2</v>
      </c>
      <c r="C15" s="75">
        <f t="shared" si="3"/>
        <v>6.3343803165284533E-4</v>
      </c>
      <c r="D15" s="75">
        <f t="shared" ca="1" si="3"/>
        <v>-8.2305452004140695E-13</v>
      </c>
      <c r="E15" s="75">
        <f t="shared" si="3"/>
        <v>0</v>
      </c>
      <c r="F15" s="75">
        <f t="shared" si="3"/>
        <v>0</v>
      </c>
      <c r="G15" s="75">
        <f t="shared" si="3"/>
        <v>1.26549397746668E-2</v>
      </c>
      <c r="H15" s="75">
        <f t="shared" si="3"/>
        <v>1.1740439568911387E-2</v>
      </c>
      <c r="I15" s="75">
        <f t="shared" si="3"/>
        <v>0</v>
      </c>
      <c r="J15" s="75">
        <f t="shared" si="3"/>
        <v>0</v>
      </c>
      <c r="K15" s="75">
        <f t="shared" si="3"/>
        <v>0</v>
      </c>
      <c r="L15" s="75">
        <f t="shared" si="3"/>
        <v>0</v>
      </c>
      <c r="M15" s="75">
        <f t="shared" si="3"/>
        <v>0</v>
      </c>
      <c r="N15" s="75">
        <f t="shared" si="3"/>
        <v>9.8509777753898201E-2</v>
      </c>
      <c r="O15" s="75">
        <f t="shared" si="3"/>
        <v>0</v>
      </c>
      <c r="P15" s="75">
        <f t="shared" si="3"/>
        <v>0</v>
      </c>
      <c r="Q15" s="75">
        <f t="shared" si="3"/>
        <v>8.2646225479096905E-2</v>
      </c>
      <c r="R15" s="75">
        <f t="shared" ca="1" si="3"/>
        <v>-1.0534488057864435E-2</v>
      </c>
      <c r="S15" s="75">
        <f t="shared" ca="1" si="3"/>
        <v>0</v>
      </c>
      <c r="T15" s="75">
        <f t="shared" si="3"/>
        <v>5.2727512157012182E-3</v>
      </c>
      <c r="U15" s="75">
        <f t="shared" si="3"/>
        <v>0</v>
      </c>
      <c r="V15" s="75">
        <f t="shared" ca="1" si="3"/>
        <v>-1.2131978632474857E-3</v>
      </c>
      <c r="W15" s="75">
        <f t="shared" ca="1" si="3"/>
        <v>0</v>
      </c>
      <c r="X15" s="75">
        <f t="shared" ca="1" si="3"/>
        <v>0.23912453347244975</v>
      </c>
    </row>
  </sheetData>
  <dataValidations count="6">
    <dataValidation type="list" allowBlank="1" showInputMessage="1" showErrorMessage="1" error="Deve-se selecionar grupo válido" sqref="A2" xr:uid="{AF7AAD04-0F99-46DB-B3A7-D569DA678E61}">
      <formula1>AA1:AA6</formula1>
    </dataValidation>
    <dataValidation type="list" allowBlank="1" showInputMessage="1" showErrorMessage="1" error="Deve-se selecionar grupo válido" sqref="B2" xr:uid="{E69CECF2-1804-4598-A78E-C9E6D1B0CACC}">
      <formula1>AB1:AB7</formula1>
    </dataValidation>
    <dataValidation type="list" allowBlank="1" showInputMessage="1" showErrorMessage="1" error="Deve-se selecionar grupo válido" sqref="C2 E2" xr:uid="{C67F7AD5-BE7E-4952-9054-F6A823DD3DDB}">
      <formula1>AC1:AC4</formula1>
    </dataValidation>
    <dataValidation type="list" allowBlank="1" showInputMessage="1" showErrorMessage="1" error="Deve-se selecionar grupo válido" sqref="D2" xr:uid="{CC2F445B-FA3A-48A6-A6F3-C92F94279715}">
      <formula1>AD1:AD10</formula1>
    </dataValidation>
    <dataValidation type="list" allowBlank="1" showInputMessage="1" showErrorMessage="1" error="Deve-se selecionar grupo válido" sqref="F2" xr:uid="{EC9DCCF2-12A9-46B5-AFE5-ECF6346DD773}">
      <formula1>AF1:AF1</formula1>
    </dataValidation>
    <dataValidation type="list" allowBlank="1" showInputMessage="1" showErrorMessage="1" error="Deve-se selecionar grupo válido" sqref="G2" xr:uid="{269E2A1C-0889-4C90-B7BF-700F1657B9B6}">
      <formula1>AG1:AG8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613078-B693-4360-822F-AF2ED676F017}">
  <dimension ref="A1:AG15"/>
  <sheetViews>
    <sheetView showGridLines="0" workbookViewId="0">
      <selection activeCell="J15" sqref="J15"/>
    </sheetView>
  </sheetViews>
  <sheetFormatPr defaultRowHeight="11.25" x14ac:dyDescent="0.2"/>
  <cols>
    <col min="1" max="1" width="19.140625" style="16" bestFit="1" customWidth="1"/>
    <col min="2" max="2" width="10.5703125" style="16" bestFit="1" customWidth="1"/>
    <col min="3" max="5" width="10.28515625" style="16" bestFit="1" customWidth="1"/>
    <col min="6" max="6" width="14.85546875" style="16" bestFit="1" customWidth="1"/>
    <col min="7" max="7" width="10.28515625" style="16" bestFit="1" customWidth="1"/>
    <col min="8" max="8" width="9.5703125" style="16" bestFit="1" customWidth="1"/>
    <col min="9" max="9" width="6.42578125" style="16" bestFit="1" customWidth="1"/>
    <col min="10" max="10" width="7.7109375" style="16" bestFit="1" customWidth="1"/>
    <col min="11" max="11" width="10.7109375" style="16" bestFit="1" customWidth="1"/>
    <col min="12" max="12" width="10.85546875" style="16" bestFit="1" customWidth="1"/>
    <col min="13" max="26" width="9.140625" style="16"/>
    <col min="27" max="27" width="3" style="16" bestFit="1" customWidth="1"/>
    <col min="28" max="28" width="27.140625" style="16" bestFit="1" customWidth="1"/>
    <col min="29" max="29" width="13.5703125" style="16" bestFit="1" customWidth="1"/>
    <col min="30" max="30" width="25.140625" style="16" bestFit="1" customWidth="1"/>
    <col min="31" max="33" width="10.28515625" style="16" bestFit="1" customWidth="1"/>
    <col min="34" max="16384" width="9.140625" style="16"/>
  </cols>
  <sheetData>
    <row r="1" spans="1:33" x14ac:dyDescent="0.2">
      <c r="A1" s="16" t="s">
        <v>61</v>
      </c>
      <c r="B1" s="16" t="s">
        <v>62</v>
      </c>
      <c r="C1" s="16" t="s">
        <v>63</v>
      </c>
      <c r="D1" s="16" t="s">
        <v>64</v>
      </c>
      <c r="E1" s="16" t="s">
        <v>65</v>
      </c>
      <c r="F1" s="16" t="s">
        <v>15</v>
      </c>
      <c r="G1" s="16" t="s">
        <v>67</v>
      </c>
      <c r="I1" s="16" t="s">
        <v>1068</v>
      </c>
      <c r="AA1" s="16" t="s">
        <v>33</v>
      </c>
      <c r="AB1" s="16" t="s">
        <v>25</v>
      </c>
      <c r="AC1" s="16" t="s">
        <v>25</v>
      </c>
      <c r="AD1" s="16" t="s">
        <v>25</v>
      </c>
      <c r="AE1" s="16" t="s">
        <v>25</v>
      </c>
      <c r="AF1" s="16" t="s">
        <v>25</v>
      </c>
      <c r="AG1" s="16" t="s">
        <v>25</v>
      </c>
    </row>
    <row r="2" spans="1:33" x14ac:dyDescent="0.2">
      <c r="A2" s="16" t="s">
        <v>33</v>
      </c>
      <c r="B2" s="16" t="s">
        <v>25</v>
      </c>
      <c r="C2" s="16" t="s">
        <v>25</v>
      </c>
      <c r="D2" s="16" t="s">
        <v>25</v>
      </c>
      <c r="E2" s="16" t="s">
        <v>25</v>
      </c>
      <c r="F2" s="16" t="s">
        <v>25</v>
      </c>
      <c r="G2" s="16" t="s">
        <v>25</v>
      </c>
      <c r="I2" s="16" t="str">
        <f>IF($G$2&lt;&gt;"Não se aplica",$A$2&amp;$B$2&amp;$C$2&amp;$D$2&amp;$E$2&amp;$F$2&amp;$G$2,IF($F$2&lt;&gt;"Não se aplica",$A$2&amp;$B$2&amp;$C$2&amp;$D$2&amp;$E$2&amp;$F$2,IF($E$2&lt;&gt;"Não se aplica",$A$2&amp;$B$2&amp;$C$2&amp;$D$2&amp;$E$2,IF($D$2&lt;&gt;"Não se aplica",$A$2&amp;$B$2&amp;$C$2&amp;$D$2,IF($C$2&lt;&gt;"Não se aplica",$A$2&amp;$B$2&amp;$C$2,IF($B$2&lt;&gt;"Não se aplica",$A$2&amp;$B$2,$A$2))))))</f>
        <v>A4</v>
      </c>
      <c r="AA2" s="16" t="s">
        <v>22</v>
      </c>
      <c r="AB2" s="16" t="s">
        <v>70</v>
      </c>
      <c r="AC2" s="16" t="s">
        <v>24</v>
      </c>
      <c r="AD2" s="16" t="s">
        <v>24</v>
      </c>
      <c r="AG2" s="16" t="s">
        <v>72</v>
      </c>
    </row>
    <row r="3" spans="1:33" x14ac:dyDescent="0.2">
      <c r="AA3" s="16" t="s">
        <v>43</v>
      </c>
      <c r="AB3" s="16" t="s">
        <v>74</v>
      </c>
      <c r="AC3" s="16" t="s">
        <v>44</v>
      </c>
      <c r="AD3" s="16" t="s">
        <v>29</v>
      </c>
      <c r="AG3" s="16" t="s">
        <v>73</v>
      </c>
    </row>
    <row r="4" spans="1:33" x14ac:dyDescent="0.2">
      <c r="AA4" s="16" t="s">
        <v>39</v>
      </c>
      <c r="AB4" s="16" t="s">
        <v>85</v>
      </c>
      <c r="AC4" s="16" t="s">
        <v>47</v>
      </c>
      <c r="AD4" s="16" t="s">
        <v>30</v>
      </c>
      <c r="AG4" s="16" t="s">
        <v>75</v>
      </c>
    </row>
    <row r="5" spans="1:33" x14ac:dyDescent="0.2">
      <c r="A5" s="16" t="s">
        <v>1061</v>
      </c>
      <c r="B5" s="16" t="str">
        <f>TE!$W$4</f>
        <v>P&amp;D</v>
      </c>
      <c r="C5" s="16" t="str">
        <f>TE!$X$4</f>
        <v>ESS/ERR</v>
      </c>
      <c r="D5" s="16" t="str">
        <f>TE!$Y$4</f>
        <v>CFURH</v>
      </c>
      <c r="E5" s="16" t="str">
        <f>TE!$Z$4</f>
        <v>CDE Covid TE</v>
      </c>
      <c r="F5" s="16" t="str">
        <f>TE!$AA$4</f>
        <v>ENERGIA REVENDA</v>
      </c>
      <c r="G5" s="16" t="str">
        <f>TE!$AB$4</f>
        <v>ITAIPU</v>
      </c>
      <c r="H5" s="16" t="str">
        <f>TE!$AC$4</f>
        <v>TUST ITAIPU</v>
      </c>
      <c r="I5" s="16" t="str">
        <f>TE!$AD$4</f>
        <v>TUST CI</v>
      </c>
      <c r="J5" s="16" t="str">
        <f>TE!$AE$4</f>
        <v>SUBSIDIO</v>
      </c>
      <c r="K5" s="16" t="str">
        <f>TE!$AF$4</f>
        <v>PERDAS RB/C</v>
      </c>
      <c r="L5" s="16" t="s">
        <v>482</v>
      </c>
      <c r="AA5" s="16" t="s">
        <v>46</v>
      </c>
      <c r="AD5" s="16" t="s">
        <v>31</v>
      </c>
      <c r="AG5" s="16" t="s">
        <v>84</v>
      </c>
    </row>
    <row r="6" spans="1:33" x14ac:dyDescent="0.2">
      <c r="A6" s="16" t="s">
        <v>1062</v>
      </c>
      <c r="B6" s="56">
        <f>SUM(TE!$W$48:'TE'!$W$85)</f>
        <v>6.8019272989681305E-8</v>
      </c>
      <c r="C6" s="56">
        <f>SUM(TE!$X$48:'TE'!$X$85)</f>
        <v>0</v>
      </c>
      <c r="D6" s="56">
        <f>SUM(TE!$Y$48:'TE'!$Y$85)</f>
        <v>0</v>
      </c>
      <c r="E6" s="56">
        <f>SUM(TE!$Z$48:'TE'!$Z$85)</f>
        <v>0</v>
      </c>
      <c r="F6" s="56">
        <f>SUM(TE!$AA$48:'TE'!$AA$85)</f>
        <v>9216099.9719013236</v>
      </c>
      <c r="G6" s="56">
        <f>SUM(TE!$AB$48:'TE'!$AB$85)</f>
        <v>0</v>
      </c>
      <c r="H6" s="56">
        <f>SUM(TE!$AC$48:'TE'!$AC$85)</f>
        <v>0</v>
      </c>
      <c r="I6" s="56">
        <f>SUM(TE!$AD$48:'TE'!$AD$85)</f>
        <v>0</v>
      </c>
      <c r="J6" s="56">
        <f>SUM(TE!$AE$48:'TE'!$AE$85)</f>
        <v>197760.2976391688</v>
      </c>
      <c r="K6" s="56">
        <f>SUM(TE!$AF$48:'TE'!$AF$85)</f>
        <v>0</v>
      </c>
      <c r="L6" s="56">
        <f t="shared" ref="L6:L11" si="0">SUM(B6:K6)</f>
        <v>9413860.2695405614</v>
      </c>
      <c r="AD6" s="16" t="s">
        <v>32</v>
      </c>
    </row>
    <row r="7" spans="1:33" x14ac:dyDescent="0.2">
      <c r="A7" s="16" t="s">
        <v>1063</v>
      </c>
      <c r="B7" s="56">
        <f>SUM(TE!$L$48:'TE'!$L$85)</f>
        <v>0</v>
      </c>
      <c r="C7" s="56">
        <f>SUM(TE!$M$48:'TE'!$M$85)</f>
        <v>0</v>
      </c>
      <c r="D7" s="56">
        <f>SUM(TE!$N$48:'TE'!$N$85)</f>
        <v>0</v>
      </c>
      <c r="E7" s="56">
        <f>SUM(TE!$O$48:'TE'!$O$85)</f>
        <v>0</v>
      </c>
      <c r="F7" s="56">
        <f>SUM(TE!$P$48:'TE'!$P$85)</f>
        <v>10664998.46057854</v>
      </c>
      <c r="G7" s="56">
        <f>SUM(TE!$Q$48:'TE'!$Q$85)</f>
        <v>0</v>
      </c>
      <c r="H7" s="56">
        <f>SUM(TE!$R$48:'TE'!$R$85)</f>
        <v>0</v>
      </c>
      <c r="I7" s="56">
        <f>SUM(TE!$S$48:'TE'!$S$85)</f>
        <v>0</v>
      </c>
      <c r="J7" s="56">
        <f>SUM(TE!$T$48:'TE'!$T$85)</f>
        <v>0</v>
      </c>
      <c r="K7" s="56">
        <f>SUM(TE!$U$48:'TE'!$U$85)</f>
        <v>0</v>
      </c>
      <c r="L7" s="56">
        <f t="shared" si="0"/>
        <v>10664998.46057854</v>
      </c>
      <c r="AD7" s="16" t="s">
        <v>87</v>
      </c>
    </row>
    <row r="8" spans="1:33" x14ac:dyDescent="0.2">
      <c r="A8" s="16" t="s">
        <v>1066</v>
      </c>
      <c r="B8" s="56">
        <f>IF($G$2&lt;&gt;"Não se aplica",SUMIF(TE!$G$48:'TE'!$G$85,$I$2,TE!$W$48:'TE'!$W$85),IF($F$2&lt;&gt;"Não se aplica",SUMIF(TE!$F$48:'TE'!$F$85,$I$2,TE!$W$48:'TE'!$W$85),IF($E$2&lt;&gt;"Não se aplica",SUMIF(TE!$E$48:'TE'!$E$85,$I$2,TE!$W$48:'TE'!$W$85),IF($D$2&lt;&gt;"Não se aplica",SUMIF(TE!$D$48:'TE'!$D$85,$I$2,TE!$W$48:'TE'!$W$85),IF($C$2&lt;&gt;"Não se aplica",SUMIF(TE!$C$48:'TE'!$C$85,$I$2,TE!$W$48:'TE'!$W$85),IF($B$2&lt;&gt;"Não se aplica",SUMIF(TE!$B$48:'TE'!$B$85,$I$2,TE!$W$48:'TE'!$W$85),SUMIF(TE!$A$48:'TE'!$A$85,$I$2,TE!$W$48:'TE'!$W$85)))))))</f>
        <v>6.7218214006250209E-9</v>
      </c>
      <c r="C8" s="56">
        <f>IF($G$2&lt;&gt;"Não se aplica",SUMIF(TE!$G$48:'TE'!$G$85,$I$2,TE!$X$48:'TE'!$X$85),IF($F$2&lt;&gt;"Não se aplica",SUMIF(TE!$F$48:'TE'!$F$85,$I$2,TE!$X$48:'TE'!$X$85),IF($E$2&lt;&gt;"Não se aplica",SUMIF(TE!$E$48:'TE'!$E$85,$I$2,TE!$X$48:'TE'!$X$85),IF($D$2&lt;&gt;"Não se aplica",SUMIF(TE!$D$48:'TE'!$D$85,$I$2,TE!$X$48:'TE'!$X$85),IF($C$2&lt;&gt;"Não se aplica",SUMIF(TE!$C$48:'TE'!$C$85,$I$2,TE!$X$48:'TE'!$X$85),IF($B$2&lt;&gt;"Não se aplica",SUMIF(TE!$B$48:'TE'!$B$85,$I$2,TE!$X$48:'TE'!$X$85),SUMIF(TE!$A$48:'TE'!$A$85,$I$2,TE!$X$48:'TE'!$X$85)))))))</f>
        <v>0</v>
      </c>
      <c r="D8" s="56">
        <f>IF($G$2&lt;&gt;"Não se aplica",SUMIF(TE!$G$48:'TE'!$G$85,$I$2,TE!$Y$48:'TE'!$Y$85),IF($F$2&lt;&gt;"Não se aplica",SUMIF(TE!$F$48:'TE'!$F$85,$I$2,TE!$Y$48:'TE'!$Y$85),IF($E$2&lt;&gt;"Não se aplica",SUMIF(TE!$E$48:'TE'!$E$85,$I$2,TE!$Y$48:'TE'!$Y$85),IF($D$2&lt;&gt;"Não se aplica",SUMIF(TE!$D$48:'TE'!$D$85,$I$2,TE!$Y$48:'TE'!$Y$85),IF($C$2&lt;&gt;"Não se aplica",SUMIF(TE!$C$48:'TE'!$C$85,$I$2,TE!$Y$48:'TE'!$Y$85),IF($B$2&lt;&gt;"Não se aplica",SUMIF(TE!$B$48:'TE'!$B$85,$I$2,TE!$Y$48:'TE'!$Y$85),SUMIF(TE!$A$48:'TE'!$A$85,$I$2,TE!$Y$48:'TE'!$Y$85)))))))</f>
        <v>0</v>
      </c>
      <c r="E8" s="56">
        <f>IF($G$2&lt;&gt;"Não se aplica",SUMIF(TE!$G$48:'TE'!$G$85,$I$2,TE!$Z$48:'TE'!$Z$85),IF($F$2&lt;&gt;"Não se aplica",SUMIF(TE!$F$48:'TE'!$F$85,$I$2,TE!$Z$48:'TE'!$Z$85),IF($E$2&lt;&gt;"Não se aplica",SUMIF(TE!$E$48:'TE'!$E$85,$I$2,TE!$Z$48:'TE'!$Z$85),IF($D$2&lt;&gt;"Não se aplica",SUMIF(TE!$D$48:'TE'!$D$85,$I$2,TE!$Z$48:'TE'!$Z$85),IF($C$2&lt;&gt;"Não se aplica",SUMIF(TE!$C$48:'TE'!$C$85,$I$2,TE!$Z$48:'TE'!$Z$85),IF($B$2&lt;&gt;"Não se aplica",SUMIF(TE!$B$48:'TE'!$B$85,$I$2,TE!$Z$48:'TE'!$Z$85),SUMIF(TE!$A$48:'TE'!$A$85,$I$2,TE!$Z$48:'TE'!$Z$85)))))))</f>
        <v>0</v>
      </c>
      <c r="F8" s="56">
        <f>IF($G$2&lt;&gt;"Não se aplica",SUMIF(TE!$G$48:'TE'!$G$85,$I$2,TE!$AA$48:'TE'!$AA$85),IF($F$2&lt;&gt;"Não se aplica",SUMIF(TE!$F$48:'TE'!$F$85,$I$2,TE!$AA$48:'TE'!$AA$85),IF($E$2&lt;&gt;"Não se aplica",SUMIF(TE!$E$48:'TE'!$E$85,$I$2,TE!$AA$48:'TE'!$AA$85),IF($D$2&lt;&gt;"Não se aplica",SUMIF(TE!$D$48:'TE'!$D$85,$I$2,TE!$AA$48:'TE'!$AA$85),IF($C$2&lt;&gt;"Não se aplica",SUMIF(TE!$C$48:'TE'!$C$85,$I$2,TE!$AA$48:'TE'!$AA$85),IF($B$2&lt;&gt;"Não se aplica",SUMIF(TE!$B$48:'TE'!$B$85,$I$2,TE!$AA$48:'TE'!$AA$85),SUMIF(TE!$A$48:'TE'!$A$85,$I$2,TE!$AA$48:'TE'!$AA$85)))))))</f>
        <v>910756.25037662138</v>
      </c>
      <c r="G8" s="56">
        <f>IF($G$2&lt;&gt;"Não se aplica",SUMIF(TE!$G$48:'TE'!$G$85,$I$2,TE!$AB$48:'TE'!$AB$85),IF($F$2&lt;&gt;"Não se aplica",SUMIF(TE!$F$48:'TE'!$F$85,$I$2,TE!$AB$48:'TE'!$AB$85),IF($E$2&lt;&gt;"Não se aplica",SUMIF(TE!$E$48:'TE'!$E$85,$I$2,TE!$AB$48:'TE'!$AB$85),IF($D$2&lt;&gt;"Não se aplica",SUMIF(TE!$D$48:'TE'!$D$85,$I$2,TE!$AB$48:'TE'!$AB$85),IF($C$2&lt;&gt;"Não se aplica",SUMIF(TE!$C$48:'TE'!$C$85,$I$2,TE!$AB$48:'TE'!$AB$85),IF($B$2&lt;&gt;"Não se aplica",SUMIF(TE!$B$48:'TE'!$B$85,$I$2,TE!$AB$48:'TE'!$AB$85),SUMIF(TE!$A$48:'TE'!$A$85,$I$2,TE!$AB$48:'TE'!$AB$85)))))))</f>
        <v>0</v>
      </c>
      <c r="H8" s="56">
        <f>IF($G$2&lt;&gt;"Não se aplica",SUMIF(TE!$G$48:'TE'!$G$85,$I$2,TE!$AC$48:'TE'!$AC$85),IF($F$2&lt;&gt;"Não se aplica",SUMIF(TE!$F$48:'TE'!$F$85,$I$2,TE!$AC$48:'TE'!$AC$85),IF($E$2&lt;&gt;"Não se aplica",SUMIF(TE!$E$48:'TE'!$E$85,$I$2,TE!$AC$48:'TE'!$AC$85),IF($D$2&lt;&gt;"Não se aplica",SUMIF(TE!$D$48:'TE'!$D$85,$I$2,TE!$AC$48:'TE'!$AC$85),IF($C$2&lt;&gt;"Não se aplica",SUMIF(TE!$C$48:'TE'!$C$85,$I$2,TE!$AC$48:'TE'!$AC$85),IF($B$2&lt;&gt;"Não se aplica",SUMIF(TE!$B$48:'TE'!$B$85,$I$2,TE!$AC$48:'TE'!$AC$85),SUMIF(TE!$A$48:'TE'!$A$85,$I$2,TE!$AC$48:'TE'!$AC$85)))))))</f>
        <v>0</v>
      </c>
      <c r="I8" s="56">
        <f>IF($G$2&lt;&gt;"Não se aplica",SUMIF(TE!$G$48:'TE'!$G$85,$I$2,TE!$AD$48:'TE'!$AD$85),IF($F$2&lt;&gt;"Não se aplica",SUMIF(TE!$F$48:'TE'!$F$85,$I$2,TE!$AD$48:'TE'!$AD$85),IF($E$2&lt;&gt;"Não se aplica",SUMIF(TE!$E$48:'TE'!$E$85,$I$2,TE!$AD$48:'TE'!$AD$85),IF($D$2&lt;&gt;"Não se aplica",SUMIF(TE!$D$48:'TE'!$D$85,$I$2,TE!$AD$48:'TE'!$AD$85),IF($C$2&lt;&gt;"Não se aplica",SUMIF(TE!$C$48:'TE'!$C$85,$I$2,TE!$AD$48:'TE'!$AD$85),IF($B$2&lt;&gt;"Não se aplica",SUMIF(TE!$B$48:'TE'!$B$85,$I$2,TE!$AD$48:'TE'!$AD$85),SUMIF(TE!$A$48:'TE'!$A$85,$I$2,TE!$AD$48:'TE'!$AD$85)))))))</f>
        <v>0</v>
      </c>
      <c r="J8" s="56">
        <f>IF($G$2&lt;&gt;"Não se aplica",SUMIF(TE!$G$48:'TE'!$G$85,$I$2,TE!$AE$48:'TE'!$AE$85),IF($F$2&lt;&gt;"Não se aplica",SUMIF(TE!$F$48:'TE'!$F$85,$I$2,TE!$AE$48:'TE'!$AE$85),IF($E$2&lt;&gt;"Não se aplica",SUMIF(TE!$E$48:'TE'!$E$85,$I$2,TE!$AE$48:'TE'!$AE$85),IF($D$2&lt;&gt;"Não se aplica",SUMIF(TE!$D$48:'TE'!$D$85,$I$2,TE!$AE$48:'TE'!$AE$85),IF($C$2&lt;&gt;"Não se aplica",SUMIF(TE!$C$48:'TE'!$C$85,$I$2,TE!$AE$48:'TE'!$AE$85),IF($B$2&lt;&gt;"Não se aplica",SUMIF(TE!$B$48:'TE'!$B$85,$I$2,TE!$AE$48:'TE'!$AE$85),SUMIF(TE!$A$48:'TE'!$A$85,$I$2,TE!$AE$48:'TE'!$AE$85)))))))</f>
        <v>19543.128622774289</v>
      </c>
      <c r="K8" s="56">
        <f>IF($G$2&lt;&gt;"Não se aplica",SUMIF(TE!$G$48:'TE'!$G$85,$I$2,TE!$AF$48:'TE'!$AF$85),IF($F$2&lt;&gt;"Não se aplica",SUMIF(TE!$F$48:'TE'!$F$85,$I$2,TE!$AF$48:'TE'!$AF$85),IF($E$2&lt;&gt;"Não se aplica",SUMIF(TE!$E$48:'TE'!$E$85,$I$2,TE!$AF$48:'TE'!$AF$85),IF($D$2&lt;&gt;"Não se aplica",SUMIF(TE!$D$48:'TE'!$D$85,$I$2,TE!$AF$48:'TE'!$AF$85),IF($C$2&lt;&gt;"Não se aplica",SUMIF(TE!$C$48:'TE'!$C$85,$I$2,TE!$AF$48:'TE'!$AF$85),IF($B$2&lt;&gt;"Não se aplica",SUMIF(TE!$B$48:'TE'!$B$85,$I$2,TE!$AF$48:'TE'!$AF$85),SUMIF(TE!$A$48:'TE'!$A$85,$I$2,TE!$AF$48:'TE'!$AF$85)))))))</f>
        <v>0</v>
      </c>
      <c r="L8" s="56">
        <f t="shared" si="0"/>
        <v>930299.3789994024</v>
      </c>
      <c r="AD8" s="16" t="s">
        <v>88</v>
      </c>
    </row>
    <row r="9" spans="1:33" x14ac:dyDescent="0.2">
      <c r="A9" s="16" t="s">
        <v>1067</v>
      </c>
      <c r="B9" s="56">
        <f>IF($G$2&lt;&gt;"Não se aplica",SUMIF(TE!$G$48:'TE'!$G$85,$I$2,TE!$L$48:'TE'!$L$85),IF($F$2&lt;&gt;"Não se aplica",SUMIF(TE!$F$48:'TE'!$F$85,$I$2,TE!$L$48:'TE'!$L$85),IF($E$2&lt;&gt;"Não se aplica",SUMIF(TE!$E$48:'TE'!$E$85,$I$2,TE!$L$48:'TE'!$L$85),IF($D$2&lt;&gt;"Não se aplica",SUMIF(TE!$D$48:'TE'!$D$85,$I$2,TE!$L$48:'TE'!$L$85),IF($C$2&lt;&gt;"Não se aplica",SUMIF(TE!$C$48:'TE'!$C$85,$I$2,TE!$L$48:'TE'!$L$85),IF($B$2&lt;&gt;"Não se aplica",SUMIF(TE!$B$48:'TE'!$B$85,$I$2,TE!$L$48:'TE'!$L$85),SUMIF(TE!$A$48:'TE'!$A$85,$I$2,TE!$L$48:'TE'!$L$85)))))))</f>
        <v>0</v>
      </c>
      <c r="C9" s="56">
        <f>IF($G$2&lt;&gt;"Não se aplica",SUMIF(TE!$G$48:'TE'!$G$85,$I$2,TE!$M$48:'TE'!$M$85),IF($F$2&lt;&gt;"Não se aplica",SUMIF(TE!$F$48:'TE'!$F$85,$I$2,TE!$M$48:'TE'!$M$85),IF($E$2&lt;&gt;"Não se aplica",SUMIF(TE!$E$48:'TE'!$E$85,$I$2,TE!$M$48:'TE'!$M$85),IF($D$2&lt;&gt;"Não se aplica",SUMIF(TE!$D$48:'TE'!$D$85,$I$2,TE!$M$48:'TE'!$M$85),IF($C$2&lt;&gt;"Não se aplica",SUMIF(TE!$C$48:'TE'!$C$85,$I$2,TE!$M$48:'TE'!$M$85),IF($B$2&lt;&gt;"Não se aplica",SUMIF(TE!$B$48:'TE'!$B$85,$I$2,TE!$M$48:'TE'!$M$85),SUMIF(TE!$A$48:'TE'!$A$85,$I$2,TE!$M$48:'TE'!$M$85)))))))</f>
        <v>0</v>
      </c>
      <c r="D9" s="56">
        <f>IF($G$2&lt;&gt;"Não se aplica",SUMIF(TE!$G$48:'TE'!$G$85,$I$2,TE!$N$48:'TE'!$N$85),IF($F$2&lt;&gt;"Não se aplica",SUMIF(TE!$F$48:'TE'!$F$85,$I$2,TE!$N$48:'TE'!$N$85),IF($E$2&lt;&gt;"Não se aplica",SUMIF(TE!$E$48:'TE'!$E$85,$I$2,TE!$N$48:'TE'!$N$85),IF($D$2&lt;&gt;"Não se aplica",SUMIF(TE!$D$48:'TE'!$D$85,$I$2,TE!$N$48:'TE'!$N$85),IF($C$2&lt;&gt;"Não se aplica",SUMIF(TE!$C$48:'TE'!$C$85,$I$2,TE!$N$48:'TE'!$N$85),IF($B$2&lt;&gt;"Não se aplica",SUMIF(TE!$B$48:'TE'!$B$85,$I$2,TE!$N$48:'TE'!$N$85),SUMIF(TE!$A$48:'TE'!$A$85,$I$2,TE!$N$48:'TE'!$N$85)))))))</f>
        <v>0</v>
      </c>
      <c r="E9" s="56">
        <f>IF($G$2&lt;&gt;"Não se aplica",SUMIF(TE!$G$48:'TE'!$G$85,$I$2,TE!$O$48:'TE'!$O$85),IF($F$2&lt;&gt;"Não se aplica",SUMIF(TE!$F$48:'TE'!$F$85,$I$2,TE!$O$48:'TE'!$O$85),IF($E$2&lt;&gt;"Não se aplica",SUMIF(TE!$E$48:'TE'!$E$85,$I$2,TE!$O$48:'TE'!$O$85),IF($D$2&lt;&gt;"Não se aplica",SUMIF(TE!$D$48:'TE'!$D$85,$I$2,TE!$O$48:'TE'!$O$85),IF($C$2&lt;&gt;"Não se aplica",SUMIF(TE!$C$48:'TE'!$C$85,$I$2,TE!$O$48:'TE'!$O$85),IF($B$2&lt;&gt;"Não se aplica",SUMIF(TE!$B$48:'TE'!$B$85,$I$2,TE!$O$48:'TE'!$O$85),SUMIF(TE!$A$48:'TE'!$A$85,$I$2,TE!$O$48:'TE'!$O$85)))))))</f>
        <v>0</v>
      </c>
      <c r="F9" s="56">
        <f>IF($G$2&lt;&gt;"Não se aplica",SUMIF(TE!$G$48:'TE'!$G$85,$I$2,TE!$P$48:'TE'!$P$85),IF($F$2&lt;&gt;"Não se aplica",SUMIF(TE!$F$48:'TE'!$F$85,$I$2,TE!$P$48:'TE'!$P$85),IF($E$2&lt;&gt;"Não se aplica",SUMIF(TE!$E$48:'TE'!$E$85,$I$2,TE!$P$48:'TE'!$P$85),IF($D$2&lt;&gt;"Não se aplica",SUMIF(TE!$D$48:'TE'!$D$85,$I$2,TE!$P$48:'TE'!$P$85),IF($C$2&lt;&gt;"Não se aplica",SUMIF(TE!$C$48:'TE'!$C$85,$I$2,TE!$P$48:'TE'!$P$85),IF($B$2&lt;&gt;"Não se aplica",SUMIF(TE!$B$48:'TE'!$B$85,$I$2,TE!$P$48:'TE'!$P$85),SUMIF(TE!$A$48:'TE'!$A$85,$I$2,TE!$P$48:'TE'!$P$85)))))))</f>
        <v>1048815.9234062289</v>
      </c>
      <c r="G9" s="56">
        <f>IF($G$2&lt;&gt;"Não se aplica",SUMIF(TE!$G$48:'TE'!$G$85,$I$2,TE!$Q$48:'TE'!$Q$85),IF($F$2&lt;&gt;"Não se aplica",SUMIF(TE!$F$48:'TE'!$F$85,$I$2,TE!$Q$48:'TE'!$Q$85),IF($E$2&lt;&gt;"Não se aplica",SUMIF(TE!$E$48:'TE'!$E$85,$I$2,TE!$Q$48:'TE'!$Q$85),IF($D$2&lt;&gt;"Não se aplica",SUMIF(TE!$D$48:'TE'!$D$85,$I$2,TE!$Q$48:'TE'!$Q$85),IF($C$2&lt;&gt;"Não se aplica",SUMIF(TE!$C$48:'TE'!$C$85,$I$2,TE!$Q$48:'TE'!$Q$85),IF($B$2&lt;&gt;"Não se aplica",SUMIF(TE!$B$48:'TE'!$B$85,$I$2,TE!$Q$48:'TE'!$Q$85),SUMIF(TE!$A$48:'TE'!$A$85,$I$2,TE!$Q$48:'TE'!$Q$85)))))))</f>
        <v>0</v>
      </c>
      <c r="H9" s="56">
        <f>IF($G$2&lt;&gt;"Não se aplica",SUMIF(TE!$G$48:'TE'!$G$85,$I$2,TE!$R$48:'TE'!$R$85),IF($F$2&lt;&gt;"Não se aplica",SUMIF(TE!$F$48:'TE'!$F$85,$I$2,TE!$R$48:'TE'!$R$85),IF($E$2&lt;&gt;"Não se aplica",SUMIF(TE!$E$48:'TE'!$E$85,$I$2,TE!$R$48:'TE'!$R$85),IF($D$2&lt;&gt;"Não se aplica",SUMIF(TE!$D$48:'TE'!$D$85,$I$2,TE!$R$48:'TE'!$R$85),IF($C$2&lt;&gt;"Não se aplica",SUMIF(TE!$C$48:'TE'!$C$85,$I$2,TE!$R$48:'TE'!$R$85),IF($B$2&lt;&gt;"Não se aplica",SUMIF(TE!$B$48:'TE'!$B$85,$I$2,TE!$R$48:'TE'!$R$85),SUMIF(TE!$A$48:'TE'!$A$85,$I$2,TE!$R$48:'TE'!$R$85)))))))</f>
        <v>0</v>
      </c>
      <c r="I9" s="56">
        <f>IF($G$2&lt;&gt;"Não se aplica",SUMIF(TE!$G$48:'TE'!$G$85,$I$2,TE!$S$48:'TE'!$S$85),IF($F$2&lt;&gt;"Não se aplica",SUMIF(TE!$F$48:'TE'!$F$85,$I$2,TE!$S$48:'TE'!$S$85),IF($E$2&lt;&gt;"Não se aplica",SUMIF(TE!$E$48:'TE'!$E$85,$I$2,TE!$S$48:'TE'!$S$85),IF($D$2&lt;&gt;"Não se aplica",SUMIF(TE!$D$48:'TE'!$D$85,$I$2,TE!$S$48:'TE'!$S$85),IF($C$2&lt;&gt;"Não se aplica",SUMIF(TE!$C$48:'TE'!$C$85,$I$2,TE!$S$48:'TE'!$S$85),IF($B$2&lt;&gt;"Não se aplica",SUMIF(TE!$B$48:'TE'!$B$85,$I$2,TE!$S$48:'TE'!$S$85),SUMIF(TE!$A$48:'TE'!$A$85,$I$2,TE!$S$48:'TE'!$S$85)))))))</f>
        <v>0</v>
      </c>
      <c r="J9" s="56">
        <f>IF($G$2&lt;&gt;"Não se aplica",SUMIF(TE!$G$48:'TE'!$G$85,$I$2,TE!$T$48:'TE'!$T$85),IF($F$2&lt;&gt;"Não se aplica",SUMIF(TE!$F$48:'TE'!$F$85,$I$2,TE!$T$48:'TE'!$T$85),IF($E$2&lt;&gt;"Não se aplica",SUMIF(TE!$E$48:'TE'!$E$85,$I$2,TE!$T$48:'TE'!$T$85),IF($D$2&lt;&gt;"Não se aplica",SUMIF(TE!$D$48:'TE'!$D$85,$I$2,TE!$T$48:'TE'!$T$85),IF($C$2&lt;&gt;"Não se aplica",SUMIF(TE!$C$48:'TE'!$C$85,$I$2,TE!$T$48:'TE'!$T$85),IF($B$2&lt;&gt;"Não se aplica",SUMIF(TE!$B$48:'TE'!$B$85,$I$2,TE!$T$48:'TE'!$T$85),SUMIF(TE!$A$48:'TE'!$A$85,$I$2,TE!$T$48:'TE'!$T$85)))))))</f>
        <v>0</v>
      </c>
      <c r="K9" s="56">
        <f>IF($G$2&lt;&gt;"Não se aplica",SUMIF(TE!$G$48:'TE'!$G$85,$I$2,TE!$U$48:'TE'!$U$85),IF($F$2&lt;&gt;"Não se aplica",SUMIF(TE!$F$48:'TE'!$F$85,$I$2,TE!$U$48:'TE'!$U$85),IF($E$2&lt;&gt;"Não se aplica",SUMIF(TE!$E$48:'TE'!$E$85,$I$2,TE!$U$48:'TE'!$U$85),IF($D$2&lt;&gt;"Não se aplica",SUMIF(TE!$D$48:'TE'!$D$85,$I$2,TE!$U$48:'TE'!$U$85),IF($C$2&lt;&gt;"Não se aplica",SUMIF(TE!$C$48:'TE'!$C$85,$I$2,TE!$U$48:'TE'!$U$85),IF($B$2&lt;&gt;"Não se aplica",SUMIF(TE!$B$48:'TE'!$B$85,$I$2,TE!$U$48:'TE'!$U$85),SUMIF(TE!$A$48:'TE'!$A$85,$I$2,TE!$U$48:'TE'!$U$85)))))))</f>
        <v>0</v>
      </c>
      <c r="L9" s="56">
        <f t="shared" si="0"/>
        <v>1048815.9234062289</v>
      </c>
      <c r="AD9" s="16" t="s">
        <v>48</v>
      </c>
    </row>
    <row r="10" spans="1:33" x14ac:dyDescent="0.2">
      <c r="A10" s="16" t="s">
        <v>1064</v>
      </c>
      <c r="B10" s="56">
        <f>SUMIF(TE!$A$48:'TE'!$A$85,$A$2,TE!$W$48:'TE'!$W$85)</f>
        <v>6.7218214006250209E-9</v>
      </c>
      <c r="C10" s="56">
        <f>SUMIF(TE!$A$48:'TE'!$A$85,$A$2,TE!$X$48:'TE'!$X$85)</f>
        <v>0</v>
      </c>
      <c r="D10" s="56">
        <f>SUMIF(TE!$A$48:'TE'!$A$85,$A$2,TE!$Y$48:'TE'!$Y$85)</f>
        <v>0</v>
      </c>
      <c r="E10" s="56">
        <f>SUMIF(TE!$A$48:'TE'!$A$85,$A$2,TE!$Z$48:'TE'!$Z$85)</f>
        <v>0</v>
      </c>
      <c r="F10" s="56">
        <f>SUMIF(TE!$A$48:'TE'!$A$85,$A$2,TE!$AA$48:'TE'!$AA$85)</f>
        <v>910756.25037662138</v>
      </c>
      <c r="G10" s="56">
        <f>SUMIF(TE!$A$48:'TE'!$A$85,$A$2,TE!$AB$48:'TE'!$AB$85)</f>
        <v>0</v>
      </c>
      <c r="H10" s="56">
        <f>SUMIF(TE!$A$48:'TE'!$A$85,$A$2,TE!$AC$48:'TE'!$AC$85)</f>
        <v>0</v>
      </c>
      <c r="I10" s="56">
        <f>SUMIF(TE!$A$48:'TE'!$A$85,$A$2,TE!$AD$48:'TE'!$AD$85)</f>
        <v>0</v>
      </c>
      <c r="J10" s="56">
        <f>SUMIF(TE!$A$48:'TE'!$A$85,$A$2,TE!$AE$48:'TE'!$AE$85)</f>
        <v>19543.128622774289</v>
      </c>
      <c r="K10" s="56">
        <f>SUMIF(TE!$A$48:'TE'!$A$85,$A$2,TE!$AF$48:'TE'!$AF$85)</f>
        <v>0</v>
      </c>
      <c r="L10" s="56">
        <f t="shared" si="0"/>
        <v>930299.3789994024</v>
      </c>
      <c r="AD10" s="16" t="s">
        <v>89</v>
      </c>
    </row>
    <row r="11" spans="1:33" x14ac:dyDescent="0.2">
      <c r="A11" s="16" t="s">
        <v>1065</v>
      </c>
      <c r="B11" s="56">
        <f>SUMIF(TE!$A$48:'TE'!$A$85,$A$2,TE!$L$48:'TE'!$L$85)</f>
        <v>0</v>
      </c>
      <c r="C11" s="56">
        <f>SUMIF(TE!$A$48:'TE'!$A$85,$A$2,TE!$M$48:'TE'!$M$85)</f>
        <v>0</v>
      </c>
      <c r="D11" s="56">
        <f>SUMIF(TE!$A$48:'TE'!$A$85,$A$2,TE!$N$48:'TE'!$N$85)</f>
        <v>0</v>
      </c>
      <c r="E11" s="56">
        <f>SUMIF(TE!$A$48:'TE'!$A$85,$A$2,TE!$O$48:'TE'!$O$85)</f>
        <v>0</v>
      </c>
      <c r="F11" s="56">
        <f>SUMIF(TE!$A$48:'TE'!$A$85,$A$2,TE!$P$48:'TE'!$P$85)</f>
        <v>1048815.9234062289</v>
      </c>
      <c r="G11" s="56">
        <f>SUMIF(TE!$A$48:'TE'!$A$85,$A$2,TE!$Q$48:'TE'!$Q$85)</f>
        <v>0</v>
      </c>
      <c r="H11" s="56">
        <f>SUMIF(TE!$A$48:'TE'!$A$85,$A$2,TE!$R$48:'TE'!$R$85)</f>
        <v>0</v>
      </c>
      <c r="I11" s="56">
        <f>SUMIF(TE!$A$48:'TE'!$A$85,$A$2,TE!$S$48:'TE'!$S$85)</f>
        <v>0</v>
      </c>
      <c r="J11" s="56">
        <f>SUMIF(TE!$A$48:'TE'!$A$85,$A$2,TE!$T$48:'TE'!$T$85)</f>
        <v>0</v>
      </c>
      <c r="K11" s="56">
        <f>SUMIF(TE!$A$48:'TE'!$A$85,$A$2,TE!$U$48:'TE'!$U$85)</f>
        <v>0</v>
      </c>
      <c r="L11" s="56">
        <f t="shared" si="0"/>
        <v>1048815.9234062289</v>
      </c>
    </row>
    <row r="13" spans="1:33" x14ac:dyDescent="0.2">
      <c r="A13" s="16" t="s">
        <v>1069</v>
      </c>
      <c r="B13" s="75">
        <f t="shared" ref="B13:L13" si="1">IF($L$6&lt;&gt;0,(B$7-B$6)/$L$6,0)</f>
        <v>-7.2254389848725622E-15</v>
      </c>
      <c r="C13" s="75">
        <f t="shared" si="1"/>
        <v>0</v>
      </c>
      <c r="D13" s="75">
        <f t="shared" si="1"/>
        <v>0</v>
      </c>
      <c r="E13" s="75">
        <f t="shared" si="1"/>
        <v>0</v>
      </c>
      <c r="F13" s="75">
        <f t="shared" si="1"/>
        <v>0.15391119553423427</v>
      </c>
      <c r="G13" s="75">
        <f t="shared" si="1"/>
        <v>0</v>
      </c>
      <c r="H13" s="75">
        <f t="shared" si="1"/>
        <v>0</v>
      </c>
      <c r="I13" s="75">
        <f t="shared" si="1"/>
        <v>0</v>
      </c>
      <c r="J13" s="75">
        <f t="shared" si="1"/>
        <v>-2.1007354260296492E-2</v>
      </c>
      <c r="K13" s="75">
        <f t="shared" si="1"/>
        <v>0</v>
      </c>
      <c r="L13" s="75">
        <f t="shared" si="1"/>
        <v>0.13290384127393046</v>
      </c>
    </row>
    <row r="14" spans="1:33" x14ac:dyDescent="0.2">
      <c r="A14" s="16" t="s">
        <v>1070</v>
      </c>
      <c r="B14" s="75">
        <f t="shared" ref="B14:L14" si="2">IF($L$10&lt;&gt;0,(B$9-B$8)/$L$10,0)</f>
        <v>-7.2254389848725669E-15</v>
      </c>
      <c r="C14" s="75">
        <f t="shared" si="2"/>
        <v>0</v>
      </c>
      <c r="D14" s="75">
        <f t="shared" si="2"/>
        <v>0</v>
      </c>
      <c r="E14" s="75">
        <f t="shared" si="2"/>
        <v>0</v>
      </c>
      <c r="F14" s="75">
        <f t="shared" si="2"/>
        <v>0.14840348832447861</v>
      </c>
      <c r="G14" s="75">
        <f t="shared" si="2"/>
        <v>0</v>
      </c>
      <c r="H14" s="75">
        <f t="shared" si="2"/>
        <v>0</v>
      </c>
      <c r="I14" s="75">
        <f t="shared" si="2"/>
        <v>0</v>
      </c>
      <c r="J14" s="75">
        <f t="shared" si="2"/>
        <v>-2.1007354260296505E-2</v>
      </c>
      <c r="K14" s="75">
        <f t="shared" si="2"/>
        <v>0</v>
      </c>
      <c r="L14" s="75">
        <f t="shared" si="2"/>
        <v>0.12739613406417485</v>
      </c>
    </row>
    <row r="15" spans="1:33" x14ac:dyDescent="0.2">
      <c r="A15" s="16" t="s">
        <v>1071</v>
      </c>
      <c r="B15" s="75">
        <f t="shared" ref="B15:L15" si="3">IF($L$8&lt;&gt;0,(B$9-B$8)/$L$8,0)</f>
        <v>-7.2254389848725669E-15</v>
      </c>
      <c r="C15" s="75">
        <f t="shared" si="3"/>
        <v>0</v>
      </c>
      <c r="D15" s="75">
        <f t="shared" si="3"/>
        <v>0</v>
      </c>
      <c r="E15" s="75">
        <f t="shared" si="3"/>
        <v>0</v>
      </c>
      <c r="F15" s="75">
        <f t="shared" si="3"/>
        <v>0.14840348832447861</v>
      </c>
      <c r="G15" s="75">
        <f t="shared" si="3"/>
        <v>0</v>
      </c>
      <c r="H15" s="75">
        <f t="shared" si="3"/>
        <v>0</v>
      </c>
      <c r="I15" s="75">
        <f t="shared" si="3"/>
        <v>0</v>
      </c>
      <c r="J15" s="75">
        <f t="shared" si="3"/>
        <v>-2.1007354260296505E-2</v>
      </c>
      <c r="K15" s="75">
        <f t="shared" si="3"/>
        <v>0</v>
      </c>
      <c r="L15" s="75">
        <f t="shared" si="3"/>
        <v>0.12739613406417485</v>
      </c>
    </row>
  </sheetData>
  <dataValidations count="4">
    <dataValidation type="list" allowBlank="1" showInputMessage="1" showErrorMessage="1" sqref="A2 G2" xr:uid="{C0B33E4E-354F-4779-A41E-051226B82F9F}">
      <formula1>AA1:AA5</formula1>
    </dataValidation>
    <dataValidation type="list" allowBlank="1" showInputMessage="1" showErrorMessage="1" sqref="B2 C2" xr:uid="{DC1C1976-FB94-46B0-8944-46C2C922BC55}">
      <formula1>AB1:AB4</formula1>
    </dataValidation>
    <dataValidation type="list" allowBlank="1" showInputMessage="1" showErrorMessage="1" sqref="D2" xr:uid="{4A6888D0-5CD3-4E15-8189-79E97E9A4199}">
      <formula1>AD1:AD10</formula1>
    </dataValidation>
    <dataValidation type="list" allowBlank="1" showInputMessage="1" showErrorMessage="1" sqref="E2 F2" xr:uid="{9F34AED4-2E74-4F66-B3E1-44732D563A6A}">
      <formula1>AE1:AE1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F49A23-7DBE-4416-A0C4-49C41310899B}">
  <dimension ref="B1:U16"/>
  <sheetViews>
    <sheetView showGridLines="0" workbookViewId="0">
      <selection activeCell="U1" sqref="U1"/>
    </sheetView>
  </sheetViews>
  <sheetFormatPr defaultRowHeight="15" x14ac:dyDescent="0.25"/>
  <sheetData>
    <row r="1" spans="2:21" x14ac:dyDescent="0.25">
      <c r="B1" s="68" t="s">
        <v>677</v>
      </c>
      <c r="C1" s="68" t="s">
        <v>678</v>
      </c>
      <c r="D1" s="68" t="s">
        <v>679</v>
      </c>
      <c r="E1" s="68" t="s">
        <v>2</v>
      </c>
      <c r="F1" s="68" t="s">
        <v>680</v>
      </c>
      <c r="G1" s="68" t="s">
        <v>587</v>
      </c>
      <c r="H1" s="68" t="s">
        <v>3</v>
      </c>
      <c r="I1" s="68" t="s">
        <v>681</v>
      </c>
      <c r="J1" s="68" t="s">
        <v>5</v>
      </c>
      <c r="K1" s="68" t="s">
        <v>1</v>
      </c>
      <c r="L1" s="68" t="s">
        <v>682</v>
      </c>
      <c r="M1" s="68" t="s">
        <v>683</v>
      </c>
      <c r="N1" s="68" t="s">
        <v>684</v>
      </c>
      <c r="O1" s="68" t="s">
        <v>685</v>
      </c>
      <c r="P1" s="68" t="s">
        <v>686</v>
      </c>
      <c r="Q1" s="68" t="s">
        <v>687</v>
      </c>
      <c r="R1" s="68" t="s">
        <v>688</v>
      </c>
      <c r="S1" s="68" t="s">
        <v>689</v>
      </c>
      <c r="T1" s="68" t="s">
        <v>690</v>
      </c>
      <c r="U1" s="68" t="s">
        <v>691</v>
      </c>
    </row>
    <row r="2" spans="2:21" x14ac:dyDescent="0.25">
      <c r="B2" s="67" t="s">
        <v>658</v>
      </c>
      <c r="C2" s="67">
        <v>6677</v>
      </c>
      <c r="D2" s="67">
        <v>5279</v>
      </c>
      <c r="E2" s="67" t="s">
        <v>41</v>
      </c>
      <c r="F2" s="67">
        <v>1</v>
      </c>
      <c r="G2" s="67" t="s">
        <v>659</v>
      </c>
      <c r="H2" s="67" t="s">
        <v>49</v>
      </c>
      <c r="I2" s="67" t="s">
        <v>50</v>
      </c>
      <c r="J2" s="67" t="s">
        <v>660</v>
      </c>
      <c r="K2" s="67" t="s">
        <v>33</v>
      </c>
      <c r="L2" s="67">
        <v>0.15</v>
      </c>
      <c r="M2" s="67">
        <v>0.12</v>
      </c>
      <c r="N2" s="67">
        <v>0.09</v>
      </c>
      <c r="O2" s="67">
        <v>0.06</v>
      </c>
      <c r="P2" s="67">
        <v>0.03</v>
      </c>
      <c r="Q2" s="67">
        <v>0</v>
      </c>
      <c r="R2" s="67"/>
      <c r="S2" s="67"/>
      <c r="T2" s="67"/>
      <c r="U2" s="67">
        <v>3</v>
      </c>
    </row>
    <row r="3" spans="2:21" x14ac:dyDescent="0.25">
      <c r="B3" s="67" t="s">
        <v>661</v>
      </c>
      <c r="C3" s="67">
        <v>6678</v>
      </c>
      <c r="D3" s="67">
        <v>5279</v>
      </c>
      <c r="E3" s="67" t="s">
        <v>34</v>
      </c>
      <c r="F3" s="67">
        <v>1</v>
      </c>
      <c r="G3" s="67" t="s">
        <v>659</v>
      </c>
      <c r="H3" s="67" t="s">
        <v>49</v>
      </c>
      <c r="I3" s="67" t="s">
        <v>50</v>
      </c>
      <c r="J3" s="67" t="s">
        <v>660</v>
      </c>
      <c r="K3" s="67" t="s">
        <v>33</v>
      </c>
      <c r="L3" s="67">
        <v>0.15</v>
      </c>
      <c r="M3" s="67">
        <v>0.12</v>
      </c>
      <c r="N3" s="67">
        <v>0.09</v>
      </c>
      <c r="O3" s="67">
        <v>0.06</v>
      </c>
      <c r="P3" s="67">
        <v>0.03</v>
      </c>
      <c r="Q3" s="67">
        <v>0</v>
      </c>
      <c r="R3" s="67"/>
      <c r="S3" s="67"/>
      <c r="T3" s="67"/>
      <c r="U3" s="67">
        <v>3</v>
      </c>
    </row>
    <row r="4" spans="2:21" x14ac:dyDescent="0.25">
      <c r="B4" s="67" t="s">
        <v>662</v>
      </c>
      <c r="C4" s="67">
        <v>6679</v>
      </c>
      <c r="D4" s="67">
        <v>5279</v>
      </c>
      <c r="E4" s="67" t="s">
        <v>663</v>
      </c>
      <c r="F4" s="67">
        <v>1</v>
      </c>
      <c r="G4" s="67" t="s">
        <v>659</v>
      </c>
      <c r="H4" s="67" t="s">
        <v>49</v>
      </c>
      <c r="I4" s="67" t="s">
        <v>50</v>
      </c>
      <c r="J4" s="67" t="s">
        <v>660</v>
      </c>
      <c r="K4" s="67" t="s">
        <v>33</v>
      </c>
      <c r="L4" s="67">
        <v>0.15</v>
      </c>
      <c r="M4" s="67">
        <v>0.12</v>
      </c>
      <c r="N4" s="67">
        <v>0.09</v>
      </c>
      <c r="O4" s="67">
        <v>0.06</v>
      </c>
      <c r="P4" s="67">
        <v>0.03</v>
      </c>
      <c r="Q4" s="67">
        <v>0</v>
      </c>
      <c r="R4" s="67"/>
      <c r="S4" s="67"/>
      <c r="T4" s="67"/>
      <c r="U4" s="67">
        <v>3</v>
      </c>
    </row>
    <row r="5" spans="2:21" x14ac:dyDescent="0.25">
      <c r="B5" s="67" t="s">
        <v>664</v>
      </c>
      <c r="C5" s="67">
        <v>6680</v>
      </c>
      <c r="D5" s="67">
        <v>5279</v>
      </c>
      <c r="E5" s="67" t="s">
        <v>23</v>
      </c>
      <c r="F5" s="67">
        <v>1</v>
      </c>
      <c r="G5" s="67" t="s">
        <v>659</v>
      </c>
      <c r="H5" s="67" t="s">
        <v>49</v>
      </c>
      <c r="I5" s="67" t="s">
        <v>50</v>
      </c>
      <c r="J5" s="67" t="s">
        <v>660</v>
      </c>
      <c r="K5" s="67" t="s">
        <v>39</v>
      </c>
      <c r="L5" s="67">
        <v>0.15</v>
      </c>
      <c r="M5" s="67">
        <v>0.12</v>
      </c>
      <c r="N5" s="67">
        <v>0.09</v>
      </c>
      <c r="O5" s="67">
        <v>0.06</v>
      </c>
      <c r="P5" s="67">
        <v>0.03</v>
      </c>
      <c r="Q5" s="67">
        <v>0</v>
      </c>
      <c r="R5" s="67"/>
      <c r="S5" s="67"/>
      <c r="T5" s="67"/>
      <c r="U5" s="67">
        <v>3</v>
      </c>
    </row>
    <row r="6" spans="2:21" x14ac:dyDescent="0.25">
      <c r="B6" s="67" t="s">
        <v>665</v>
      </c>
      <c r="C6" s="67">
        <v>6681</v>
      </c>
      <c r="D6" s="67">
        <v>5279</v>
      </c>
      <c r="E6" s="67" t="s">
        <v>37</v>
      </c>
      <c r="F6" s="67">
        <v>1</v>
      </c>
      <c r="G6" s="67" t="s">
        <v>659</v>
      </c>
      <c r="H6" s="67" t="s">
        <v>49</v>
      </c>
      <c r="I6" s="67" t="s">
        <v>50</v>
      </c>
      <c r="J6" s="67" t="s">
        <v>660</v>
      </c>
      <c r="K6" s="67" t="s">
        <v>39</v>
      </c>
      <c r="L6" s="67">
        <v>0.15</v>
      </c>
      <c r="M6" s="67">
        <v>0.12</v>
      </c>
      <c r="N6" s="67">
        <v>0.09</v>
      </c>
      <c r="O6" s="67">
        <v>0.06</v>
      </c>
      <c r="P6" s="67">
        <v>0.03</v>
      </c>
      <c r="Q6" s="67">
        <v>0</v>
      </c>
      <c r="R6" s="67"/>
      <c r="S6" s="67"/>
      <c r="T6" s="67"/>
      <c r="U6" s="67">
        <v>3</v>
      </c>
    </row>
    <row r="7" spans="2:21" x14ac:dyDescent="0.25">
      <c r="B7" s="67" t="s">
        <v>666</v>
      </c>
      <c r="C7" s="67">
        <v>6682</v>
      </c>
      <c r="D7" s="67">
        <v>5279</v>
      </c>
      <c r="E7" s="67" t="s">
        <v>23</v>
      </c>
      <c r="F7" s="67">
        <v>1</v>
      </c>
      <c r="G7" s="67" t="s">
        <v>659</v>
      </c>
      <c r="H7" s="67" t="s">
        <v>44</v>
      </c>
      <c r="I7" s="67" t="s">
        <v>87</v>
      </c>
      <c r="J7" s="67" t="s">
        <v>660</v>
      </c>
      <c r="K7" s="67" t="s">
        <v>43</v>
      </c>
      <c r="L7" s="67">
        <v>0.3</v>
      </c>
      <c r="M7" s="67">
        <v>0.24</v>
      </c>
      <c r="N7" s="67">
        <v>0.18</v>
      </c>
      <c r="O7" s="67">
        <v>0.12</v>
      </c>
      <c r="P7" s="67">
        <v>0.06</v>
      </c>
      <c r="Q7" s="67">
        <v>0</v>
      </c>
      <c r="R7" s="67"/>
      <c r="S7" s="67"/>
      <c r="T7" s="67"/>
      <c r="U7" s="67">
        <v>3</v>
      </c>
    </row>
    <row r="8" spans="2:21" x14ac:dyDescent="0.25">
      <c r="B8" s="67" t="s">
        <v>667</v>
      </c>
      <c r="C8" s="67">
        <v>6683</v>
      </c>
      <c r="D8" s="67">
        <v>5279</v>
      </c>
      <c r="E8" s="67" t="s">
        <v>668</v>
      </c>
      <c r="F8" s="67">
        <v>1</v>
      </c>
      <c r="G8" s="67" t="s">
        <v>659</v>
      </c>
      <c r="H8" s="67" t="s">
        <v>44</v>
      </c>
      <c r="I8" s="67" t="s">
        <v>87</v>
      </c>
      <c r="J8" s="67" t="s">
        <v>660</v>
      </c>
      <c r="K8" s="67" t="s">
        <v>43</v>
      </c>
      <c r="L8" s="67">
        <v>0.3</v>
      </c>
      <c r="M8" s="67">
        <v>0.24</v>
      </c>
      <c r="N8" s="67">
        <v>0.18</v>
      </c>
      <c r="O8" s="67">
        <v>0.12</v>
      </c>
      <c r="P8" s="67">
        <v>0.06</v>
      </c>
      <c r="Q8" s="67">
        <v>0</v>
      </c>
      <c r="R8" s="67"/>
      <c r="S8" s="67"/>
      <c r="T8" s="67"/>
      <c r="U8" s="67">
        <v>3</v>
      </c>
    </row>
    <row r="9" spans="2:21" x14ac:dyDescent="0.25">
      <c r="B9" s="67" t="s">
        <v>669</v>
      </c>
      <c r="C9" s="67">
        <v>6684</v>
      </c>
      <c r="D9" s="67">
        <v>5279</v>
      </c>
      <c r="E9" s="67" t="s">
        <v>23</v>
      </c>
      <c r="F9" s="67">
        <v>1</v>
      </c>
      <c r="G9" s="67" t="s">
        <v>659</v>
      </c>
      <c r="H9" s="67" t="s">
        <v>44</v>
      </c>
      <c r="I9" s="67" t="s">
        <v>25</v>
      </c>
      <c r="J9" s="67" t="s">
        <v>44</v>
      </c>
      <c r="K9" s="67" t="s">
        <v>43</v>
      </c>
      <c r="L9" s="67">
        <v>0.3</v>
      </c>
      <c r="M9" s="67">
        <v>0.24</v>
      </c>
      <c r="N9" s="67">
        <v>0.18</v>
      </c>
      <c r="O9" s="67">
        <v>0.12</v>
      </c>
      <c r="P9" s="67">
        <v>0.06</v>
      </c>
      <c r="Q9" s="67">
        <v>0</v>
      </c>
      <c r="R9" s="67"/>
      <c r="S9" s="67"/>
      <c r="T9" s="67"/>
      <c r="U9" s="67">
        <v>3</v>
      </c>
    </row>
    <row r="10" spans="2:21" x14ac:dyDescent="0.25">
      <c r="B10" s="67" t="s">
        <v>670</v>
      </c>
      <c r="C10" s="67">
        <v>6685</v>
      </c>
      <c r="D10" s="67">
        <v>5279</v>
      </c>
      <c r="E10" s="67" t="s">
        <v>41</v>
      </c>
      <c r="F10" s="67">
        <v>1</v>
      </c>
      <c r="G10" s="67" t="s">
        <v>659</v>
      </c>
      <c r="H10" s="67" t="s">
        <v>44</v>
      </c>
      <c r="I10" s="67" t="s">
        <v>25</v>
      </c>
      <c r="J10" s="67" t="s">
        <v>671</v>
      </c>
      <c r="K10" s="67" t="s">
        <v>33</v>
      </c>
      <c r="L10" s="67">
        <v>0.1</v>
      </c>
      <c r="M10" s="67">
        <v>0.08</v>
      </c>
      <c r="N10" s="67">
        <v>0.06</v>
      </c>
      <c r="O10" s="67">
        <v>0.04</v>
      </c>
      <c r="P10" s="67">
        <v>0.02</v>
      </c>
      <c r="Q10" s="67">
        <v>0</v>
      </c>
      <c r="R10" s="67"/>
      <c r="S10" s="67"/>
      <c r="T10" s="67"/>
      <c r="U10" s="67">
        <v>3</v>
      </c>
    </row>
    <row r="11" spans="2:21" x14ac:dyDescent="0.25">
      <c r="B11" s="67" t="s">
        <v>672</v>
      </c>
      <c r="C11" s="67">
        <v>6686</v>
      </c>
      <c r="D11" s="67">
        <v>5279</v>
      </c>
      <c r="E11" s="67" t="s">
        <v>34</v>
      </c>
      <c r="F11" s="67">
        <v>1</v>
      </c>
      <c r="G11" s="67" t="s">
        <v>659</v>
      </c>
      <c r="H11" s="67" t="s">
        <v>44</v>
      </c>
      <c r="I11" s="67" t="s">
        <v>25</v>
      </c>
      <c r="J11" s="67" t="s">
        <v>671</v>
      </c>
      <c r="K11" s="67" t="s">
        <v>33</v>
      </c>
      <c r="L11" s="67">
        <v>0.1</v>
      </c>
      <c r="M11" s="67">
        <v>0.08</v>
      </c>
      <c r="N11" s="67">
        <v>0.06</v>
      </c>
      <c r="O11" s="67">
        <v>0.04</v>
      </c>
      <c r="P11" s="67">
        <v>0.02</v>
      </c>
      <c r="Q11" s="67">
        <v>0</v>
      </c>
      <c r="R11" s="67"/>
      <c r="S11" s="67"/>
      <c r="T11" s="67"/>
      <c r="U11" s="67">
        <v>3</v>
      </c>
    </row>
    <row r="12" spans="2:21" x14ac:dyDescent="0.25">
      <c r="B12" s="67" t="s">
        <v>673</v>
      </c>
      <c r="C12" s="67">
        <v>6687</v>
      </c>
      <c r="D12" s="67">
        <v>5279</v>
      </c>
      <c r="E12" s="67" t="s">
        <v>23</v>
      </c>
      <c r="F12" s="67">
        <v>1</v>
      </c>
      <c r="G12" s="67" t="s">
        <v>659</v>
      </c>
      <c r="H12" s="67" t="s">
        <v>44</v>
      </c>
      <c r="I12" s="67" t="s">
        <v>25</v>
      </c>
      <c r="J12" s="67" t="s">
        <v>671</v>
      </c>
      <c r="K12" s="67" t="s">
        <v>33</v>
      </c>
      <c r="L12" s="67">
        <v>0.1</v>
      </c>
      <c r="M12" s="67">
        <v>0.08</v>
      </c>
      <c r="N12" s="67">
        <v>0.06</v>
      </c>
      <c r="O12" s="67">
        <v>0.04</v>
      </c>
      <c r="P12" s="67">
        <v>0.02</v>
      </c>
      <c r="Q12" s="67">
        <v>0</v>
      </c>
      <c r="R12" s="67"/>
      <c r="S12" s="67"/>
      <c r="T12" s="67"/>
      <c r="U12" s="67">
        <v>3</v>
      </c>
    </row>
    <row r="13" spans="2:21" x14ac:dyDescent="0.25">
      <c r="B13" s="67" t="s">
        <v>669</v>
      </c>
      <c r="C13" s="67">
        <v>6688</v>
      </c>
      <c r="D13" s="67">
        <v>5279</v>
      </c>
      <c r="E13" s="67" t="s">
        <v>23</v>
      </c>
      <c r="F13" s="67">
        <v>1</v>
      </c>
      <c r="G13" s="67" t="s">
        <v>659</v>
      </c>
      <c r="H13" s="67" t="s">
        <v>44</v>
      </c>
      <c r="I13" s="67" t="s">
        <v>25</v>
      </c>
      <c r="J13" s="67" t="s">
        <v>44</v>
      </c>
      <c r="K13" s="67" t="s">
        <v>43</v>
      </c>
      <c r="L13" s="67">
        <v>0.3</v>
      </c>
      <c r="M13" s="67">
        <v>0.24</v>
      </c>
      <c r="N13" s="67">
        <v>0.18</v>
      </c>
      <c r="O13" s="67">
        <v>0.12</v>
      </c>
      <c r="P13" s="67">
        <v>0.06</v>
      </c>
      <c r="Q13" s="67">
        <v>0</v>
      </c>
      <c r="R13" s="67"/>
      <c r="S13" s="67"/>
      <c r="T13" s="67"/>
      <c r="U13" s="67">
        <v>3</v>
      </c>
    </row>
    <row r="14" spans="2:21" x14ac:dyDescent="0.25">
      <c r="B14" s="67" t="s">
        <v>674</v>
      </c>
      <c r="C14" s="67">
        <v>6689</v>
      </c>
      <c r="D14" s="67">
        <v>5279</v>
      </c>
      <c r="E14" s="67" t="s">
        <v>37</v>
      </c>
      <c r="F14" s="67">
        <v>1</v>
      </c>
      <c r="G14" s="67" t="s">
        <v>659</v>
      </c>
      <c r="H14" s="67" t="s">
        <v>44</v>
      </c>
      <c r="I14" s="67" t="s">
        <v>25</v>
      </c>
      <c r="J14" s="67" t="s">
        <v>44</v>
      </c>
      <c r="K14" s="67" t="s">
        <v>43</v>
      </c>
      <c r="L14" s="67">
        <v>0.3</v>
      </c>
      <c r="M14" s="67">
        <v>0.24</v>
      </c>
      <c r="N14" s="67">
        <v>0.18</v>
      </c>
      <c r="O14" s="67">
        <v>0.12</v>
      </c>
      <c r="P14" s="67">
        <v>0.06</v>
      </c>
      <c r="Q14" s="67">
        <v>0</v>
      </c>
      <c r="R14" s="67"/>
      <c r="S14" s="67"/>
      <c r="T14" s="67"/>
      <c r="U14" s="67">
        <v>3</v>
      </c>
    </row>
    <row r="15" spans="2:21" x14ac:dyDescent="0.25">
      <c r="B15" s="67" t="s">
        <v>675</v>
      </c>
      <c r="C15" s="67">
        <v>6690</v>
      </c>
      <c r="D15" s="67">
        <v>5279</v>
      </c>
      <c r="E15" s="67" t="s">
        <v>23</v>
      </c>
      <c r="F15" s="67">
        <v>1</v>
      </c>
      <c r="G15" s="67" t="s">
        <v>659</v>
      </c>
      <c r="H15" s="67" t="s">
        <v>44</v>
      </c>
      <c r="I15" s="67" t="s">
        <v>88</v>
      </c>
      <c r="J15" s="67" t="s">
        <v>660</v>
      </c>
      <c r="K15" s="67" t="s">
        <v>43</v>
      </c>
      <c r="L15" s="67">
        <v>0.4</v>
      </c>
      <c r="M15" s="67">
        <v>0.32</v>
      </c>
      <c r="N15" s="67">
        <v>0.24</v>
      </c>
      <c r="O15" s="67">
        <v>0.16</v>
      </c>
      <c r="P15" s="67">
        <v>0.08</v>
      </c>
      <c r="Q15" s="67">
        <v>0</v>
      </c>
      <c r="R15" s="67"/>
      <c r="S15" s="67"/>
      <c r="T15" s="67"/>
      <c r="U15" s="67">
        <v>3</v>
      </c>
    </row>
    <row r="16" spans="2:21" x14ac:dyDescent="0.25">
      <c r="B16" s="67" t="s">
        <v>676</v>
      </c>
      <c r="C16" s="67">
        <v>6691</v>
      </c>
      <c r="D16" s="67">
        <v>5279</v>
      </c>
      <c r="E16" s="67" t="s">
        <v>668</v>
      </c>
      <c r="F16" s="67">
        <v>1</v>
      </c>
      <c r="G16" s="67" t="s">
        <v>659</v>
      </c>
      <c r="H16" s="67" t="s">
        <v>44</v>
      </c>
      <c r="I16" s="67" t="s">
        <v>88</v>
      </c>
      <c r="J16" s="67" t="s">
        <v>660</v>
      </c>
      <c r="K16" s="67" t="s">
        <v>43</v>
      </c>
      <c r="L16" s="67">
        <v>0.4</v>
      </c>
      <c r="M16" s="67">
        <v>0.32</v>
      </c>
      <c r="N16" s="67">
        <v>0.24</v>
      </c>
      <c r="O16" s="67">
        <v>0.16</v>
      </c>
      <c r="P16" s="67">
        <v>0.08</v>
      </c>
      <c r="Q16" s="67">
        <v>0</v>
      </c>
      <c r="R16" s="67"/>
      <c r="S16" s="67"/>
      <c r="T16" s="67"/>
      <c r="U16" s="67">
        <v>3</v>
      </c>
    </row>
  </sheetData>
  <pageMargins left="0.511811024" right="0.511811024" top="0.78740157499999996" bottom="0.78740157499999996" header="0.31496062000000002" footer="0.3149606200000000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F7B054-941E-4A39-9F12-92CB9F9411C2}">
  <dimension ref="A1:L18"/>
  <sheetViews>
    <sheetView showGridLines="0" workbookViewId="0">
      <selection activeCell="F8" sqref="F8"/>
    </sheetView>
  </sheetViews>
  <sheetFormatPr defaultRowHeight="11.25" x14ac:dyDescent="0.2"/>
  <cols>
    <col min="1" max="1" width="31.42578125" style="16" bestFit="1" customWidth="1"/>
    <col min="2" max="2" width="18.42578125" style="16" customWidth="1"/>
    <col min="3" max="12" width="11" style="16" customWidth="1"/>
    <col min="13" max="16384" width="9.140625" style="16"/>
  </cols>
  <sheetData>
    <row r="1" spans="1:12" ht="12" thickBot="1" x14ac:dyDescent="0.25">
      <c r="A1" s="101" t="s">
        <v>1086</v>
      </c>
      <c r="B1" s="101" t="s">
        <v>22</v>
      </c>
      <c r="C1" s="101" t="s">
        <v>1085</v>
      </c>
      <c r="D1" s="101" t="s">
        <v>1084</v>
      </c>
      <c r="E1" s="101" t="s">
        <v>39</v>
      </c>
      <c r="F1" s="101" t="s">
        <v>1083</v>
      </c>
      <c r="G1" s="101" t="s">
        <v>1082</v>
      </c>
      <c r="H1" s="101" t="s">
        <v>580</v>
      </c>
      <c r="I1" s="101" t="s">
        <v>33</v>
      </c>
      <c r="J1" s="101" t="s">
        <v>579</v>
      </c>
      <c r="K1" s="101" t="s">
        <v>578</v>
      </c>
      <c r="L1" s="101" t="s">
        <v>577</v>
      </c>
    </row>
    <row r="2" spans="1:12" x14ac:dyDescent="0.2">
      <c r="A2" s="97" t="s">
        <v>1081</v>
      </c>
      <c r="B2" s="103">
        <f t="shared" ref="B2:L2" si="0">12*B3*(1-$B$10/IF($B$8&lt;&gt;0,$B$8,1))/IF(((((1+$B$6)^(1/IF($B$9&lt;&gt;0,$B$9,1))*$B$6)/(IF((1+$B$6)^(1/IF($B$9&lt;&gt;0,$B$9,1))-1&lt;&gt;0,(1+$B$6)^(1/IF($B$9&lt;&gt;0,$B$9,1))-1,1))))&lt;&gt;0,(((1+$B$6)^(1/IF($B$9&lt;&gt;0,$B$9,1))*$B$6)/(IF((1+$B$6)^(1/IF($B$9&lt;&gt;0,$B$9,1))-1&lt;&gt;0,(1+$B$6)^(1/IF($B$9&lt;&gt;0,$B$9,1))-1,1))),1)</f>
        <v>691.10283915126581</v>
      </c>
      <c r="C2" s="103">
        <f t="shared" si="0"/>
        <v>649.67269501448266</v>
      </c>
      <c r="D2" s="103">
        <f t="shared" si="0"/>
        <v>635.86264696888827</v>
      </c>
      <c r="E2" s="103">
        <f t="shared" si="0"/>
        <v>691.10283915126581</v>
      </c>
      <c r="F2" s="103">
        <f t="shared" si="0"/>
        <v>380.07653968961881</v>
      </c>
      <c r="G2" s="103">
        <f t="shared" si="0"/>
        <v>414.60165980360472</v>
      </c>
      <c r="H2" s="103">
        <f t="shared" si="0"/>
        <v>0</v>
      </c>
      <c r="I2" s="103">
        <f t="shared" si="0"/>
        <v>1549.7460150704123</v>
      </c>
      <c r="J2" s="103">
        <f t="shared" si="0"/>
        <v>0</v>
      </c>
      <c r="K2" s="103">
        <f t="shared" si="0"/>
        <v>0</v>
      </c>
      <c r="L2" s="103">
        <f t="shared" si="0"/>
        <v>0</v>
      </c>
    </row>
    <row r="3" spans="1:12" ht="12" thickBot="1" x14ac:dyDescent="0.25">
      <c r="A3" s="95" t="s">
        <v>1080</v>
      </c>
      <c r="B3" s="102">
        <v>23.02</v>
      </c>
      <c r="C3" s="102">
        <v>21.64</v>
      </c>
      <c r="D3" s="102">
        <v>21.18</v>
      </c>
      <c r="E3" s="102">
        <v>23.02</v>
      </c>
      <c r="F3" s="102">
        <v>12.66</v>
      </c>
      <c r="G3" s="102">
        <v>13.81</v>
      </c>
      <c r="H3" s="102">
        <v>0</v>
      </c>
      <c r="I3" s="102">
        <f>'TUSD BE'!$AC$6</f>
        <v>51.620614539412216</v>
      </c>
      <c r="J3" s="102">
        <v>0</v>
      </c>
      <c r="K3" s="102">
        <v>0</v>
      </c>
      <c r="L3" s="102">
        <v>0</v>
      </c>
    </row>
    <row r="5" spans="1:12" ht="12" thickBot="1" x14ac:dyDescent="0.25">
      <c r="A5" s="101" t="s">
        <v>1079</v>
      </c>
      <c r="B5" s="101" t="s">
        <v>1078</v>
      </c>
    </row>
    <row r="6" spans="1:12" x14ac:dyDescent="0.2">
      <c r="A6" s="97" t="s">
        <v>1077</v>
      </c>
      <c r="B6" s="100">
        <v>9.9699999999999997E-2</v>
      </c>
    </row>
    <row r="7" spans="1:12" x14ac:dyDescent="0.2">
      <c r="A7" s="99" t="s">
        <v>1076</v>
      </c>
      <c r="B7" s="98">
        <v>0</v>
      </c>
    </row>
    <row r="8" spans="1:12" x14ac:dyDescent="0.2">
      <c r="A8" s="97" t="s">
        <v>1075</v>
      </c>
      <c r="B8" s="96">
        <v>26189026.16</v>
      </c>
    </row>
    <row r="9" spans="1:12" x14ac:dyDescent="0.2">
      <c r="A9" s="99" t="s">
        <v>1074</v>
      </c>
      <c r="B9" s="98">
        <v>0.04</v>
      </c>
    </row>
    <row r="10" spans="1:12" x14ac:dyDescent="0.2">
      <c r="A10" s="97" t="s">
        <v>1073</v>
      </c>
      <c r="B10" s="96">
        <v>18987432.199999999</v>
      </c>
    </row>
    <row r="11" spans="1:12" ht="12" thickBot="1" x14ac:dyDescent="0.25">
      <c r="A11" s="95" t="s">
        <v>1072</v>
      </c>
      <c r="B11" s="94">
        <f>(1+$B$6)^(1/IF($B$9&lt;&gt;0,$B$9,1))*$B$6/IF((1+$B$6)^(1/IF($B$9&lt;&gt;0,$B$9,1))-1&lt;&gt;0,(1+$B$6)^(1/IF($B$9&lt;&gt;0,$B$9,1))-1,1)</f>
        <v>0.10991403975195672</v>
      </c>
    </row>
    <row r="18" spans="2:2" x14ac:dyDescent="0.2">
      <c r="B18" s="9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59692-C690-445F-943F-0022EDF8B32B}">
  <dimension ref="B1:AQ50"/>
  <sheetViews>
    <sheetView showGridLines="0" workbookViewId="0">
      <selection activeCell="B4" sqref="B4"/>
    </sheetView>
  </sheetViews>
  <sheetFormatPr defaultRowHeight="15" x14ac:dyDescent="0.25"/>
  <cols>
    <col min="2" max="2" width="13.42578125" bestFit="1" customWidth="1"/>
    <col min="3" max="3" width="27.7109375" bestFit="1" customWidth="1"/>
    <col min="4" max="4" width="17.85546875" bestFit="1" customWidth="1"/>
    <col min="5" max="5" width="31.140625" bestFit="1" customWidth="1"/>
    <col min="6" max="6" width="12.5703125" bestFit="1" customWidth="1"/>
    <col min="7" max="7" width="13.42578125" bestFit="1" customWidth="1"/>
    <col min="8" max="8" width="11.5703125" bestFit="1" customWidth="1"/>
    <col min="9" max="9" width="13.42578125" bestFit="1" customWidth="1"/>
    <col min="10" max="10" width="12.85546875" bestFit="1" customWidth="1"/>
    <col min="11" max="11" width="10.140625" bestFit="1" customWidth="1"/>
    <col min="12" max="12" width="19.28515625" bestFit="1" customWidth="1"/>
    <col min="13" max="13" width="14" bestFit="1" customWidth="1"/>
    <col min="14" max="14" width="12.5703125" bestFit="1" customWidth="1"/>
    <col min="15" max="15" width="12.85546875" bestFit="1" customWidth="1"/>
    <col min="16" max="17" width="12.42578125" bestFit="1" customWidth="1"/>
    <col min="18" max="18" width="17.140625" bestFit="1" customWidth="1"/>
    <col min="19" max="19" width="10.85546875" bestFit="1" customWidth="1"/>
    <col min="20" max="20" width="11.28515625" bestFit="1" customWidth="1"/>
    <col min="21" max="21" width="11.140625" bestFit="1" customWidth="1"/>
    <col min="22" max="22" width="12.28515625" bestFit="1" customWidth="1"/>
    <col min="23" max="23" width="12.5703125" bestFit="1" customWidth="1"/>
    <col min="24" max="24" width="13.85546875" bestFit="1" customWidth="1"/>
    <col min="25" max="25" width="11.42578125" bestFit="1" customWidth="1"/>
    <col min="26" max="26" width="14.28515625" bestFit="1" customWidth="1"/>
    <col min="27" max="27" width="12.85546875" bestFit="1" customWidth="1"/>
    <col min="28" max="28" width="16.140625" bestFit="1" customWidth="1"/>
    <col min="29" max="29" width="14.42578125" bestFit="1" customWidth="1"/>
    <col min="30" max="30" width="12" bestFit="1" customWidth="1"/>
    <col min="31" max="31" width="17.7109375" bestFit="1" customWidth="1"/>
    <col min="32" max="32" width="12.5703125" bestFit="1" customWidth="1"/>
    <col min="33" max="33" width="10.7109375" bestFit="1" customWidth="1"/>
    <col min="34" max="34" width="16.5703125" bestFit="1" customWidth="1"/>
    <col min="35" max="35" width="9.85546875" bestFit="1" customWidth="1"/>
    <col min="36" max="36" width="12.5703125" bestFit="1" customWidth="1"/>
    <col min="37" max="37" width="12.28515625" bestFit="1" customWidth="1"/>
    <col min="38" max="38" width="14.140625" bestFit="1" customWidth="1"/>
    <col min="39" max="39" width="25.28515625" bestFit="1" customWidth="1"/>
    <col min="40" max="40" width="17.85546875" bestFit="1" customWidth="1"/>
    <col min="41" max="41" width="13.42578125" bestFit="1" customWidth="1"/>
    <col min="42" max="42" width="13.28515625" bestFit="1" customWidth="1"/>
    <col min="43" max="43" width="12.5703125" bestFit="1" customWidth="1"/>
  </cols>
  <sheetData>
    <row r="1" spans="2:43" ht="12" customHeight="1" x14ac:dyDescent="0.25">
      <c r="L1" s="149" t="s">
        <v>1123</v>
      </c>
      <c r="M1" s="149"/>
      <c r="N1" s="149"/>
      <c r="O1" s="149"/>
      <c r="P1" s="149"/>
      <c r="Q1" s="149"/>
      <c r="R1" s="149"/>
      <c r="S1" s="149"/>
      <c r="T1" s="149"/>
      <c r="U1" s="149"/>
      <c r="V1" s="149"/>
      <c r="W1" s="149"/>
      <c r="X1" s="149"/>
      <c r="Y1" s="149"/>
      <c r="Z1" s="149"/>
      <c r="AA1" s="149"/>
      <c r="AB1" s="149"/>
      <c r="AC1" s="149"/>
      <c r="AD1" s="149"/>
      <c r="AE1" s="149"/>
      <c r="AF1" s="149"/>
      <c r="AG1" s="150"/>
      <c r="AH1" s="149" t="s">
        <v>1124</v>
      </c>
      <c r="AI1" s="149"/>
      <c r="AJ1" s="149"/>
      <c r="AK1" s="149"/>
      <c r="AL1" s="149"/>
      <c r="AM1" s="149"/>
      <c r="AN1" s="149"/>
      <c r="AO1" s="149"/>
      <c r="AP1" s="149"/>
      <c r="AQ1" s="149"/>
    </row>
    <row r="2" spans="2:43" ht="12" customHeight="1" x14ac:dyDescent="0.25">
      <c r="L2" s="151" t="s">
        <v>446</v>
      </c>
      <c r="M2" s="151"/>
      <c r="N2" s="151"/>
      <c r="O2" s="151"/>
      <c r="P2" s="151"/>
      <c r="Q2" s="151"/>
      <c r="R2" s="151"/>
      <c r="S2" s="152"/>
      <c r="T2" s="151" t="s">
        <v>455</v>
      </c>
      <c r="U2" s="151"/>
      <c r="V2" s="151"/>
      <c r="W2" s="151"/>
      <c r="X2" s="151"/>
      <c r="Y2" s="151"/>
      <c r="Z2" s="152"/>
      <c r="AA2" s="113" t="s">
        <v>463</v>
      </c>
      <c r="AB2" s="151" t="s">
        <v>25</v>
      </c>
      <c r="AC2" s="152"/>
      <c r="AD2" s="151" t="s">
        <v>1122</v>
      </c>
      <c r="AE2" s="151"/>
      <c r="AF2" s="151"/>
      <c r="AG2" s="152"/>
      <c r="AH2" s="151" t="s">
        <v>446</v>
      </c>
      <c r="AI2" s="151"/>
      <c r="AJ2" s="151"/>
      <c r="AK2" s="152"/>
      <c r="AL2" s="113" t="s">
        <v>476</v>
      </c>
      <c r="AM2" s="151" t="s">
        <v>455</v>
      </c>
      <c r="AN2" s="151"/>
      <c r="AO2" s="151"/>
      <c r="AP2" s="152"/>
      <c r="AQ2" s="114" t="s">
        <v>1122</v>
      </c>
    </row>
    <row r="3" spans="2:43" ht="12" customHeight="1" x14ac:dyDescent="0.25">
      <c r="B3" s="104" t="s">
        <v>61</v>
      </c>
      <c r="C3" s="105" t="s">
        <v>62</v>
      </c>
      <c r="D3" s="105" t="s">
        <v>63</v>
      </c>
      <c r="E3" s="105" t="s">
        <v>64</v>
      </c>
      <c r="F3" s="105" t="s">
        <v>65</v>
      </c>
      <c r="G3" s="105" t="s">
        <v>67</v>
      </c>
      <c r="H3" s="105" t="s">
        <v>68</v>
      </c>
      <c r="I3" s="105" t="s">
        <v>722</v>
      </c>
      <c r="J3" s="105" t="s">
        <v>1087</v>
      </c>
      <c r="K3" s="105" t="s">
        <v>1088</v>
      </c>
      <c r="L3" s="105" t="s">
        <v>1089</v>
      </c>
      <c r="M3" s="105" t="s">
        <v>1090</v>
      </c>
      <c r="N3" s="105" t="s">
        <v>1091</v>
      </c>
      <c r="O3" s="105" t="s">
        <v>1092</v>
      </c>
      <c r="P3" s="105" t="s">
        <v>1093</v>
      </c>
      <c r="Q3" s="105" t="s">
        <v>1094</v>
      </c>
      <c r="R3" s="105" t="s">
        <v>1095</v>
      </c>
      <c r="S3" s="105" t="s">
        <v>1096</v>
      </c>
      <c r="T3" s="105" t="s">
        <v>1097</v>
      </c>
      <c r="U3" s="105" t="s">
        <v>1098</v>
      </c>
      <c r="V3" s="105" t="s">
        <v>1099</v>
      </c>
      <c r="W3" s="105" t="s">
        <v>1100</v>
      </c>
      <c r="X3" s="105" t="s">
        <v>1101</v>
      </c>
      <c r="Y3" s="105" t="s">
        <v>1102</v>
      </c>
      <c r="Z3" s="105" t="s">
        <v>1103</v>
      </c>
      <c r="AA3" s="105" t="s">
        <v>1104</v>
      </c>
      <c r="AB3" s="105" t="s">
        <v>1105</v>
      </c>
      <c r="AC3" s="105" t="s">
        <v>1106</v>
      </c>
      <c r="AD3" s="105" t="s">
        <v>1107</v>
      </c>
      <c r="AE3" s="105" t="s">
        <v>1108</v>
      </c>
      <c r="AF3" s="105" t="s">
        <v>1109</v>
      </c>
      <c r="AG3" s="105" t="s">
        <v>1110</v>
      </c>
      <c r="AH3" s="105" t="s">
        <v>1111</v>
      </c>
      <c r="AI3" s="105" t="s">
        <v>1112</v>
      </c>
      <c r="AJ3" s="105" t="s">
        <v>1113</v>
      </c>
      <c r="AK3" s="105" t="s">
        <v>1114</v>
      </c>
      <c r="AL3" s="105" t="s">
        <v>1115</v>
      </c>
      <c r="AM3" s="105" t="s">
        <v>1116</v>
      </c>
      <c r="AN3" s="105" t="s">
        <v>1117</v>
      </c>
      <c r="AO3" s="105" t="s">
        <v>1118</v>
      </c>
      <c r="AP3" s="105" t="s">
        <v>1119</v>
      </c>
      <c r="AQ3" s="106" t="s">
        <v>1120</v>
      </c>
    </row>
    <row r="4" spans="2:43" ht="12" customHeight="1" x14ac:dyDescent="0.25">
      <c r="B4" s="107" t="s">
        <v>33</v>
      </c>
      <c r="C4" s="108" t="s">
        <v>41</v>
      </c>
      <c r="D4" s="108" t="s">
        <v>25</v>
      </c>
      <c r="E4" s="108" t="s">
        <v>25</v>
      </c>
      <c r="F4" s="108" t="s">
        <v>79</v>
      </c>
      <c r="G4" s="108" t="s">
        <v>35</v>
      </c>
      <c r="H4" s="108" t="s">
        <v>71</v>
      </c>
      <c r="I4" s="108" t="s">
        <v>25</v>
      </c>
      <c r="J4" s="108">
        <v>23.78</v>
      </c>
      <c r="K4" s="108">
        <v>0</v>
      </c>
      <c r="L4" s="108">
        <v>0</v>
      </c>
      <c r="M4" s="108">
        <v>1.6778632853872399</v>
      </c>
      <c r="N4" s="108">
        <v>0</v>
      </c>
      <c r="O4" s="108">
        <v>0</v>
      </c>
      <c r="P4" s="108">
        <v>0</v>
      </c>
      <c r="Q4" s="108">
        <v>0</v>
      </c>
      <c r="R4" s="108">
        <v>0</v>
      </c>
      <c r="S4" s="108">
        <v>0</v>
      </c>
      <c r="T4" s="108">
        <v>0</v>
      </c>
      <c r="U4" s="108">
        <v>0</v>
      </c>
      <c r="V4" s="108">
        <v>0</v>
      </c>
      <c r="W4" s="108">
        <v>0</v>
      </c>
      <c r="X4" s="108">
        <v>0</v>
      </c>
      <c r="Y4" s="108">
        <v>0</v>
      </c>
      <c r="Z4" s="108">
        <v>0</v>
      </c>
      <c r="AA4" s="108">
        <v>0</v>
      </c>
      <c r="AB4" s="108">
        <v>0</v>
      </c>
      <c r="AC4" s="108">
        <v>0</v>
      </c>
      <c r="AD4" s="108">
        <v>19.366265449486502</v>
      </c>
      <c r="AE4" s="108">
        <v>0</v>
      </c>
      <c r="AF4" s="108">
        <v>2.74085158382651</v>
      </c>
      <c r="AG4" s="108">
        <v>0</v>
      </c>
      <c r="AH4" s="108">
        <v>0</v>
      </c>
      <c r="AI4" s="108">
        <v>0</v>
      </c>
      <c r="AJ4" s="108">
        <v>0</v>
      </c>
      <c r="AK4" s="108">
        <v>0</v>
      </c>
      <c r="AL4" s="108">
        <v>0</v>
      </c>
      <c r="AM4" s="108">
        <v>0</v>
      </c>
      <c r="AN4" s="108">
        <v>0</v>
      </c>
      <c r="AO4" s="108">
        <v>0</v>
      </c>
      <c r="AP4" s="108">
        <v>0</v>
      </c>
      <c r="AQ4" s="109">
        <v>0</v>
      </c>
    </row>
    <row r="5" spans="2:43" ht="12" customHeight="1" x14ac:dyDescent="0.25">
      <c r="B5" s="107" t="s">
        <v>33</v>
      </c>
      <c r="C5" s="108" t="s">
        <v>41</v>
      </c>
      <c r="D5" s="108" t="s">
        <v>25</v>
      </c>
      <c r="E5" s="108" t="s">
        <v>25</v>
      </c>
      <c r="F5" s="108" t="s">
        <v>79</v>
      </c>
      <c r="G5" s="108" t="s">
        <v>35</v>
      </c>
      <c r="H5" s="108" t="s">
        <v>76</v>
      </c>
      <c r="I5" s="108" t="s">
        <v>25</v>
      </c>
      <c r="J5" s="108">
        <v>197.65</v>
      </c>
      <c r="K5" s="108">
        <v>0</v>
      </c>
      <c r="L5" s="108">
        <v>0</v>
      </c>
      <c r="M5" s="108">
        <v>0</v>
      </c>
      <c r="N5" s="108">
        <v>0</v>
      </c>
      <c r="O5" s="108">
        <v>0</v>
      </c>
      <c r="P5" s="108">
        <v>0</v>
      </c>
      <c r="Q5" s="108">
        <v>0</v>
      </c>
      <c r="R5" s="108">
        <v>0</v>
      </c>
      <c r="S5" s="108">
        <v>0</v>
      </c>
      <c r="T5" s="108">
        <v>0</v>
      </c>
      <c r="U5" s="108">
        <v>0</v>
      </c>
      <c r="V5" s="108">
        <v>0</v>
      </c>
      <c r="W5" s="108">
        <v>0</v>
      </c>
      <c r="X5" s="108">
        <v>66.651116391428602</v>
      </c>
      <c r="Y5" s="108">
        <v>0</v>
      </c>
      <c r="Z5" s="108">
        <v>0</v>
      </c>
      <c r="AA5" s="108">
        <v>130.994716212567</v>
      </c>
      <c r="AB5" s="108">
        <v>0</v>
      </c>
      <c r="AC5" s="108">
        <v>0</v>
      </c>
      <c r="AD5" s="108">
        <v>0</v>
      </c>
      <c r="AE5" s="108">
        <v>0</v>
      </c>
      <c r="AF5" s="108">
        <v>0</v>
      </c>
      <c r="AG5" s="108">
        <v>0</v>
      </c>
      <c r="AH5" s="108">
        <v>0</v>
      </c>
      <c r="AI5" s="108">
        <v>0</v>
      </c>
      <c r="AJ5" s="108">
        <v>0</v>
      </c>
      <c r="AK5" s="108">
        <v>0</v>
      </c>
      <c r="AL5" s="108">
        <v>0</v>
      </c>
      <c r="AM5" s="108">
        <v>0</v>
      </c>
      <c r="AN5" s="108">
        <v>0</v>
      </c>
      <c r="AO5" s="108">
        <v>0</v>
      </c>
      <c r="AP5" s="108">
        <v>0</v>
      </c>
      <c r="AQ5" s="109">
        <v>0</v>
      </c>
    </row>
    <row r="6" spans="2:43" ht="12" customHeight="1" x14ac:dyDescent="0.25">
      <c r="B6" s="107" t="s">
        <v>33</v>
      </c>
      <c r="C6" s="108" t="s">
        <v>41</v>
      </c>
      <c r="D6" s="108" t="s">
        <v>25</v>
      </c>
      <c r="E6" s="108" t="s">
        <v>25</v>
      </c>
      <c r="F6" s="108" t="s">
        <v>79</v>
      </c>
      <c r="G6" s="108" t="s">
        <v>36</v>
      </c>
      <c r="H6" s="108" t="s">
        <v>71</v>
      </c>
      <c r="I6" s="108" t="s">
        <v>25</v>
      </c>
      <c r="J6" s="108">
        <v>23.78</v>
      </c>
      <c r="K6" s="108">
        <v>0</v>
      </c>
      <c r="L6" s="108">
        <v>0</v>
      </c>
      <c r="M6" s="108">
        <v>1.6778632853872399</v>
      </c>
      <c r="N6" s="108">
        <v>0</v>
      </c>
      <c r="O6" s="108">
        <v>0</v>
      </c>
      <c r="P6" s="108">
        <v>0</v>
      </c>
      <c r="Q6" s="108">
        <v>0</v>
      </c>
      <c r="R6" s="108">
        <v>0</v>
      </c>
      <c r="S6" s="108">
        <v>0</v>
      </c>
      <c r="T6" s="108">
        <v>0</v>
      </c>
      <c r="U6" s="108">
        <v>0</v>
      </c>
      <c r="V6" s="108">
        <v>0</v>
      </c>
      <c r="W6" s="108">
        <v>0</v>
      </c>
      <c r="X6" s="108">
        <v>0</v>
      </c>
      <c r="Y6" s="108">
        <v>0</v>
      </c>
      <c r="Z6" s="108">
        <v>0</v>
      </c>
      <c r="AA6" s="108">
        <v>0</v>
      </c>
      <c r="AB6" s="108">
        <v>0</v>
      </c>
      <c r="AC6" s="108">
        <v>0</v>
      </c>
      <c r="AD6" s="108">
        <v>19.366265449486502</v>
      </c>
      <c r="AE6" s="108">
        <v>0</v>
      </c>
      <c r="AF6" s="108">
        <v>2.74085158382651</v>
      </c>
      <c r="AG6" s="108">
        <v>0</v>
      </c>
      <c r="AH6" s="108">
        <v>0</v>
      </c>
      <c r="AI6" s="108">
        <v>0</v>
      </c>
      <c r="AJ6" s="108">
        <v>0</v>
      </c>
      <c r="AK6" s="108">
        <v>0</v>
      </c>
      <c r="AL6" s="108">
        <v>0</v>
      </c>
      <c r="AM6" s="108">
        <v>0</v>
      </c>
      <c r="AN6" s="108">
        <v>0</v>
      </c>
      <c r="AO6" s="108">
        <v>0</v>
      </c>
      <c r="AP6" s="108">
        <v>0</v>
      </c>
      <c r="AQ6" s="109">
        <v>0</v>
      </c>
    </row>
    <row r="7" spans="2:43" ht="12" customHeight="1" x14ac:dyDescent="0.25">
      <c r="B7" s="107" t="s">
        <v>33</v>
      </c>
      <c r="C7" s="108" t="s">
        <v>41</v>
      </c>
      <c r="D7" s="108" t="s">
        <v>25</v>
      </c>
      <c r="E7" s="108" t="s">
        <v>25</v>
      </c>
      <c r="F7" s="108" t="s">
        <v>79</v>
      </c>
      <c r="G7" s="108" t="s">
        <v>36</v>
      </c>
      <c r="H7" s="108" t="s">
        <v>76</v>
      </c>
      <c r="I7" s="108" t="s">
        <v>25</v>
      </c>
      <c r="J7" s="108">
        <v>77.97</v>
      </c>
      <c r="K7" s="108">
        <v>0</v>
      </c>
      <c r="L7" s="108">
        <v>0</v>
      </c>
      <c r="M7" s="108">
        <v>0</v>
      </c>
      <c r="N7" s="108">
        <v>0</v>
      </c>
      <c r="O7" s="108">
        <v>0</v>
      </c>
      <c r="P7" s="108">
        <v>0</v>
      </c>
      <c r="Q7" s="108">
        <v>0</v>
      </c>
      <c r="R7" s="108">
        <v>0</v>
      </c>
      <c r="S7" s="108">
        <v>0</v>
      </c>
      <c r="T7" s="108">
        <v>0</v>
      </c>
      <c r="U7" s="108">
        <v>0</v>
      </c>
      <c r="V7" s="108">
        <v>0</v>
      </c>
      <c r="W7" s="108">
        <v>0</v>
      </c>
      <c r="X7" s="108">
        <v>36.182236191574297</v>
      </c>
      <c r="Y7" s="108">
        <v>0</v>
      </c>
      <c r="Z7" s="108">
        <v>0</v>
      </c>
      <c r="AA7" s="108">
        <v>41.787820555286501</v>
      </c>
      <c r="AB7" s="108">
        <v>0</v>
      </c>
      <c r="AC7" s="108">
        <v>0</v>
      </c>
      <c r="AD7" s="108">
        <v>0</v>
      </c>
      <c r="AE7" s="108">
        <v>0</v>
      </c>
      <c r="AF7" s="108">
        <v>0</v>
      </c>
      <c r="AG7" s="108">
        <v>0</v>
      </c>
      <c r="AH7" s="108">
        <v>0</v>
      </c>
      <c r="AI7" s="108">
        <v>0</v>
      </c>
      <c r="AJ7" s="108">
        <v>0</v>
      </c>
      <c r="AK7" s="108">
        <v>0</v>
      </c>
      <c r="AL7" s="108">
        <v>0</v>
      </c>
      <c r="AM7" s="108">
        <v>0</v>
      </c>
      <c r="AN7" s="108">
        <v>0</v>
      </c>
      <c r="AO7" s="108">
        <v>0</v>
      </c>
      <c r="AP7" s="108">
        <v>0</v>
      </c>
      <c r="AQ7" s="109">
        <v>0</v>
      </c>
    </row>
    <row r="8" spans="2:43" ht="12" customHeight="1" x14ac:dyDescent="0.25">
      <c r="B8" s="107" t="s">
        <v>33</v>
      </c>
      <c r="C8" s="108" t="s">
        <v>41</v>
      </c>
      <c r="D8" s="108" t="s">
        <v>25</v>
      </c>
      <c r="E8" s="108" t="s">
        <v>25</v>
      </c>
      <c r="F8" s="108" t="s">
        <v>25</v>
      </c>
      <c r="G8" s="108" t="s">
        <v>35</v>
      </c>
      <c r="H8" s="108" t="s">
        <v>71</v>
      </c>
      <c r="I8" s="108" t="s">
        <v>25</v>
      </c>
      <c r="J8" s="108">
        <v>136.86000000000001</v>
      </c>
      <c r="K8" s="108">
        <v>260.8</v>
      </c>
      <c r="L8" s="108">
        <v>19.888161566657001</v>
      </c>
      <c r="M8" s="108">
        <v>1.6778632853872399</v>
      </c>
      <c r="N8" s="108">
        <v>0</v>
      </c>
      <c r="O8" s="108">
        <v>0</v>
      </c>
      <c r="P8" s="108">
        <v>0</v>
      </c>
      <c r="Q8" s="108">
        <v>78.036650904725306</v>
      </c>
      <c r="R8" s="108">
        <v>15.1481977294894</v>
      </c>
      <c r="S8" s="108">
        <v>0</v>
      </c>
      <c r="T8" s="108">
        <v>0</v>
      </c>
      <c r="U8" s="108">
        <v>0</v>
      </c>
      <c r="V8" s="108">
        <v>0</v>
      </c>
      <c r="W8" s="108">
        <v>0</v>
      </c>
      <c r="X8" s="108">
        <v>0</v>
      </c>
      <c r="Y8" s="108">
        <v>0</v>
      </c>
      <c r="Z8" s="108">
        <v>0</v>
      </c>
      <c r="AA8" s="108">
        <v>0</v>
      </c>
      <c r="AB8" s="108">
        <v>0</v>
      </c>
      <c r="AC8" s="108">
        <v>0</v>
      </c>
      <c r="AD8" s="108">
        <v>19.366265449486502</v>
      </c>
      <c r="AE8" s="108">
        <v>0</v>
      </c>
      <c r="AF8" s="108">
        <v>2.74085158382651</v>
      </c>
      <c r="AG8" s="108">
        <v>0</v>
      </c>
      <c r="AH8" s="108">
        <v>0</v>
      </c>
      <c r="AI8" s="108">
        <v>0</v>
      </c>
      <c r="AJ8" s="108">
        <v>0</v>
      </c>
      <c r="AK8" s="108">
        <v>0</v>
      </c>
      <c r="AL8" s="108">
        <v>260.80314197522301</v>
      </c>
      <c r="AM8" s="108">
        <v>0</v>
      </c>
      <c r="AN8" s="108">
        <v>0</v>
      </c>
      <c r="AO8" s="108">
        <v>0</v>
      </c>
      <c r="AP8" s="108">
        <v>0</v>
      </c>
      <c r="AQ8" s="109">
        <v>0</v>
      </c>
    </row>
    <row r="9" spans="2:43" ht="12" customHeight="1" x14ac:dyDescent="0.25">
      <c r="B9" s="107" t="s">
        <v>33</v>
      </c>
      <c r="C9" s="108" t="s">
        <v>41</v>
      </c>
      <c r="D9" s="108" t="s">
        <v>25</v>
      </c>
      <c r="E9" s="108" t="s">
        <v>25</v>
      </c>
      <c r="F9" s="108" t="s">
        <v>25</v>
      </c>
      <c r="G9" s="108" t="s">
        <v>35</v>
      </c>
      <c r="H9" s="108" t="s">
        <v>76</v>
      </c>
      <c r="I9" s="108" t="s">
        <v>25</v>
      </c>
      <c r="J9" s="108">
        <v>197.65</v>
      </c>
      <c r="K9" s="108">
        <v>0</v>
      </c>
      <c r="L9" s="108">
        <v>0</v>
      </c>
      <c r="M9" s="108">
        <v>0</v>
      </c>
      <c r="N9" s="108">
        <v>0</v>
      </c>
      <c r="O9" s="108">
        <v>0</v>
      </c>
      <c r="P9" s="108">
        <v>0</v>
      </c>
      <c r="Q9" s="108">
        <v>0</v>
      </c>
      <c r="R9" s="108">
        <v>0</v>
      </c>
      <c r="S9" s="108">
        <v>0</v>
      </c>
      <c r="T9" s="108">
        <v>0</v>
      </c>
      <c r="U9" s="108">
        <v>0</v>
      </c>
      <c r="V9" s="108">
        <v>0</v>
      </c>
      <c r="W9" s="108">
        <v>0</v>
      </c>
      <c r="X9" s="108">
        <v>66.651116391428602</v>
      </c>
      <c r="Y9" s="108">
        <v>0</v>
      </c>
      <c r="Z9" s="108">
        <v>0</v>
      </c>
      <c r="AA9" s="108">
        <v>130.994716212567</v>
      </c>
      <c r="AB9" s="108">
        <v>0</v>
      </c>
      <c r="AC9" s="108">
        <v>0</v>
      </c>
      <c r="AD9" s="108">
        <v>0</v>
      </c>
      <c r="AE9" s="108">
        <v>0</v>
      </c>
      <c r="AF9" s="108">
        <v>0</v>
      </c>
      <c r="AG9" s="108">
        <v>0</v>
      </c>
      <c r="AH9" s="108">
        <v>0</v>
      </c>
      <c r="AI9" s="108">
        <v>0</v>
      </c>
      <c r="AJ9" s="108">
        <v>0</v>
      </c>
      <c r="AK9" s="108">
        <v>0</v>
      </c>
      <c r="AL9" s="108">
        <v>0</v>
      </c>
      <c r="AM9" s="108">
        <v>0</v>
      </c>
      <c r="AN9" s="108">
        <v>0</v>
      </c>
      <c r="AO9" s="108">
        <v>0</v>
      </c>
      <c r="AP9" s="108">
        <v>0</v>
      </c>
      <c r="AQ9" s="109">
        <v>0</v>
      </c>
    </row>
    <row r="10" spans="2:43" ht="12" customHeight="1" x14ac:dyDescent="0.25">
      <c r="B10" s="107" t="s">
        <v>33</v>
      </c>
      <c r="C10" s="108" t="s">
        <v>41</v>
      </c>
      <c r="D10" s="108" t="s">
        <v>25</v>
      </c>
      <c r="E10" s="108" t="s">
        <v>25</v>
      </c>
      <c r="F10" s="108" t="s">
        <v>25</v>
      </c>
      <c r="G10" s="108" t="s">
        <v>36</v>
      </c>
      <c r="H10" s="108" t="s">
        <v>71</v>
      </c>
      <c r="I10" s="108" t="s">
        <v>25</v>
      </c>
      <c r="J10" s="108">
        <v>136.86000000000001</v>
      </c>
      <c r="K10" s="108">
        <v>260.8</v>
      </c>
      <c r="L10" s="108">
        <v>19.888161566657001</v>
      </c>
      <c r="M10" s="108">
        <v>1.6778632853872399</v>
      </c>
      <c r="N10" s="108">
        <v>0</v>
      </c>
      <c r="O10" s="108">
        <v>0</v>
      </c>
      <c r="P10" s="108">
        <v>0</v>
      </c>
      <c r="Q10" s="108">
        <v>78.036650904725306</v>
      </c>
      <c r="R10" s="108">
        <v>15.1481977294894</v>
      </c>
      <c r="S10" s="108">
        <v>0</v>
      </c>
      <c r="T10" s="108">
        <v>0</v>
      </c>
      <c r="U10" s="108">
        <v>0</v>
      </c>
      <c r="V10" s="108">
        <v>0</v>
      </c>
      <c r="W10" s="108">
        <v>0</v>
      </c>
      <c r="X10" s="108">
        <v>0</v>
      </c>
      <c r="Y10" s="108">
        <v>0</v>
      </c>
      <c r="Z10" s="108">
        <v>0</v>
      </c>
      <c r="AA10" s="108">
        <v>0</v>
      </c>
      <c r="AB10" s="108">
        <v>0</v>
      </c>
      <c r="AC10" s="108">
        <v>0</v>
      </c>
      <c r="AD10" s="108">
        <v>19.366265449486502</v>
      </c>
      <c r="AE10" s="108">
        <v>0</v>
      </c>
      <c r="AF10" s="108">
        <v>2.74085158382651</v>
      </c>
      <c r="AG10" s="108">
        <v>0</v>
      </c>
      <c r="AH10" s="108">
        <v>0</v>
      </c>
      <c r="AI10" s="108">
        <v>0</v>
      </c>
      <c r="AJ10" s="108">
        <v>0</v>
      </c>
      <c r="AK10" s="108">
        <v>0</v>
      </c>
      <c r="AL10" s="108">
        <v>260.80314197522301</v>
      </c>
      <c r="AM10" s="108">
        <v>0</v>
      </c>
      <c r="AN10" s="108">
        <v>0</v>
      </c>
      <c r="AO10" s="108">
        <v>0</v>
      </c>
      <c r="AP10" s="108">
        <v>0</v>
      </c>
      <c r="AQ10" s="109">
        <v>0</v>
      </c>
    </row>
    <row r="11" spans="2:43" ht="12" customHeight="1" x14ac:dyDescent="0.25">
      <c r="B11" s="107" t="s">
        <v>33</v>
      </c>
      <c r="C11" s="108" t="s">
        <v>41</v>
      </c>
      <c r="D11" s="108" t="s">
        <v>25</v>
      </c>
      <c r="E11" s="108" t="s">
        <v>25</v>
      </c>
      <c r="F11" s="108" t="s">
        <v>25</v>
      </c>
      <c r="G11" s="108" t="s">
        <v>36</v>
      </c>
      <c r="H11" s="108" t="s">
        <v>76</v>
      </c>
      <c r="I11" s="108" t="s">
        <v>25</v>
      </c>
      <c r="J11" s="108">
        <v>77.97</v>
      </c>
      <c r="K11" s="108">
        <v>0</v>
      </c>
      <c r="L11" s="108">
        <v>0</v>
      </c>
      <c r="M11" s="108">
        <v>0</v>
      </c>
      <c r="N11" s="108">
        <v>0</v>
      </c>
      <c r="O11" s="108">
        <v>0</v>
      </c>
      <c r="P11" s="108">
        <v>0</v>
      </c>
      <c r="Q11" s="108">
        <v>0</v>
      </c>
      <c r="R11" s="108">
        <v>0</v>
      </c>
      <c r="S11" s="108">
        <v>0</v>
      </c>
      <c r="T11" s="108">
        <v>0</v>
      </c>
      <c r="U11" s="108">
        <v>0</v>
      </c>
      <c r="V11" s="108">
        <v>0</v>
      </c>
      <c r="W11" s="108">
        <v>0</v>
      </c>
      <c r="X11" s="108">
        <v>36.182236191574297</v>
      </c>
      <c r="Y11" s="108">
        <v>0</v>
      </c>
      <c r="Z11" s="108">
        <v>0</v>
      </c>
      <c r="AA11" s="108">
        <v>41.787820555286501</v>
      </c>
      <c r="AB11" s="108">
        <v>0</v>
      </c>
      <c r="AC11" s="108">
        <v>0</v>
      </c>
      <c r="AD11" s="108">
        <v>0</v>
      </c>
      <c r="AE11" s="108">
        <v>0</v>
      </c>
      <c r="AF11" s="108">
        <v>0</v>
      </c>
      <c r="AG11" s="108">
        <v>0</v>
      </c>
      <c r="AH11" s="108">
        <v>0</v>
      </c>
      <c r="AI11" s="108">
        <v>0</v>
      </c>
      <c r="AJ11" s="108">
        <v>0</v>
      </c>
      <c r="AK11" s="108">
        <v>0</v>
      </c>
      <c r="AL11" s="108">
        <v>0</v>
      </c>
      <c r="AM11" s="108">
        <v>0</v>
      </c>
      <c r="AN11" s="108">
        <v>0</v>
      </c>
      <c r="AO11" s="108">
        <v>0</v>
      </c>
      <c r="AP11" s="108">
        <v>0</v>
      </c>
      <c r="AQ11" s="109">
        <v>0</v>
      </c>
    </row>
    <row r="12" spans="2:43" ht="12" customHeight="1" x14ac:dyDescent="0.25">
      <c r="B12" s="107" t="s">
        <v>33</v>
      </c>
      <c r="C12" s="108" t="s">
        <v>23</v>
      </c>
      <c r="D12" s="108" t="s">
        <v>25</v>
      </c>
      <c r="E12" s="108" t="s">
        <v>25</v>
      </c>
      <c r="F12" s="108" t="s">
        <v>25</v>
      </c>
      <c r="G12" s="108" t="s">
        <v>25</v>
      </c>
      <c r="H12" s="108" t="s">
        <v>71</v>
      </c>
      <c r="I12" s="108" t="s">
        <v>25</v>
      </c>
      <c r="J12" s="108">
        <v>0</v>
      </c>
      <c r="K12" s="108">
        <v>260.8</v>
      </c>
      <c r="L12" s="108">
        <v>0</v>
      </c>
      <c r="M12" s="108">
        <v>0</v>
      </c>
      <c r="N12" s="108">
        <v>0</v>
      </c>
      <c r="O12" s="108">
        <v>0</v>
      </c>
      <c r="P12" s="108">
        <v>0</v>
      </c>
      <c r="Q12" s="108">
        <v>0</v>
      </c>
      <c r="R12" s="108">
        <v>0</v>
      </c>
      <c r="S12" s="108">
        <v>0</v>
      </c>
      <c r="T12" s="108">
        <v>0</v>
      </c>
      <c r="U12" s="108">
        <v>0</v>
      </c>
      <c r="V12" s="108">
        <v>0</v>
      </c>
      <c r="W12" s="108">
        <v>0</v>
      </c>
      <c r="X12" s="108">
        <v>0</v>
      </c>
      <c r="Y12" s="108">
        <v>0</v>
      </c>
      <c r="Z12" s="108">
        <v>0</v>
      </c>
      <c r="AA12" s="108">
        <v>0</v>
      </c>
      <c r="AB12" s="108">
        <v>0</v>
      </c>
      <c r="AC12" s="108">
        <v>0</v>
      </c>
      <c r="AD12" s="108">
        <v>0</v>
      </c>
      <c r="AE12" s="108">
        <v>0</v>
      </c>
      <c r="AF12" s="108">
        <v>0</v>
      </c>
      <c r="AG12" s="108">
        <v>0</v>
      </c>
      <c r="AH12" s="108">
        <v>0</v>
      </c>
      <c r="AI12" s="108">
        <v>0</v>
      </c>
      <c r="AJ12" s="108">
        <v>0</v>
      </c>
      <c r="AK12" s="108">
        <v>0</v>
      </c>
      <c r="AL12" s="108">
        <v>260.80314197522301</v>
      </c>
      <c r="AM12" s="108">
        <v>0</v>
      </c>
      <c r="AN12" s="108">
        <v>0</v>
      </c>
      <c r="AO12" s="108">
        <v>0</v>
      </c>
      <c r="AP12" s="108">
        <v>0</v>
      </c>
      <c r="AQ12" s="109">
        <v>0</v>
      </c>
    </row>
    <row r="13" spans="2:43" ht="12" customHeight="1" x14ac:dyDescent="0.25">
      <c r="B13" s="107" t="s">
        <v>33</v>
      </c>
      <c r="C13" s="108" t="s">
        <v>80</v>
      </c>
      <c r="D13" s="108" t="s">
        <v>25</v>
      </c>
      <c r="E13" s="108" t="s">
        <v>25</v>
      </c>
      <c r="F13" s="108" t="s">
        <v>25</v>
      </c>
      <c r="G13" s="108" t="s">
        <v>25</v>
      </c>
      <c r="H13" s="108" t="s">
        <v>76</v>
      </c>
      <c r="I13" s="108" t="s">
        <v>25</v>
      </c>
      <c r="J13" s="108">
        <v>18.12</v>
      </c>
      <c r="K13" s="108">
        <v>0</v>
      </c>
      <c r="L13" s="108">
        <v>0</v>
      </c>
      <c r="M13" s="108">
        <v>2.8774804382664498E-2</v>
      </c>
      <c r="N13" s="108">
        <v>0</v>
      </c>
      <c r="O13" s="108">
        <v>0</v>
      </c>
      <c r="P13" s="108">
        <v>0</v>
      </c>
      <c r="Q13" s="108">
        <v>0</v>
      </c>
      <c r="R13" s="108">
        <v>0</v>
      </c>
      <c r="S13" s="108">
        <v>0</v>
      </c>
      <c r="T13" s="108">
        <v>0</v>
      </c>
      <c r="U13" s="108">
        <v>0</v>
      </c>
      <c r="V13" s="108">
        <v>0</v>
      </c>
      <c r="W13" s="108">
        <v>0</v>
      </c>
      <c r="X13" s="108">
        <v>0</v>
      </c>
      <c r="Y13" s="108">
        <v>0</v>
      </c>
      <c r="Z13" s="108">
        <v>0</v>
      </c>
      <c r="AA13" s="108">
        <v>18.088396066980899</v>
      </c>
      <c r="AB13" s="108">
        <v>0</v>
      </c>
      <c r="AC13" s="108">
        <v>0</v>
      </c>
      <c r="AD13" s="108">
        <v>0</v>
      </c>
      <c r="AE13" s="108">
        <v>0</v>
      </c>
      <c r="AF13" s="108">
        <v>0</v>
      </c>
      <c r="AG13" s="108">
        <v>0</v>
      </c>
      <c r="AH13" s="108">
        <v>0</v>
      </c>
      <c r="AI13" s="108">
        <v>0</v>
      </c>
      <c r="AJ13" s="108">
        <v>0</v>
      </c>
      <c r="AK13" s="108">
        <v>0</v>
      </c>
      <c r="AL13" s="108">
        <v>0</v>
      </c>
      <c r="AM13" s="108">
        <v>0</v>
      </c>
      <c r="AN13" s="108">
        <v>0</v>
      </c>
      <c r="AO13" s="108">
        <v>0</v>
      </c>
      <c r="AP13" s="108">
        <v>0</v>
      </c>
      <c r="AQ13" s="109">
        <v>0</v>
      </c>
    </row>
    <row r="14" spans="2:43" ht="12" customHeight="1" x14ac:dyDescent="0.25">
      <c r="B14" s="107" t="s">
        <v>33</v>
      </c>
      <c r="C14" s="108" t="s">
        <v>34</v>
      </c>
      <c r="D14" s="108" t="s">
        <v>25</v>
      </c>
      <c r="E14" s="108" t="s">
        <v>25</v>
      </c>
      <c r="F14" s="108" t="s">
        <v>79</v>
      </c>
      <c r="G14" s="108" t="s">
        <v>35</v>
      </c>
      <c r="H14" s="108" t="s">
        <v>71</v>
      </c>
      <c r="I14" s="108" t="s">
        <v>25</v>
      </c>
      <c r="J14" s="108">
        <v>4777.1899999999996</v>
      </c>
      <c r="K14" s="108">
        <v>0</v>
      </c>
      <c r="L14" s="108">
        <v>0</v>
      </c>
      <c r="M14" s="108">
        <v>1.6778632853872399</v>
      </c>
      <c r="N14" s="108">
        <v>0</v>
      </c>
      <c r="O14" s="108">
        <v>0</v>
      </c>
      <c r="P14" s="108">
        <v>0</v>
      </c>
      <c r="Q14" s="108">
        <v>0</v>
      </c>
      <c r="R14" s="108">
        <v>0</v>
      </c>
      <c r="S14" s="108">
        <v>0</v>
      </c>
      <c r="T14" s="108">
        <v>0</v>
      </c>
      <c r="U14" s="108">
        <v>0</v>
      </c>
      <c r="V14" s="108">
        <v>0</v>
      </c>
      <c r="W14" s="108">
        <v>0</v>
      </c>
      <c r="X14" s="108">
        <v>1602.9738125131701</v>
      </c>
      <c r="Y14" s="108">
        <v>0</v>
      </c>
      <c r="Z14" s="108">
        <v>0</v>
      </c>
      <c r="AA14" s="108">
        <v>3150.4301116418901</v>
      </c>
      <c r="AB14" s="108">
        <v>0</v>
      </c>
      <c r="AC14" s="108">
        <v>0</v>
      </c>
      <c r="AD14" s="108">
        <v>19.366265449486502</v>
      </c>
      <c r="AE14" s="108">
        <v>0</v>
      </c>
      <c r="AF14" s="108">
        <v>2.74085158382651</v>
      </c>
      <c r="AG14" s="108">
        <v>0</v>
      </c>
      <c r="AH14" s="108">
        <v>0</v>
      </c>
      <c r="AI14" s="108">
        <v>0</v>
      </c>
      <c r="AJ14" s="108">
        <v>0</v>
      </c>
      <c r="AK14" s="108">
        <v>0</v>
      </c>
      <c r="AL14" s="108">
        <v>0</v>
      </c>
      <c r="AM14" s="108">
        <v>0</v>
      </c>
      <c r="AN14" s="108">
        <v>0</v>
      </c>
      <c r="AO14" s="108">
        <v>0</v>
      </c>
      <c r="AP14" s="108">
        <v>0</v>
      </c>
      <c r="AQ14" s="109">
        <v>0</v>
      </c>
    </row>
    <row r="15" spans="2:43" ht="12" customHeight="1" x14ac:dyDescent="0.25">
      <c r="B15" s="107" t="s">
        <v>33</v>
      </c>
      <c r="C15" s="108" t="s">
        <v>34</v>
      </c>
      <c r="D15" s="108" t="s">
        <v>25</v>
      </c>
      <c r="E15" s="108" t="s">
        <v>25</v>
      </c>
      <c r="F15" s="108" t="s">
        <v>79</v>
      </c>
      <c r="G15" s="108" t="s">
        <v>25</v>
      </c>
      <c r="H15" s="108" t="s">
        <v>76</v>
      </c>
      <c r="I15" s="108" t="s">
        <v>25</v>
      </c>
      <c r="J15" s="108">
        <v>77.97</v>
      </c>
      <c r="K15" s="108">
        <v>0</v>
      </c>
      <c r="L15" s="108">
        <v>0</v>
      </c>
      <c r="M15" s="108">
        <v>0</v>
      </c>
      <c r="N15" s="108">
        <v>0</v>
      </c>
      <c r="O15" s="108">
        <v>0</v>
      </c>
      <c r="P15" s="108">
        <v>0</v>
      </c>
      <c r="Q15" s="108">
        <v>0</v>
      </c>
      <c r="R15" s="108">
        <v>0</v>
      </c>
      <c r="S15" s="108">
        <v>0</v>
      </c>
      <c r="T15" s="108">
        <v>0</v>
      </c>
      <c r="U15" s="108">
        <v>0</v>
      </c>
      <c r="V15" s="108">
        <v>0</v>
      </c>
      <c r="W15" s="108">
        <v>0</v>
      </c>
      <c r="X15" s="108">
        <v>36.182236191574297</v>
      </c>
      <c r="Y15" s="108">
        <v>0</v>
      </c>
      <c r="Z15" s="108">
        <v>0</v>
      </c>
      <c r="AA15" s="108">
        <v>41.787820555286501</v>
      </c>
      <c r="AB15" s="108">
        <v>0</v>
      </c>
      <c r="AC15" s="108">
        <v>0</v>
      </c>
      <c r="AD15" s="108">
        <v>0</v>
      </c>
      <c r="AE15" s="108">
        <v>0</v>
      </c>
      <c r="AF15" s="108">
        <v>0</v>
      </c>
      <c r="AG15" s="108">
        <v>0</v>
      </c>
      <c r="AH15" s="108">
        <v>0</v>
      </c>
      <c r="AI15" s="108">
        <v>0</v>
      </c>
      <c r="AJ15" s="108">
        <v>0</v>
      </c>
      <c r="AK15" s="108">
        <v>0</v>
      </c>
      <c r="AL15" s="108">
        <v>0</v>
      </c>
      <c r="AM15" s="108">
        <v>0</v>
      </c>
      <c r="AN15" s="108">
        <v>0</v>
      </c>
      <c r="AO15" s="108">
        <v>0</v>
      </c>
      <c r="AP15" s="108">
        <v>0</v>
      </c>
      <c r="AQ15" s="109">
        <v>0</v>
      </c>
    </row>
    <row r="16" spans="2:43" ht="12" customHeight="1" x14ac:dyDescent="0.25">
      <c r="B16" s="107" t="s">
        <v>33</v>
      </c>
      <c r="C16" s="108" t="s">
        <v>34</v>
      </c>
      <c r="D16" s="108" t="s">
        <v>25</v>
      </c>
      <c r="E16" s="108" t="s">
        <v>25</v>
      </c>
      <c r="F16" s="108" t="s">
        <v>79</v>
      </c>
      <c r="G16" s="108" t="s">
        <v>36</v>
      </c>
      <c r="H16" s="108" t="s">
        <v>71</v>
      </c>
      <c r="I16" s="108" t="s">
        <v>25</v>
      </c>
      <c r="J16" s="108">
        <v>23.78</v>
      </c>
      <c r="K16" s="108">
        <v>0</v>
      </c>
      <c r="L16" s="108">
        <v>0</v>
      </c>
      <c r="M16" s="108">
        <v>1.6778632853872399</v>
      </c>
      <c r="N16" s="108">
        <v>0</v>
      </c>
      <c r="O16" s="108">
        <v>0</v>
      </c>
      <c r="P16" s="108">
        <v>0</v>
      </c>
      <c r="Q16" s="108">
        <v>0</v>
      </c>
      <c r="R16" s="108">
        <v>0</v>
      </c>
      <c r="S16" s="108">
        <v>0</v>
      </c>
      <c r="T16" s="108">
        <v>0</v>
      </c>
      <c r="U16" s="108">
        <v>0</v>
      </c>
      <c r="V16" s="108">
        <v>0</v>
      </c>
      <c r="W16" s="108">
        <v>0</v>
      </c>
      <c r="X16" s="108">
        <v>0</v>
      </c>
      <c r="Y16" s="108">
        <v>0</v>
      </c>
      <c r="Z16" s="108">
        <v>0</v>
      </c>
      <c r="AA16" s="108">
        <v>0</v>
      </c>
      <c r="AB16" s="108">
        <v>0</v>
      </c>
      <c r="AC16" s="108">
        <v>0</v>
      </c>
      <c r="AD16" s="108">
        <v>19.366265449486502</v>
      </c>
      <c r="AE16" s="108">
        <v>0</v>
      </c>
      <c r="AF16" s="108">
        <v>2.74085158382651</v>
      </c>
      <c r="AG16" s="108">
        <v>0</v>
      </c>
      <c r="AH16" s="108">
        <v>0</v>
      </c>
      <c r="AI16" s="108">
        <v>0</v>
      </c>
      <c r="AJ16" s="108">
        <v>0</v>
      </c>
      <c r="AK16" s="108">
        <v>0</v>
      </c>
      <c r="AL16" s="108">
        <v>0</v>
      </c>
      <c r="AM16" s="108">
        <v>0</v>
      </c>
      <c r="AN16" s="108">
        <v>0</v>
      </c>
      <c r="AO16" s="108">
        <v>0</v>
      </c>
      <c r="AP16" s="108">
        <v>0</v>
      </c>
      <c r="AQ16" s="109">
        <v>0</v>
      </c>
    </row>
    <row r="17" spans="2:43" ht="12" customHeight="1" x14ac:dyDescent="0.25">
      <c r="B17" s="107" t="s">
        <v>33</v>
      </c>
      <c r="C17" s="108" t="s">
        <v>34</v>
      </c>
      <c r="D17" s="108" t="s">
        <v>25</v>
      </c>
      <c r="E17" s="108" t="s">
        <v>25</v>
      </c>
      <c r="F17" s="108" t="s">
        <v>25</v>
      </c>
      <c r="G17" s="108" t="s">
        <v>35</v>
      </c>
      <c r="H17" s="108" t="s">
        <v>71</v>
      </c>
      <c r="I17" s="108" t="s">
        <v>25</v>
      </c>
      <c r="J17" s="108">
        <v>4890.26</v>
      </c>
      <c r="K17" s="108">
        <v>260.8</v>
      </c>
      <c r="L17" s="108">
        <v>19.888161566657001</v>
      </c>
      <c r="M17" s="108">
        <v>1.6778632853872399</v>
      </c>
      <c r="N17" s="108">
        <v>0</v>
      </c>
      <c r="O17" s="108">
        <v>0</v>
      </c>
      <c r="P17" s="108">
        <v>0</v>
      </c>
      <c r="Q17" s="108">
        <v>78.036650904725306</v>
      </c>
      <c r="R17" s="108">
        <v>15.1481977294894</v>
      </c>
      <c r="S17" s="108">
        <v>0</v>
      </c>
      <c r="T17" s="108">
        <v>0</v>
      </c>
      <c r="U17" s="108">
        <v>0</v>
      </c>
      <c r="V17" s="108">
        <v>0</v>
      </c>
      <c r="W17" s="108">
        <v>0</v>
      </c>
      <c r="X17" s="108">
        <v>1602.9738125131701</v>
      </c>
      <c r="Y17" s="108">
        <v>0</v>
      </c>
      <c r="Z17" s="108">
        <v>0</v>
      </c>
      <c r="AA17" s="108">
        <v>3150.4301116418901</v>
      </c>
      <c r="AB17" s="108">
        <v>0</v>
      </c>
      <c r="AC17" s="108">
        <v>0</v>
      </c>
      <c r="AD17" s="108">
        <v>19.366265449486502</v>
      </c>
      <c r="AE17" s="108">
        <v>0</v>
      </c>
      <c r="AF17" s="108">
        <v>2.74085158382651</v>
      </c>
      <c r="AG17" s="108">
        <v>0</v>
      </c>
      <c r="AH17" s="108">
        <v>0</v>
      </c>
      <c r="AI17" s="108">
        <v>0</v>
      </c>
      <c r="AJ17" s="108">
        <v>0</v>
      </c>
      <c r="AK17" s="108">
        <v>0</v>
      </c>
      <c r="AL17" s="108">
        <v>260.80314197522301</v>
      </c>
      <c r="AM17" s="108">
        <v>0</v>
      </c>
      <c r="AN17" s="108">
        <v>0</v>
      </c>
      <c r="AO17" s="108">
        <v>0</v>
      </c>
      <c r="AP17" s="108">
        <v>0</v>
      </c>
      <c r="AQ17" s="109">
        <v>0</v>
      </c>
    </row>
    <row r="18" spans="2:43" ht="12" customHeight="1" x14ac:dyDescent="0.25">
      <c r="B18" s="107" t="s">
        <v>33</v>
      </c>
      <c r="C18" s="108" t="s">
        <v>34</v>
      </c>
      <c r="D18" s="108" t="s">
        <v>25</v>
      </c>
      <c r="E18" s="108" t="s">
        <v>25</v>
      </c>
      <c r="F18" s="108" t="s">
        <v>25</v>
      </c>
      <c r="G18" s="108" t="s">
        <v>25</v>
      </c>
      <c r="H18" s="108" t="s">
        <v>76</v>
      </c>
      <c r="I18" s="108" t="s">
        <v>25</v>
      </c>
      <c r="J18" s="108">
        <v>77.97</v>
      </c>
      <c r="K18" s="108">
        <v>0</v>
      </c>
      <c r="L18" s="108">
        <v>0</v>
      </c>
      <c r="M18" s="108">
        <v>0</v>
      </c>
      <c r="N18" s="108">
        <v>0</v>
      </c>
      <c r="O18" s="108">
        <v>0</v>
      </c>
      <c r="P18" s="108">
        <v>0</v>
      </c>
      <c r="Q18" s="108">
        <v>0</v>
      </c>
      <c r="R18" s="108">
        <v>0</v>
      </c>
      <c r="S18" s="108">
        <v>0</v>
      </c>
      <c r="T18" s="108">
        <v>0</v>
      </c>
      <c r="U18" s="108">
        <v>0</v>
      </c>
      <c r="V18" s="108">
        <v>0</v>
      </c>
      <c r="W18" s="108">
        <v>0</v>
      </c>
      <c r="X18" s="108">
        <v>36.182236191574297</v>
      </c>
      <c r="Y18" s="108">
        <v>0</v>
      </c>
      <c r="Z18" s="108">
        <v>0</v>
      </c>
      <c r="AA18" s="108">
        <v>41.787820555286501</v>
      </c>
      <c r="AB18" s="108">
        <v>0</v>
      </c>
      <c r="AC18" s="108">
        <v>0</v>
      </c>
      <c r="AD18" s="108">
        <v>0</v>
      </c>
      <c r="AE18" s="108">
        <v>0</v>
      </c>
      <c r="AF18" s="108">
        <v>0</v>
      </c>
      <c r="AG18" s="108">
        <v>0</v>
      </c>
      <c r="AH18" s="108">
        <v>0</v>
      </c>
      <c r="AI18" s="108">
        <v>0</v>
      </c>
      <c r="AJ18" s="108">
        <v>0</v>
      </c>
      <c r="AK18" s="108">
        <v>0</v>
      </c>
      <c r="AL18" s="108">
        <v>0</v>
      </c>
      <c r="AM18" s="108">
        <v>0</v>
      </c>
      <c r="AN18" s="108">
        <v>0</v>
      </c>
      <c r="AO18" s="108">
        <v>0</v>
      </c>
      <c r="AP18" s="108">
        <v>0</v>
      </c>
      <c r="AQ18" s="109">
        <v>0</v>
      </c>
    </row>
    <row r="19" spans="2:43" ht="12" customHeight="1" x14ac:dyDescent="0.25">
      <c r="B19" s="107" t="s">
        <v>33</v>
      </c>
      <c r="C19" s="108" t="s">
        <v>34</v>
      </c>
      <c r="D19" s="108" t="s">
        <v>25</v>
      </c>
      <c r="E19" s="108" t="s">
        <v>25</v>
      </c>
      <c r="F19" s="108" t="s">
        <v>25</v>
      </c>
      <c r="G19" s="108" t="s">
        <v>36</v>
      </c>
      <c r="H19" s="108" t="s">
        <v>71</v>
      </c>
      <c r="I19" s="108" t="s">
        <v>25</v>
      </c>
      <c r="J19" s="108">
        <v>136.86000000000001</v>
      </c>
      <c r="K19" s="108">
        <v>260.8</v>
      </c>
      <c r="L19" s="108">
        <v>19.888161566657001</v>
      </c>
      <c r="M19" s="108">
        <v>1.6778632853872399</v>
      </c>
      <c r="N19" s="108">
        <v>0</v>
      </c>
      <c r="O19" s="108">
        <v>0</v>
      </c>
      <c r="P19" s="108">
        <v>0</v>
      </c>
      <c r="Q19" s="108">
        <v>78.036650904725306</v>
      </c>
      <c r="R19" s="108">
        <v>15.1481977294894</v>
      </c>
      <c r="S19" s="108">
        <v>0</v>
      </c>
      <c r="T19" s="108">
        <v>0</v>
      </c>
      <c r="U19" s="108">
        <v>0</v>
      </c>
      <c r="V19" s="108">
        <v>0</v>
      </c>
      <c r="W19" s="108">
        <v>0</v>
      </c>
      <c r="X19" s="108">
        <v>0</v>
      </c>
      <c r="Y19" s="108">
        <v>0</v>
      </c>
      <c r="Z19" s="108">
        <v>0</v>
      </c>
      <c r="AA19" s="108">
        <v>0</v>
      </c>
      <c r="AB19" s="108">
        <v>0</v>
      </c>
      <c r="AC19" s="108">
        <v>0</v>
      </c>
      <c r="AD19" s="108">
        <v>19.366265449486502</v>
      </c>
      <c r="AE19" s="108">
        <v>0</v>
      </c>
      <c r="AF19" s="108">
        <v>2.74085158382651</v>
      </c>
      <c r="AG19" s="108">
        <v>0</v>
      </c>
      <c r="AH19" s="108">
        <v>0</v>
      </c>
      <c r="AI19" s="108">
        <v>0</v>
      </c>
      <c r="AJ19" s="108">
        <v>0</v>
      </c>
      <c r="AK19" s="108">
        <v>0</v>
      </c>
      <c r="AL19" s="108">
        <v>260.80314197522301</v>
      </c>
      <c r="AM19" s="108">
        <v>0</v>
      </c>
      <c r="AN19" s="108">
        <v>0</v>
      </c>
      <c r="AO19" s="108">
        <v>0</v>
      </c>
      <c r="AP19" s="108">
        <v>0</v>
      </c>
      <c r="AQ19" s="109">
        <v>0</v>
      </c>
    </row>
    <row r="20" spans="2:43" ht="12" customHeight="1" x14ac:dyDescent="0.25">
      <c r="B20" s="107" t="s">
        <v>81</v>
      </c>
      <c r="C20" s="108" t="s">
        <v>80</v>
      </c>
      <c r="D20" s="108" t="s">
        <v>25</v>
      </c>
      <c r="E20" s="108" t="s">
        <v>25</v>
      </c>
      <c r="F20" s="108" t="s">
        <v>82</v>
      </c>
      <c r="G20" s="108" t="s">
        <v>25</v>
      </c>
      <c r="H20" s="108" t="s">
        <v>76</v>
      </c>
      <c r="I20" s="108" t="s">
        <v>25</v>
      </c>
      <c r="J20" s="108">
        <v>7.15</v>
      </c>
      <c r="K20" s="108">
        <v>0</v>
      </c>
      <c r="L20" s="108">
        <v>0</v>
      </c>
      <c r="M20" s="108">
        <v>1.1466651370535499E-2</v>
      </c>
      <c r="N20" s="108">
        <v>0</v>
      </c>
      <c r="O20" s="108">
        <v>0</v>
      </c>
      <c r="P20" s="108">
        <v>0</v>
      </c>
      <c r="Q20" s="108">
        <v>0</v>
      </c>
      <c r="R20" s="108">
        <v>0</v>
      </c>
      <c r="S20" s="108">
        <v>0</v>
      </c>
      <c r="T20" s="108">
        <v>0</v>
      </c>
      <c r="U20" s="108">
        <v>0</v>
      </c>
      <c r="V20" s="108">
        <v>0</v>
      </c>
      <c r="W20" s="108">
        <v>0</v>
      </c>
      <c r="X20" s="108">
        <v>0</v>
      </c>
      <c r="Y20" s="108">
        <v>0</v>
      </c>
      <c r="Z20" s="108">
        <v>0</v>
      </c>
      <c r="AA20" s="108">
        <v>7.1361643437985096</v>
      </c>
      <c r="AB20" s="108">
        <v>0</v>
      </c>
      <c r="AC20" s="108">
        <v>0</v>
      </c>
      <c r="AD20" s="108">
        <v>0</v>
      </c>
      <c r="AE20" s="108">
        <v>0</v>
      </c>
      <c r="AF20" s="108">
        <v>0</v>
      </c>
      <c r="AG20" s="108">
        <v>0</v>
      </c>
      <c r="AH20" s="108">
        <v>0</v>
      </c>
      <c r="AI20" s="108">
        <v>0</v>
      </c>
      <c r="AJ20" s="108">
        <v>0</v>
      </c>
      <c r="AK20" s="108">
        <v>0</v>
      </c>
      <c r="AL20" s="108">
        <v>0</v>
      </c>
      <c r="AM20" s="108">
        <v>0</v>
      </c>
      <c r="AN20" s="108">
        <v>0</v>
      </c>
      <c r="AO20" s="108">
        <v>0</v>
      </c>
      <c r="AP20" s="108">
        <v>0</v>
      </c>
      <c r="AQ20" s="109">
        <v>0</v>
      </c>
    </row>
    <row r="21" spans="2:43" ht="12" customHeight="1" x14ac:dyDescent="0.25">
      <c r="B21" s="107" t="s">
        <v>81</v>
      </c>
      <c r="C21" s="108" t="s">
        <v>80</v>
      </c>
      <c r="D21" s="108" t="s">
        <v>25</v>
      </c>
      <c r="E21" s="108" t="s">
        <v>25</v>
      </c>
      <c r="F21" s="108" t="s">
        <v>83</v>
      </c>
      <c r="G21" s="108" t="s">
        <v>25</v>
      </c>
      <c r="H21" s="108" t="s">
        <v>76</v>
      </c>
      <c r="I21" s="108" t="s">
        <v>25</v>
      </c>
      <c r="J21" s="108">
        <v>23.01</v>
      </c>
      <c r="K21" s="108">
        <v>0</v>
      </c>
      <c r="L21" s="108">
        <v>0</v>
      </c>
      <c r="M21" s="108">
        <v>1.1466651370535499E-2</v>
      </c>
      <c r="N21" s="108">
        <v>0</v>
      </c>
      <c r="O21" s="108">
        <v>0</v>
      </c>
      <c r="P21" s="108">
        <v>0</v>
      </c>
      <c r="Q21" s="108">
        <v>0</v>
      </c>
      <c r="R21" s="108">
        <v>0</v>
      </c>
      <c r="S21" s="108">
        <v>0</v>
      </c>
      <c r="T21" s="108">
        <v>0</v>
      </c>
      <c r="U21" s="108">
        <v>0</v>
      </c>
      <c r="V21" s="108">
        <v>0</v>
      </c>
      <c r="W21" s="108">
        <v>0</v>
      </c>
      <c r="X21" s="108">
        <v>0</v>
      </c>
      <c r="Y21" s="108">
        <v>0</v>
      </c>
      <c r="Z21" s="108">
        <v>0</v>
      </c>
      <c r="AA21" s="108">
        <v>22.9999017902296</v>
      </c>
      <c r="AB21" s="108">
        <v>0</v>
      </c>
      <c r="AC21" s="108">
        <v>0</v>
      </c>
      <c r="AD21" s="108">
        <v>0</v>
      </c>
      <c r="AE21" s="108">
        <v>0</v>
      </c>
      <c r="AF21" s="108">
        <v>0</v>
      </c>
      <c r="AG21" s="108">
        <v>0</v>
      </c>
      <c r="AH21" s="108">
        <v>0</v>
      </c>
      <c r="AI21" s="108">
        <v>0</v>
      </c>
      <c r="AJ21" s="108">
        <v>0</v>
      </c>
      <c r="AK21" s="108">
        <v>0</v>
      </c>
      <c r="AL21" s="108">
        <v>0</v>
      </c>
      <c r="AM21" s="108">
        <v>0</v>
      </c>
      <c r="AN21" s="108">
        <v>0</v>
      </c>
      <c r="AO21" s="108">
        <v>0</v>
      </c>
      <c r="AP21" s="108">
        <v>0</v>
      </c>
      <c r="AQ21" s="109">
        <v>0</v>
      </c>
    </row>
    <row r="22" spans="2:43" ht="12" customHeight="1" x14ac:dyDescent="0.25">
      <c r="B22" s="107" t="s">
        <v>22</v>
      </c>
      <c r="C22" s="108" t="s">
        <v>37</v>
      </c>
      <c r="D22" s="108" t="s">
        <v>24</v>
      </c>
      <c r="E22" s="108" t="s">
        <v>24</v>
      </c>
      <c r="F22" s="108" t="s">
        <v>25</v>
      </c>
      <c r="G22" s="108" t="s">
        <v>35</v>
      </c>
      <c r="H22" s="108" t="s">
        <v>71</v>
      </c>
      <c r="I22" s="108" t="s">
        <v>25</v>
      </c>
      <c r="J22" s="108">
        <v>2303.84</v>
      </c>
      <c r="K22" s="108">
        <v>260.8</v>
      </c>
      <c r="L22" s="108">
        <v>23.6763828174488</v>
      </c>
      <c r="M22" s="108">
        <v>3.2299154897781199</v>
      </c>
      <c r="N22" s="108">
        <v>0</v>
      </c>
      <c r="O22" s="108">
        <v>0</v>
      </c>
      <c r="P22" s="108">
        <v>0</v>
      </c>
      <c r="Q22" s="108">
        <v>92.900774886577693</v>
      </c>
      <c r="R22" s="108">
        <v>15.1481977294894</v>
      </c>
      <c r="S22" s="108">
        <v>0</v>
      </c>
      <c r="T22" s="108">
        <v>0</v>
      </c>
      <c r="U22" s="108">
        <v>0</v>
      </c>
      <c r="V22" s="108">
        <v>0</v>
      </c>
      <c r="W22" s="108">
        <v>0</v>
      </c>
      <c r="X22" s="108">
        <v>670.878374779777</v>
      </c>
      <c r="Y22" s="108">
        <v>0</v>
      </c>
      <c r="Z22" s="108">
        <v>0</v>
      </c>
      <c r="AA22" s="108">
        <v>1448.3319451070499</v>
      </c>
      <c r="AB22" s="108">
        <v>0</v>
      </c>
      <c r="AC22" s="108">
        <v>0</v>
      </c>
      <c r="AD22" s="108">
        <v>45.445672929566697</v>
      </c>
      <c r="AE22" s="108">
        <v>0</v>
      </c>
      <c r="AF22" s="108">
        <v>4.2282514992179099</v>
      </c>
      <c r="AG22" s="108">
        <v>0</v>
      </c>
      <c r="AH22" s="108">
        <v>0</v>
      </c>
      <c r="AI22" s="108">
        <v>0</v>
      </c>
      <c r="AJ22" s="108">
        <v>0</v>
      </c>
      <c r="AK22" s="108">
        <v>0</v>
      </c>
      <c r="AL22" s="108">
        <v>260.80314197522301</v>
      </c>
      <c r="AM22" s="108">
        <v>0</v>
      </c>
      <c r="AN22" s="108">
        <v>0</v>
      </c>
      <c r="AO22" s="108">
        <v>0</v>
      </c>
      <c r="AP22" s="108">
        <v>0</v>
      </c>
      <c r="AQ22" s="109">
        <v>0</v>
      </c>
    </row>
    <row r="23" spans="2:43" ht="12" customHeight="1" x14ac:dyDescent="0.25">
      <c r="B23" s="107" t="s">
        <v>22</v>
      </c>
      <c r="C23" s="108" t="s">
        <v>37</v>
      </c>
      <c r="D23" s="108" t="s">
        <v>24</v>
      </c>
      <c r="E23" s="108" t="s">
        <v>24</v>
      </c>
      <c r="F23" s="108" t="s">
        <v>25</v>
      </c>
      <c r="G23" s="108" t="s">
        <v>38</v>
      </c>
      <c r="H23" s="108" t="s">
        <v>71</v>
      </c>
      <c r="I23" s="108" t="s">
        <v>25</v>
      </c>
      <c r="J23" s="108">
        <v>1456.16</v>
      </c>
      <c r="K23" s="108">
        <v>260.8</v>
      </c>
      <c r="L23" s="108">
        <v>23.6763828174488</v>
      </c>
      <c r="M23" s="108">
        <v>3.2299154897781199</v>
      </c>
      <c r="N23" s="108">
        <v>0</v>
      </c>
      <c r="O23" s="108">
        <v>0</v>
      </c>
      <c r="P23" s="108">
        <v>0</v>
      </c>
      <c r="Q23" s="108">
        <v>92.900774886577693</v>
      </c>
      <c r="R23" s="108">
        <v>15.1481977294894</v>
      </c>
      <c r="S23" s="108">
        <v>0</v>
      </c>
      <c r="T23" s="108">
        <v>0</v>
      </c>
      <c r="U23" s="108">
        <v>0</v>
      </c>
      <c r="V23" s="108">
        <v>0</v>
      </c>
      <c r="W23" s="108">
        <v>0</v>
      </c>
      <c r="X23" s="108">
        <v>402.52702486786598</v>
      </c>
      <c r="Y23" s="108">
        <v>0</v>
      </c>
      <c r="Z23" s="108">
        <v>0</v>
      </c>
      <c r="AA23" s="108">
        <v>868.99933920146805</v>
      </c>
      <c r="AB23" s="108">
        <v>0</v>
      </c>
      <c r="AC23" s="108">
        <v>0</v>
      </c>
      <c r="AD23" s="108">
        <v>45.445672929566697</v>
      </c>
      <c r="AE23" s="108">
        <v>0</v>
      </c>
      <c r="AF23" s="108">
        <v>4.2282514992179099</v>
      </c>
      <c r="AG23" s="108">
        <v>0</v>
      </c>
      <c r="AH23" s="108">
        <v>0</v>
      </c>
      <c r="AI23" s="108">
        <v>0</v>
      </c>
      <c r="AJ23" s="108">
        <v>0</v>
      </c>
      <c r="AK23" s="108">
        <v>0</v>
      </c>
      <c r="AL23" s="108">
        <v>260.80314197522301</v>
      </c>
      <c r="AM23" s="108">
        <v>0</v>
      </c>
      <c r="AN23" s="108">
        <v>0</v>
      </c>
      <c r="AO23" s="108">
        <v>0</v>
      </c>
      <c r="AP23" s="108">
        <v>0</v>
      </c>
      <c r="AQ23" s="109">
        <v>0</v>
      </c>
    </row>
    <row r="24" spans="2:43" ht="12" customHeight="1" x14ac:dyDescent="0.25">
      <c r="B24" s="107" t="s">
        <v>22</v>
      </c>
      <c r="C24" s="108" t="s">
        <v>37</v>
      </c>
      <c r="D24" s="108" t="s">
        <v>24</v>
      </c>
      <c r="E24" s="108" t="s">
        <v>24</v>
      </c>
      <c r="F24" s="108" t="s">
        <v>25</v>
      </c>
      <c r="G24" s="108" t="s">
        <v>36</v>
      </c>
      <c r="H24" s="108" t="s">
        <v>71</v>
      </c>
      <c r="I24" s="108" t="s">
        <v>25</v>
      </c>
      <c r="J24" s="108">
        <v>608.47</v>
      </c>
      <c r="K24" s="108">
        <v>260.8</v>
      </c>
      <c r="L24" s="108">
        <v>23.6763828174488</v>
      </c>
      <c r="M24" s="108">
        <v>3.2299154897781199</v>
      </c>
      <c r="N24" s="108">
        <v>0</v>
      </c>
      <c r="O24" s="108">
        <v>0</v>
      </c>
      <c r="P24" s="108">
        <v>0</v>
      </c>
      <c r="Q24" s="108">
        <v>92.900774886577693</v>
      </c>
      <c r="R24" s="108">
        <v>15.1481977294894</v>
      </c>
      <c r="S24" s="108">
        <v>0</v>
      </c>
      <c r="T24" s="108">
        <v>0</v>
      </c>
      <c r="U24" s="108">
        <v>0</v>
      </c>
      <c r="V24" s="108">
        <v>0</v>
      </c>
      <c r="W24" s="108">
        <v>0</v>
      </c>
      <c r="X24" s="108">
        <v>134.177086009547</v>
      </c>
      <c r="Y24" s="108">
        <v>0</v>
      </c>
      <c r="Z24" s="108">
        <v>0</v>
      </c>
      <c r="AA24" s="108">
        <v>289.66630295279202</v>
      </c>
      <c r="AB24" s="108">
        <v>0</v>
      </c>
      <c r="AC24" s="108">
        <v>0</v>
      </c>
      <c r="AD24" s="108">
        <v>45.445672929566697</v>
      </c>
      <c r="AE24" s="108">
        <v>0</v>
      </c>
      <c r="AF24" s="108">
        <v>4.2282514992179099</v>
      </c>
      <c r="AG24" s="108">
        <v>0</v>
      </c>
      <c r="AH24" s="108">
        <v>0</v>
      </c>
      <c r="AI24" s="108">
        <v>0</v>
      </c>
      <c r="AJ24" s="108">
        <v>0</v>
      </c>
      <c r="AK24" s="108">
        <v>0</v>
      </c>
      <c r="AL24" s="108">
        <v>260.80314197522301</v>
      </c>
      <c r="AM24" s="108">
        <v>0</v>
      </c>
      <c r="AN24" s="108">
        <v>0</v>
      </c>
      <c r="AO24" s="108">
        <v>0</v>
      </c>
      <c r="AP24" s="108">
        <v>0</v>
      </c>
      <c r="AQ24" s="109">
        <v>0</v>
      </c>
    </row>
    <row r="25" spans="2:43" ht="12" customHeight="1" x14ac:dyDescent="0.25">
      <c r="B25" s="107" t="s">
        <v>22</v>
      </c>
      <c r="C25" s="108" t="s">
        <v>23</v>
      </c>
      <c r="D25" s="108" t="s">
        <v>24</v>
      </c>
      <c r="E25" s="108" t="s">
        <v>1121</v>
      </c>
      <c r="F25" s="108" t="s">
        <v>25</v>
      </c>
      <c r="G25" s="108" t="s">
        <v>25</v>
      </c>
      <c r="H25" s="108" t="s">
        <v>71</v>
      </c>
      <c r="I25" s="108" t="s">
        <v>25</v>
      </c>
      <c r="J25" s="108">
        <v>837.8</v>
      </c>
      <c r="K25" s="108">
        <v>260.8</v>
      </c>
      <c r="L25" s="108">
        <v>0</v>
      </c>
      <c r="M25" s="108">
        <v>3.2299154897781199</v>
      </c>
      <c r="N25" s="108">
        <v>0</v>
      </c>
      <c r="O25" s="108">
        <v>0</v>
      </c>
      <c r="P25" s="108">
        <v>0</v>
      </c>
      <c r="Q25" s="108">
        <v>0</v>
      </c>
      <c r="R25" s="108">
        <v>0</v>
      </c>
      <c r="S25" s="108">
        <v>0</v>
      </c>
      <c r="T25" s="108">
        <v>0</v>
      </c>
      <c r="U25" s="108">
        <v>0</v>
      </c>
      <c r="V25" s="108">
        <v>0</v>
      </c>
      <c r="W25" s="108">
        <v>0</v>
      </c>
      <c r="X25" s="108">
        <v>248.473837969367</v>
      </c>
      <c r="Y25" s="108">
        <v>0</v>
      </c>
      <c r="Z25" s="108">
        <v>0</v>
      </c>
      <c r="AA25" s="108">
        <v>536.41943816145101</v>
      </c>
      <c r="AB25" s="108">
        <v>0</v>
      </c>
      <c r="AC25" s="108">
        <v>0</v>
      </c>
      <c r="AD25" s="108">
        <v>45.445672929566697</v>
      </c>
      <c r="AE25" s="108">
        <v>0</v>
      </c>
      <c r="AF25" s="108">
        <v>4.2282514992179099</v>
      </c>
      <c r="AG25" s="108">
        <v>0</v>
      </c>
      <c r="AH25" s="108">
        <v>0</v>
      </c>
      <c r="AI25" s="108">
        <v>0</v>
      </c>
      <c r="AJ25" s="108">
        <v>0</v>
      </c>
      <c r="AK25" s="108">
        <v>0</v>
      </c>
      <c r="AL25" s="108">
        <v>260.80314197522301</v>
      </c>
      <c r="AM25" s="108">
        <v>0</v>
      </c>
      <c r="AN25" s="108">
        <v>0</v>
      </c>
      <c r="AO25" s="108">
        <v>0</v>
      </c>
      <c r="AP25" s="108">
        <v>0</v>
      </c>
      <c r="AQ25" s="109">
        <v>0</v>
      </c>
    </row>
    <row r="26" spans="2:43" ht="12" customHeight="1" x14ac:dyDescent="0.25">
      <c r="B26" s="107" t="s">
        <v>22</v>
      </c>
      <c r="C26" s="108" t="s">
        <v>23</v>
      </c>
      <c r="D26" s="108" t="s">
        <v>24</v>
      </c>
      <c r="E26" s="108" t="s">
        <v>24</v>
      </c>
      <c r="F26" s="108" t="s">
        <v>25</v>
      </c>
      <c r="G26" s="108" t="s">
        <v>25</v>
      </c>
      <c r="H26" s="108" t="s">
        <v>71</v>
      </c>
      <c r="I26" s="108" t="s">
        <v>25</v>
      </c>
      <c r="J26" s="108">
        <v>969.52</v>
      </c>
      <c r="K26" s="108">
        <v>260.8</v>
      </c>
      <c r="L26" s="108">
        <v>23.6763828174488</v>
      </c>
      <c r="M26" s="108">
        <v>3.2299154897781199</v>
      </c>
      <c r="N26" s="108">
        <v>0</v>
      </c>
      <c r="O26" s="108">
        <v>0</v>
      </c>
      <c r="P26" s="108">
        <v>0</v>
      </c>
      <c r="Q26" s="108">
        <v>92.900774886577693</v>
      </c>
      <c r="R26" s="108">
        <v>15.1481977294894</v>
      </c>
      <c r="S26" s="108">
        <v>0</v>
      </c>
      <c r="T26" s="108">
        <v>0</v>
      </c>
      <c r="U26" s="108">
        <v>0</v>
      </c>
      <c r="V26" s="108">
        <v>0</v>
      </c>
      <c r="W26" s="108">
        <v>0</v>
      </c>
      <c r="X26" s="108">
        <v>248.473837969367</v>
      </c>
      <c r="Y26" s="108">
        <v>0</v>
      </c>
      <c r="Z26" s="108">
        <v>0</v>
      </c>
      <c r="AA26" s="108">
        <v>536.41943816145101</v>
      </c>
      <c r="AB26" s="108">
        <v>0</v>
      </c>
      <c r="AC26" s="108">
        <v>0</v>
      </c>
      <c r="AD26" s="108">
        <v>45.445672929566697</v>
      </c>
      <c r="AE26" s="108">
        <v>0</v>
      </c>
      <c r="AF26" s="108">
        <v>4.2282514992179099</v>
      </c>
      <c r="AG26" s="108">
        <v>0</v>
      </c>
      <c r="AH26" s="108">
        <v>0</v>
      </c>
      <c r="AI26" s="108">
        <v>0</v>
      </c>
      <c r="AJ26" s="108">
        <v>0</v>
      </c>
      <c r="AK26" s="108">
        <v>0</v>
      </c>
      <c r="AL26" s="108">
        <v>260.80314197522301</v>
      </c>
      <c r="AM26" s="108">
        <v>0</v>
      </c>
      <c r="AN26" s="108">
        <v>0</v>
      </c>
      <c r="AO26" s="108">
        <v>0</v>
      </c>
      <c r="AP26" s="108">
        <v>0</v>
      </c>
      <c r="AQ26" s="109">
        <v>0</v>
      </c>
    </row>
    <row r="27" spans="2:43" ht="12" customHeight="1" x14ac:dyDescent="0.25">
      <c r="B27" s="107" t="s">
        <v>22</v>
      </c>
      <c r="C27" s="108" t="s">
        <v>86</v>
      </c>
      <c r="D27" s="108" t="s">
        <v>24</v>
      </c>
      <c r="E27" s="108" t="s">
        <v>1121</v>
      </c>
      <c r="F27" s="108" t="s">
        <v>25</v>
      </c>
      <c r="G27" s="108" t="s">
        <v>25</v>
      </c>
      <c r="H27" s="108" t="s">
        <v>71</v>
      </c>
      <c r="I27" s="108" t="s">
        <v>25</v>
      </c>
      <c r="J27" s="108">
        <v>837.8</v>
      </c>
      <c r="K27" s="108">
        <v>260.8</v>
      </c>
      <c r="L27" s="108">
        <v>0</v>
      </c>
      <c r="M27" s="108">
        <v>3.2299154897781199</v>
      </c>
      <c r="N27" s="108">
        <v>0</v>
      </c>
      <c r="O27" s="108">
        <v>0</v>
      </c>
      <c r="P27" s="108">
        <v>0</v>
      </c>
      <c r="Q27" s="108">
        <v>0</v>
      </c>
      <c r="R27" s="108">
        <v>0</v>
      </c>
      <c r="S27" s="108">
        <v>0</v>
      </c>
      <c r="T27" s="108">
        <v>0</v>
      </c>
      <c r="U27" s="108">
        <v>0</v>
      </c>
      <c r="V27" s="108">
        <v>0</v>
      </c>
      <c r="W27" s="108">
        <v>0</v>
      </c>
      <c r="X27" s="108">
        <v>248.473837969367</v>
      </c>
      <c r="Y27" s="108">
        <v>0</v>
      </c>
      <c r="Z27" s="108">
        <v>0</v>
      </c>
      <c r="AA27" s="108">
        <v>536.41943816145101</v>
      </c>
      <c r="AB27" s="108">
        <v>0</v>
      </c>
      <c r="AC27" s="108">
        <v>0</v>
      </c>
      <c r="AD27" s="108">
        <v>45.445672929566697</v>
      </c>
      <c r="AE27" s="108">
        <v>0</v>
      </c>
      <c r="AF27" s="108">
        <v>4.2282514992179099</v>
      </c>
      <c r="AG27" s="108">
        <v>0</v>
      </c>
      <c r="AH27" s="108">
        <v>0</v>
      </c>
      <c r="AI27" s="108">
        <v>0</v>
      </c>
      <c r="AJ27" s="108">
        <v>0</v>
      </c>
      <c r="AK27" s="108">
        <v>0</v>
      </c>
      <c r="AL27" s="108">
        <v>260.80314197522301</v>
      </c>
      <c r="AM27" s="108">
        <v>0</v>
      </c>
      <c r="AN27" s="108">
        <v>0</v>
      </c>
      <c r="AO27" s="108">
        <v>0</v>
      </c>
      <c r="AP27" s="108">
        <v>0</v>
      </c>
      <c r="AQ27" s="109">
        <v>0</v>
      </c>
    </row>
    <row r="28" spans="2:43" ht="12" customHeight="1" x14ac:dyDescent="0.25">
      <c r="B28" s="107" t="s">
        <v>22</v>
      </c>
      <c r="C28" s="108" t="s">
        <v>86</v>
      </c>
      <c r="D28" s="108" t="s">
        <v>24</v>
      </c>
      <c r="E28" s="108" t="s">
        <v>24</v>
      </c>
      <c r="F28" s="108" t="s">
        <v>25</v>
      </c>
      <c r="G28" s="108" t="s">
        <v>25</v>
      </c>
      <c r="H28" s="108" t="s">
        <v>71</v>
      </c>
      <c r="I28" s="108" t="s">
        <v>25</v>
      </c>
      <c r="J28" s="108">
        <v>969.52</v>
      </c>
      <c r="K28" s="108">
        <v>260.8</v>
      </c>
      <c r="L28" s="108">
        <v>23.6763828174488</v>
      </c>
      <c r="M28" s="108">
        <v>3.2299154897781199</v>
      </c>
      <c r="N28" s="108">
        <v>0</v>
      </c>
      <c r="O28" s="108">
        <v>0</v>
      </c>
      <c r="P28" s="108">
        <v>0</v>
      </c>
      <c r="Q28" s="108">
        <v>92.900774886577693</v>
      </c>
      <c r="R28" s="108">
        <v>15.1481977294894</v>
      </c>
      <c r="S28" s="108">
        <v>0</v>
      </c>
      <c r="T28" s="108">
        <v>0</v>
      </c>
      <c r="U28" s="108">
        <v>0</v>
      </c>
      <c r="V28" s="108">
        <v>0</v>
      </c>
      <c r="W28" s="108">
        <v>0</v>
      </c>
      <c r="X28" s="108">
        <v>248.473837969367</v>
      </c>
      <c r="Y28" s="108">
        <v>0</v>
      </c>
      <c r="Z28" s="108">
        <v>0</v>
      </c>
      <c r="AA28" s="108">
        <v>536.41943816145101</v>
      </c>
      <c r="AB28" s="108">
        <v>0</v>
      </c>
      <c r="AC28" s="108">
        <v>0</v>
      </c>
      <c r="AD28" s="108">
        <v>45.445672929566697</v>
      </c>
      <c r="AE28" s="108">
        <v>0</v>
      </c>
      <c r="AF28" s="108">
        <v>4.2282514992179099</v>
      </c>
      <c r="AG28" s="108">
        <v>0</v>
      </c>
      <c r="AH28" s="108">
        <v>0</v>
      </c>
      <c r="AI28" s="108">
        <v>0</v>
      </c>
      <c r="AJ28" s="108">
        <v>0</v>
      </c>
      <c r="AK28" s="108">
        <v>0</v>
      </c>
      <c r="AL28" s="108">
        <v>260.80314197522301</v>
      </c>
      <c r="AM28" s="108">
        <v>0</v>
      </c>
      <c r="AN28" s="108">
        <v>0</v>
      </c>
      <c r="AO28" s="108">
        <v>0</v>
      </c>
      <c r="AP28" s="108">
        <v>0</v>
      </c>
      <c r="AQ28" s="109">
        <v>0</v>
      </c>
    </row>
    <row r="29" spans="2:43" ht="12" customHeight="1" x14ac:dyDescent="0.25">
      <c r="B29" s="107" t="s">
        <v>43</v>
      </c>
      <c r="C29" s="108" t="s">
        <v>37</v>
      </c>
      <c r="D29" s="108" t="s">
        <v>44</v>
      </c>
      <c r="E29" s="108" t="s">
        <v>87</v>
      </c>
      <c r="F29" s="108" t="s">
        <v>25</v>
      </c>
      <c r="G29" s="108" t="s">
        <v>35</v>
      </c>
      <c r="H29" s="108" t="s">
        <v>71</v>
      </c>
      <c r="I29" s="108" t="s">
        <v>25</v>
      </c>
      <c r="J29" s="108">
        <v>2091.83</v>
      </c>
      <c r="K29" s="108">
        <v>245.15</v>
      </c>
      <c r="L29" s="108">
        <v>22.2557998484019</v>
      </c>
      <c r="M29" s="108">
        <v>3.0361205603914301</v>
      </c>
      <c r="N29" s="108">
        <v>0</v>
      </c>
      <c r="O29" s="108">
        <v>0</v>
      </c>
      <c r="P29" s="108">
        <v>0</v>
      </c>
      <c r="Q29" s="108">
        <v>87.326728393383107</v>
      </c>
      <c r="R29" s="108">
        <v>14.2393058657201</v>
      </c>
      <c r="S29" s="108">
        <v>0</v>
      </c>
      <c r="T29" s="108">
        <v>0</v>
      </c>
      <c r="U29" s="108">
        <v>0</v>
      </c>
      <c r="V29" s="108">
        <v>0</v>
      </c>
      <c r="W29" s="108">
        <v>0</v>
      </c>
      <c r="X29" s="108">
        <v>607.270590553283</v>
      </c>
      <c r="Y29" s="108">
        <v>0</v>
      </c>
      <c r="Z29" s="108">
        <v>0</v>
      </c>
      <c r="AA29" s="108">
        <v>1311.0087023440799</v>
      </c>
      <c r="AB29" s="108">
        <v>0</v>
      </c>
      <c r="AC29" s="108">
        <v>0</v>
      </c>
      <c r="AD29" s="108">
        <v>42.718932553792698</v>
      </c>
      <c r="AE29" s="108">
        <v>0</v>
      </c>
      <c r="AF29" s="108">
        <v>3.9745564092648298</v>
      </c>
      <c r="AG29" s="108">
        <v>0</v>
      </c>
      <c r="AH29" s="108">
        <v>0</v>
      </c>
      <c r="AI29" s="108">
        <v>0</v>
      </c>
      <c r="AJ29" s="108">
        <v>0</v>
      </c>
      <c r="AK29" s="108">
        <v>0</v>
      </c>
      <c r="AL29" s="108">
        <v>245.15495345670899</v>
      </c>
      <c r="AM29" s="108">
        <v>0</v>
      </c>
      <c r="AN29" s="108">
        <v>0</v>
      </c>
      <c r="AO29" s="108">
        <v>0</v>
      </c>
      <c r="AP29" s="108">
        <v>0</v>
      </c>
      <c r="AQ29" s="109">
        <v>0</v>
      </c>
    </row>
    <row r="30" spans="2:43" ht="12" customHeight="1" x14ac:dyDescent="0.25">
      <c r="B30" s="107" t="s">
        <v>43</v>
      </c>
      <c r="C30" s="108" t="s">
        <v>37</v>
      </c>
      <c r="D30" s="108" t="s">
        <v>44</v>
      </c>
      <c r="E30" s="108" t="s">
        <v>87</v>
      </c>
      <c r="F30" s="108" t="s">
        <v>25</v>
      </c>
      <c r="G30" s="108" t="s">
        <v>38</v>
      </c>
      <c r="H30" s="108" t="s">
        <v>71</v>
      </c>
      <c r="I30" s="108" t="s">
        <v>25</v>
      </c>
      <c r="J30" s="108">
        <v>1324.52</v>
      </c>
      <c r="K30" s="108">
        <v>245.15</v>
      </c>
      <c r="L30" s="108">
        <v>22.2557998484019</v>
      </c>
      <c r="M30" s="108">
        <v>3.0361205603914301</v>
      </c>
      <c r="N30" s="108">
        <v>0</v>
      </c>
      <c r="O30" s="108">
        <v>0</v>
      </c>
      <c r="P30" s="108">
        <v>0</v>
      </c>
      <c r="Q30" s="108">
        <v>87.326728393383107</v>
      </c>
      <c r="R30" s="108">
        <v>14.2393058657201</v>
      </c>
      <c r="S30" s="108">
        <v>0</v>
      </c>
      <c r="T30" s="108">
        <v>0</v>
      </c>
      <c r="U30" s="108">
        <v>0</v>
      </c>
      <c r="V30" s="108">
        <v>0</v>
      </c>
      <c r="W30" s="108">
        <v>0</v>
      </c>
      <c r="X30" s="108">
        <v>364.36208905389498</v>
      </c>
      <c r="Y30" s="108">
        <v>0</v>
      </c>
      <c r="Z30" s="108">
        <v>0</v>
      </c>
      <c r="AA30" s="108">
        <v>786.60534276319902</v>
      </c>
      <c r="AB30" s="108">
        <v>0</v>
      </c>
      <c r="AC30" s="108">
        <v>0</v>
      </c>
      <c r="AD30" s="108">
        <v>42.718932553792698</v>
      </c>
      <c r="AE30" s="108">
        <v>0</v>
      </c>
      <c r="AF30" s="108">
        <v>3.9745564092648298</v>
      </c>
      <c r="AG30" s="108">
        <v>0</v>
      </c>
      <c r="AH30" s="108">
        <v>0</v>
      </c>
      <c r="AI30" s="108">
        <v>0</v>
      </c>
      <c r="AJ30" s="108">
        <v>0</v>
      </c>
      <c r="AK30" s="108">
        <v>0</v>
      </c>
      <c r="AL30" s="108">
        <v>245.15495345670899</v>
      </c>
      <c r="AM30" s="108">
        <v>0</v>
      </c>
      <c r="AN30" s="108">
        <v>0</v>
      </c>
      <c r="AO30" s="108">
        <v>0</v>
      </c>
      <c r="AP30" s="108">
        <v>0</v>
      </c>
      <c r="AQ30" s="109">
        <v>0</v>
      </c>
    </row>
    <row r="31" spans="2:43" ht="12" customHeight="1" x14ac:dyDescent="0.25">
      <c r="B31" s="107" t="s">
        <v>43</v>
      </c>
      <c r="C31" s="108" t="s">
        <v>37</v>
      </c>
      <c r="D31" s="108" t="s">
        <v>44</v>
      </c>
      <c r="E31" s="108" t="s">
        <v>87</v>
      </c>
      <c r="F31" s="108" t="s">
        <v>25</v>
      </c>
      <c r="G31" s="108" t="s">
        <v>36</v>
      </c>
      <c r="H31" s="108" t="s">
        <v>71</v>
      </c>
      <c r="I31" s="108" t="s">
        <v>25</v>
      </c>
      <c r="J31" s="108">
        <v>557.21</v>
      </c>
      <c r="K31" s="108">
        <v>245.15</v>
      </c>
      <c r="L31" s="108">
        <v>22.2557998484019</v>
      </c>
      <c r="M31" s="108">
        <v>3.0361205603914301</v>
      </c>
      <c r="N31" s="108">
        <v>0</v>
      </c>
      <c r="O31" s="108">
        <v>0</v>
      </c>
      <c r="P31" s="108">
        <v>0</v>
      </c>
      <c r="Q31" s="108">
        <v>87.326728393383107</v>
      </c>
      <c r="R31" s="108">
        <v>14.2393058657201</v>
      </c>
      <c r="S31" s="108">
        <v>0</v>
      </c>
      <c r="T31" s="108">
        <v>0</v>
      </c>
      <c r="U31" s="108">
        <v>0</v>
      </c>
      <c r="V31" s="108">
        <v>0</v>
      </c>
      <c r="W31" s="108">
        <v>0</v>
      </c>
      <c r="X31" s="108">
        <v>121.453587554506</v>
      </c>
      <c r="Y31" s="108">
        <v>0</v>
      </c>
      <c r="Z31" s="108">
        <v>0</v>
      </c>
      <c r="AA31" s="108">
        <v>262.20178092106602</v>
      </c>
      <c r="AB31" s="108">
        <v>0</v>
      </c>
      <c r="AC31" s="108">
        <v>0</v>
      </c>
      <c r="AD31" s="108">
        <v>42.718932553792698</v>
      </c>
      <c r="AE31" s="108">
        <v>0</v>
      </c>
      <c r="AF31" s="108">
        <v>3.9745564092648298</v>
      </c>
      <c r="AG31" s="108">
        <v>0</v>
      </c>
      <c r="AH31" s="108">
        <v>0</v>
      </c>
      <c r="AI31" s="108">
        <v>0</v>
      </c>
      <c r="AJ31" s="108">
        <v>0</v>
      </c>
      <c r="AK31" s="108">
        <v>0</v>
      </c>
      <c r="AL31" s="108">
        <v>245.15495345670899</v>
      </c>
      <c r="AM31" s="108">
        <v>0</v>
      </c>
      <c r="AN31" s="108">
        <v>0</v>
      </c>
      <c r="AO31" s="108">
        <v>0</v>
      </c>
      <c r="AP31" s="108">
        <v>0</v>
      </c>
      <c r="AQ31" s="109">
        <v>0</v>
      </c>
    </row>
    <row r="32" spans="2:43" ht="12" customHeight="1" x14ac:dyDescent="0.25">
      <c r="B32" s="107" t="s">
        <v>43</v>
      </c>
      <c r="C32" s="108" t="s">
        <v>37</v>
      </c>
      <c r="D32" s="108" t="s">
        <v>44</v>
      </c>
      <c r="E32" s="108" t="s">
        <v>25</v>
      </c>
      <c r="F32" s="108" t="s">
        <v>25</v>
      </c>
      <c r="G32" s="108" t="s">
        <v>35</v>
      </c>
      <c r="H32" s="108" t="s">
        <v>71</v>
      </c>
      <c r="I32" s="108" t="s">
        <v>25</v>
      </c>
      <c r="J32" s="108">
        <v>2091.83</v>
      </c>
      <c r="K32" s="108">
        <v>245.15</v>
      </c>
      <c r="L32" s="108">
        <v>22.2557998484019</v>
      </c>
      <c r="M32" s="108">
        <v>3.0361205603914301</v>
      </c>
      <c r="N32" s="108">
        <v>0</v>
      </c>
      <c r="O32" s="108">
        <v>0</v>
      </c>
      <c r="P32" s="108">
        <v>0</v>
      </c>
      <c r="Q32" s="108">
        <v>87.326728393383107</v>
      </c>
      <c r="R32" s="108">
        <v>14.2393058657201</v>
      </c>
      <c r="S32" s="108">
        <v>0</v>
      </c>
      <c r="T32" s="108">
        <v>0</v>
      </c>
      <c r="U32" s="108">
        <v>0</v>
      </c>
      <c r="V32" s="108">
        <v>0</v>
      </c>
      <c r="W32" s="108">
        <v>0</v>
      </c>
      <c r="X32" s="108">
        <v>607.270590553283</v>
      </c>
      <c r="Y32" s="108">
        <v>0</v>
      </c>
      <c r="Z32" s="108">
        <v>0</v>
      </c>
      <c r="AA32" s="108">
        <v>1311.0087023440799</v>
      </c>
      <c r="AB32" s="108">
        <v>0</v>
      </c>
      <c r="AC32" s="108">
        <v>0</v>
      </c>
      <c r="AD32" s="108">
        <v>42.718932553792698</v>
      </c>
      <c r="AE32" s="108">
        <v>0</v>
      </c>
      <c r="AF32" s="108">
        <v>3.9745564092648298</v>
      </c>
      <c r="AG32" s="108">
        <v>0</v>
      </c>
      <c r="AH32" s="108">
        <v>0</v>
      </c>
      <c r="AI32" s="108">
        <v>0</v>
      </c>
      <c r="AJ32" s="108">
        <v>0</v>
      </c>
      <c r="AK32" s="108">
        <v>0</v>
      </c>
      <c r="AL32" s="108">
        <v>245.15495345670899</v>
      </c>
      <c r="AM32" s="108">
        <v>0</v>
      </c>
      <c r="AN32" s="108">
        <v>0</v>
      </c>
      <c r="AO32" s="108">
        <v>0</v>
      </c>
      <c r="AP32" s="108">
        <v>0</v>
      </c>
      <c r="AQ32" s="109">
        <v>0</v>
      </c>
    </row>
    <row r="33" spans="2:43" ht="12" customHeight="1" x14ac:dyDescent="0.25">
      <c r="B33" s="107" t="s">
        <v>43</v>
      </c>
      <c r="C33" s="108" t="s">
        <v>37</v>
      </c>
      <c r="D33" s="108" t="s">
        <v>44</v>
      </c>
      <c r="E33" s="108" t="s">
        <v>25</v>
      </c>
      <c r="F33" s="108" t="s">
        <v>25</v>
      </c>
      <c r="G33" s="108" t="s">
        <v>38</v>
      </c>
      <c r="H33" s="108" t="s">
        <v>71</v>
      </c>
      <c r="I33" s="108" t="s">
        <v>25</v>
      </c>
      <c r="J33" s="108">
        <v>1324.52</v>
      </c>
      <c r="K33" s="108">
        <v>245.15</v>
      </c>
      <c r="L33" s="108">
        <v>22.2557998484019</v>
      </c>
      <c r="M33" s="108">
        <v>3.0361205603914301</v>
      </c>
      <c r="N33" s="108">
        <v>0</v>
      </c>
      <c r="O33" s="108">
        <v>0</v>
      </c>
      <c r="P33" s="108">
        <v>0</v>
      </c>
      <c r="Q33" s="108">
        <v>87.326728393383107</v>
      </c>
      <c r="R33" s="108">
        <v>14.2393058657201</v>
      </c>
      <c r="S33" s="108">
        <v>0</v>
      </c>
      <c r="T33" s="108">
        <v>0</v>
      </c>
      <c r="U33" s="108">
        <v>0</v>
      </c>
      <c r="V33" s="108">
        <v>0</v>
      </c>
      <c r="W33" s="108">
        <v>0</v>
      </c>
      <c r="X33" s="108">
        <v>364.36208905389498</v>
      </c>
      <c r="Y33" s="108">
        <v>0</v>
      </c>
      <c r="Z33" s="108">
        <v>0</v>
      </c>
      <c r="AA33" s="108">
        <v>786.60534276319902</v>
      </c>
      <c r="AB33" s="108">
        <v>0</v>
      </c>
      <c r="AC33" s="108">
        <v>0</v>
      </c>
      <c r="AD33" s="108">
        <v>42.718932553792698</v>
      </c>
      <c r="AE33" s="108">
        <v>0</v>
      </c>
      <c r="AF33" s="108">
        <v>3.9745564092648298</v>
      </c>
      <c r="AG33" s="108">
        <v>0</v>
      </c>
      <c r="AH33" s="108">
        <v>0</v>
      </c>
      <c r="AI33" s="108">
        <v>0</v>
      </c>
      <c r="AJ33" s="108">
        <v>0</v>
      </c>
      <c r="AK33" s="108">
        <v>0</v>
      </c>
      <c r="AL33" s="108">
        <v>245.15495345670899</v>
      </c>
      <c r="AM33" s="108">
        <v>0</v>
      </c>
      <c r="AN33" s="108">
        <v>0</v>
      </c>
      <c r="AO33" s="108">
        <v>0</v>
      </c>
      <c r="AP33" s="108">
        <v>0</v>
      </c>
      <c r="AQ33" s="109">
        <v>0</v>
      </c>
    </row>
    <row r="34" spans="2:43" ht="12" customHeight="1" x14ac:dyDescent="0.25">
      <c r="B34" s="107" t="s">
        <v>43</v>
      </c>
      <c r="C34" s="108" t="s">
        <v>37</v>
      </c>
      <c r="D34" s="108" t="s">
        <v>44</v>
      </c>
      <c r="E34" s="108" t="s">
        <v>25</v>
      </c>
      <c r="F34" s="108" t="s">
        <v>25</v>
      </c>
      <c r="G34" s="108" t="s">
        <v>36</v>
      </c>
      <c r="H34" s="108" t="s">
        <v>71</v>
      </c>
      <c r="I34" s="108" t="s">
        <v>25</v>
      </c>
      <c r="J34" s="108">
        <v>557.21</v>
      </c>
      <c r="K34" s="108">
        <v>245.15</v>
      </c>
      <c r="L34" s="108">
        <v>22.2557998484019</v>
      </c>
      <c r="M34" s="108">
        <v>3.0361205603914301</v>
      </c>
      <c r="N34" s="108">
        <v>0</v>
      </c>
      <c r="O34" s="108">
        <v>0</v>
      </c>
      <c r="P34" s="108">
        <v>0</v>
      </c>
      <c r="Q34" s="108">
        <v>87.326728393383107</v>
      </c>
      <c r="R34" s="108">
        <v>14.2393058657201</v>
      </c>
      <c r="S34" s="108">
        <v>0</v>
      </c>
      <c r="T34" s="108">
        <v>0</v>
      </c>
      <c r="U34" s="108">
        <v>0</v>
      </c>
      <c r="V34" s="108">
        <v>0</v>
      </c>
      <c r="W34" s="108">
        <v>0</v>
      </c>
      <c r="X34" s="108">
        <v>121.453587554506</v>
      </c>
      <c r="Y34" s="108">
        <v>0</v>
      </c>
      <c r="Z34" s="108">
        <v>0</v>
      </c>
      <c r="AA34" s="108">
        <v>262.20178092106602</v>
      </c>
      <c r="AB34" s="108">
        <v>0</v>
      </c>
      <c r="AC34" s="108">
        <v>0</v>
      </c>
      <c r="AD34" s="108">
        <v>42.718932553792698</v>
      </c>
      <c r="AE34" s="108">
        <v>0</v>
      </c>
      <c r="AF34" s="108">
        <v>3.9745564092648298</v>
      </c>
      <c r="AG34" s="108">
        <v>0</v>
      </c>
      <c r="AH34" s="108">
        <v>0</v>
      </c>
      <c r="AI34" s="108">
        <v>0</v>
      </c>
      <c r="AJ34" s="108">
        <v>0</v>
      </c>
      <c r="AK34" s="108">
        <v>0</v>
      </c>
      <c r="AL34" s="108">
        <v>245.15495345670899</v>
      </c>
      <c r="AM34" s="108">
        <v>0</v>
      </c>
      <c r="AN34" s="108">
        <v>0</v>
      </c>
      <c r="AO34" s="108">
        <v>0</v>
      </c>
      <c r="AP34" s="108">
        <v>0</v>
      </c>
      <c r="AQ34" s="109">
        <v>0</v>
      </c>
    </row>
    <row r="35" spans="2:43" ht="12" customHeight="1" x14ac:dyDescent="0.25">
      <c r="B35" s="107" t="s">
        <v>43</v>
      </c>
      <c r="C35" s="108" t="s">
        <v>37</v>
      </c>
      <c r="D35" s="108" t="s">
        <v>44</v>
      </c>
      <c r="E35" s="108" t="s">
        <v>88</v>
      </c>
      <c r="F35" s="108" t="s">
        <v>25</v>
      </c>
      <c r="G35" s="108" t="s">
        <v>35</v>
      </c>
      <c r="H35" s="108" t="s">
        <v>71</v>
      </c>
      <c r="I35" s="108" t="s">
        <v>25</v>
      </c>
      <c r="J35" s="108">
        <v>2047.32</v>
      </c>
      <c r="K35" s="108">
        <v>239.94</v>
      </c>
      <c r="L35" s="108">
        <v>21.782272192052901</v>
      </c>
      <c r="M35" s="108">
        <v>2.9715222505958701</v>
      </c>
      <c r="N35" s="108">
        <v>0</v>
      </c>
      <c r="O35" s="108">
        <v>0</v>
      </c>
      <c r="P35" s="108">
        <v>0</v>
      </c>
      <c r="Q35" s="108">
        <v>85.468712895651507</v>
      </c>
      <c r="R35" s="108">
        <v>13.936341911130301</v>
      </c>
      <c r="S35" s="108">
        <v>0</v>
      </c>
      <c r="T35" s="108">
        <v>0</v>
      </c>
      <c r="U35" s="108">
        <v>0</v>
      </c>
      <c r="V35" s="108">
        <v>0</v>
      </c>
      <c r="W35" s="108">
        <v>0</v>
      </c>
      <c r="X35" s="108">
        <v>594.34993969044797</v>
      </c>
      <c r="Y35" s="108">
        <v>0</v>
      </c>
      <c r="Z35" s="108">
        <v>0</v>
      </c>
      <c r="AA35" s="108">
        <v>1283.1149001665401</v>
      </c>
      <c r="AB35" s="108">
        <v>0</v>
      </c>
      <c r="AC35" s="108">
        <v>0</v>
      </c>
      <c r="AD35" s="108">
        <v>41.810019095201298</v>
      </c>
      <c r="AE35" s="108">
        <v>0</v>
      </c>
      <c r="AF35" s="108">
        <v>3.8899913792804699</v>
      </c>
      <c r="AG35" s="108">
        <v>0</v>
      </c>
      <c r="AH35" s="108">
        <v>0</v>
      </c>
      <c r="AI35" s="108">
        <v>0</v>
      </c>
      <c r="AJ35" s="108">
        <v>0</v>
      </c>
      <c r="AK35" s="108">
        <v>0</v>
      </c>
      <c r="AL35" s="108">
        <v>239.938890617205</v>
      </c>
      <c r="AM35" s="108">
        <v>0</v>
      </c>
      <c r="AN35" s="108">
        <v>0</v>
      </c>
      <c r="AO35" s="108">
        <v>0</v>
      </c>
      <c r="AP35" s="108">
        <v>0</v>
      </c>
      <c r="AQ35" s="109">
        <v>0</v>
      </c>
    </row>
    <row r="36" spans="2:43" ht="12" customHeight="1" x14ac:dyDescent="0.25">
      <c r="B36" s="107" t="s">
        <v>43</v>
      </c>
      <c r="C36" s="108" t="s">
        <v>37</v>
      </c>
      <c r="D36" s="108" t="s">
        <v>44</v>
      </c>
      <c r="E36" s="108" t="s">
        <v>88</v>
      </c>
      <c r="F36" s="108" t="s">
        <v>25</v>
      </c>
      <c r="G36" s="108" t="s">
        <v>38</v>
      </c>
      <c r="H36" s="108" t="s">
        <v>71</v>
      </c>
      <c r="I36" s="108" t="s">
        <v>25</v>
      </c>
      <c r="J36" s="108">
        <v>1296.3399999999999</v>
      </c>
      <c r="K36" s="108">
        <v>239.94</v>
      </c>
      <c r="L36" s="108">
        <v>21.782272192052901</v>
      </c>
      <c r="M36" s="108">
        <v>2.9715222505958701</v>
      </c>
      <c r="N36" s="108">
        <v>0</v>
      </c>
      <c r="O36" s="108">
        <v>0</v>
      </c>
      <c r="P36" s="108">
        <v>0</v>
      </c>
      <c r="Q36" s="108">
        <v>85.468712895651507</v>
      </c>
      <c r="R36" s="108">
        <v>13.936341911130301</v>
      </c>
      <c r="S36" s="108">
        <v>0</v>
      </c>
      <c r="T36" s="108">
        <v>0</v>
      </c>
      <c r="U36" s="108">
        <v>0</v>
      </c>
      <c r="V36" s="108">
        <v>0</v>
      </c>
      <c r="W36" s="108">
        <v>0</v>
      </c>
      <c r="X36" s="108">
        <v>356.60970418040802</v>
      </c>
      <c r="Y36" s="108">
        <v>0</v>
      </c>
      <c r="Z36" s="108">
        <v>0</v>
      </c>
      <c r="AA36" s="108">
        <v>769.86905887462001</v>
      </c>
      <c r="AB36" s="108">
        <v>0</v>
      </c>
      <c r="AC36" s="108">
        <v>0</v>
      </c>
      <c r="AD36" s="108">
        <v>41.810019095201298</v>
      </c>
      <c r="AE36" s="108">
        <v>0</v>
      </c>
      <c r="AF36" s="108">
        <v>3.8899913792804699</v>
      </c>
      <c r="AG36" s="108">
        <v>0</v>
      </c>
      <c r="AH36" s="108">
        <v>0</v>
      </c>
      <c r="AI36" s="108">
        <v>0</v>
      </c>
      <c r="AJ36" s="108">
        <v>0</v>
      </c>
      <c r="AK36" s="108">
        <v>0</v>
      </c>
      <c r="AL36" s="108">
        <v>239.938890617205</v>
      </c>
      <c r="AM36" s="108">
        <v>0</v>
      </c>
      <c r="AN36" s="108">
        <v>0</v>
      </c>
      <c r="AO36" s="108">
        <v>0</v>
      </c>
      <c r="AP36" s="108">
        <v>0</v>
      </c>
      <c r="AQ36" s="109">
        <v>0</v>
      </c>
    </row>
    <row r="37" spans="2:43" ht="12" customHeight="1" x14ac:dyDescent="0.25">
      <c r="B37" s="107" t="s">
        <v>43</v>
      </c>
      <c r="C37" s="108" t="s">
        <v>37</v>
      </c>
      <c r="D37" s="108" t="s">
        <v>44</v>
      </c>
      <c r="E37" s="108" t="s">
        <v>88</v>
      </c>
      <c r="F37" s="108" t="s">
        <v>25</v>
      </c>
      <c r="G37" s="108" t="s">
        <v>36</v>
      </c>
      <c r="H37" s="108" t="s">
        <v>71</v>
      </c>
      <c r="I37" s="108" t="s">
        <v>25</v>
      </c>
      <c r="J37" s="108">
        <v>545.35</v>
      </c>
      <c r="K37" s="108">
        <v>239.94</v>
      </c>
      <c r="L37" s="108">
        <v>21.782272192052901</v>
      </c>
      <c r="M37" s="108">
        <v>2.9715222505958701</v>
      </c>
      <c r="N37" s="108">
        <v>0</v>
      </c>
      <c r="O37" s="108">
        <v>0</v>
      </c>
      <c r="P37" s="108">
        <v>0</v>
      </c>
      <c r="Q37" s="108">
        <v>85.468712895651507</v>
      </c>
      <c r="R37" s="108">
        <v>13.936341911130301</v>
      </c>
      <c r="S37" s="108">
        <v>0</v>
      </c>
      <c r="T37" s="108">
        <v>0</v>
      </c>
      <c r="U37" s="108">
        <v>0</v>
      </c>
      <c r="V37" s="108">
        <v>0</v>
      </c>
      <c r="W37" s="108">
        <v>0</v>
      </c>
      <c r="X37" s="108">
        <v>118.86946867036799</v>
      </c>
      <c r="Y37" s="108">
        <v>0</v>
      </c>
      <c r="Z37" s="108">
        <v>0</v>
      </c>
      <c r="AA37" s="108">
        <v>256.62301962487402</v>
      </c>
      <c r="AB37" s="108">
        <v>0</v>
      </c>
      <c r="AC37" s="108">
        <v>0</v>
      </c>
      <c r="AD37" s="108">
        <v>41.810019095201298</v>
      </c>
      <c r="AE37" s="108">
        <v>0</v>
      </c>
      <c r="AF37" s="108">
        <v>3.8899913792804699</v>
      </c>
      <c r="AG37" s="108">
        <v>0</v>
      </c>
      <c r="AH37" s="108">
        <v>0</v>
      </c>
      <c r="AI37" s="108">
        <v>0</v>
      </c>
      <c r="AJ37" s="108">
        <v>0</v>
      </c>
      <c r="AK37" s="108">
        <v>0</v>
      </c>
      <c r="AL37" s="108">
        <v>239.938890617205</v>
      </c>
      <c r="AM37" s="108">
        <v>0</v>
      </c>
      <c r="AN37" s="108">
        <v>0</v>
      </c>
      <c r="AO37" s="108">
        <v>0</v>
      </c>
      <c r="AP37" s="108">
        <v>0</v>
      </c>
      <c r="AQ37" s="109">
        <v>0</v>
      </c>
    </row>
    <row r="38" spans="2:43" ht="12" customHeight="1" x14ac:dyDescent="0.25">
      <c r="B38" s="107" t="s">
        <v>43</v>
      </c>
      <c r="C38" s="108" t="s">
        <v>23</v>
      </c>
      <c r="D38" s="108" t="s">
        <v>44</v>
      </c>
      <c r="E38" s="108" t="s">
        <v>87</v>
      </c>
      <c r="F38" s="108" t="s">
        <v>25</v>
      </c>
      <c r="G38" s="108" t="s">
        <v>25</v>
      </c>
      <c r="H38" s="108" t="s">
        <v>71</v>
      </c>
      <c r="I38" s="108" t="s">
        <v>25</v>
      </c>
      <c r="J38" s="108">
        <v>911.35</v>
      </c>
      <c r="K38" s="108">
        <v>245.15</v>
      </c>
      <c r="L38" s="108">
        <v>22.2557998484019</v>
      </c>
      <c r="M38" s="108">
        <v>3.0361205603914301</v>
      </c>
      <c r="N38" s="108">
        <v>0</v>
      </c>
      <c r="O38" s="108">
        <v>0</v>
      </c>
      <c r="P38" s="108">
        <v>0</v>
      </c>
      <c r="Q38" s="108">
        <v>87.326728393383107</v>
      </c>
      <c r="R38" s="108">
        <v>14.2393058657201</v>
      </c>
      <c r="S38" s="108">
        <v>0</v>
      </c>
      <c r="T38" s="108">
        <v>0</v>
      </c>
      <c r="U38" s="108">
        <v>0</v>
      </c>
      <c r="V38" s="108">
        <v>0</v>
      </c>
      <c r="W38" s="108">
        <v>0</v>
      </c>
      <c r="X38" s="108">
        <v>233.565407691205</v>
      </c>
      <c r="Y38" s="108">
        <v>0</v>
      </c>
      <c r="Z38" s="108">
        <v>0</v>
      </c>
      <c r="AA38" s="108">
        <v>504.23427187176401</v>
      </c>
      <c r="AB38" s="108">
        <v>0</v>
      </c>
      <c r="AC38" s="108">
        <v>0</v>
      </c>
      <c r="AD38" s="108">
        <v>42.718932553792698</v>
      </c>
      <c r="AE38" s="108">
        <v>0</v>
      </c>
      <c r="AF38" s="108">
        <v>3.9745564092648298</v>
      </c>
      <c r="AG38" s="108">
        <v>0</v>
      </c>
      <c r="AH38" s="108">
        <v>0</v>
      </c>
      <c r="AI38" s="108">
        <v>0</v>
      </c>
      <c r="AJ38" s="108">
        <v>0</v>
      </c>
      <c r="AK38" s="108">
        <v>0</v>
      </c>
      <c r="AL38" s="108">
        <v>245.15495345670899</v>
      </c>
      <c r="AM38" s="108">
        <v>0</v>
      </c>
      <c r="AN38" s="108">
        <v>0</v>
      </c>
      <c r="AO38" s="108">
        <v>0</v>
      </c>
      <c r="AP38" s="108">
        <v>0</v>
      </c>
      <c r="AQ38" s="109">
        <v>0</v>
      </c>
    </row>
    <row r="39" spans="2:43" ht="12" customHeight="1" x14ac:dyDescent="0.25">
      <c r="B39" s="107" t="s">
        <v>43</v>
      </c>
      <c r="C39" s="108" t="s">
        <v>23</v>
      </c>
      <c r="D39" s="108" t="s">
        <v>44</v>
      </c>
      <c r="E39" s="108" t="s">
        <v>25</v>
      </c>
      <c r="F39" s="108" t="s">
        <v>25</v>
      </c>
      <c r="G39" s="108" t="s">
        <v>25</v>
      </c>
      <c r="H39" s="108" t="s">
        <v>71</v>
      </c>
      <c r="I39" s="108" t="s">
        <v>25</v>
      </c>
      <c r="J39" s="108">
        <v>911.35</v>
      </c>
      <c r="K39" s="108">
        <v>245.15</v>
      </c>
      <c r="L39" s="108">
        <v>22.2557998484019</v>
      </c>
      <c r="M39" s="108">
        <v>3.0361205603914301</v>
      </c>
      <c r="N39" s="108">
        <v>0</v>
      </c>
      <c r="O39" s="108">
        <v>0</v>
      </c>
      <c r="P39" s="108">
        <v>0</v>
      </c>
      <c r="Q39" s="108">
        <v>87.326728393383107</v>
      </c>
      <c r="R39" s="108">
        <v>14.2393058657201</v>
      </c>
      <c r="S39" s="108">
        <v>0</v>
      </c>
      <c r="T39" s="108">
        <v>0</v>
      </c>
      <c r="U39" s="108">
        <v>0</v>
      </c>
      <c r="V39" s="108">
        <v>0</v>
      </c>
      <c r="W39" s="108">
        <v>0</v>
      </c>
      <c r="X39" s="108">
        <v>233.565407691205</v>
      </c>
      <c r="Y39" s="108">
        <v>0</v>
      </c>
      <c r="Z39" s="108">
        <v>0</v>
      </c>
      <c r="AA39" s="108">
        <v>504.23427187176401</v>
      </c>
      <c r="AB39" s="108">
        <v>0</v>
      </c>
      <c r="AC39" s="108">
        <v>0</v>
      </c>
      <c r="AD39" s="108">
        <v>42.718932553792698</v>
      </c>
      <c r="AE39" s="108">
        <v>0</v>
      </c>
      <c r="AF39" s="108">
        <v>3.9745564092648298</v>
      </c>
      <c r="AG39" s="108">
        <v>0</v>
      </c>
      <c r="AH39" s="108">
        <v>0</v>
      </c>
      <c r="AI39" s="108">
        <v>0</v>
      </c>
      <c r="AJ39" s="108">
        <v>0</v>
      </c>
      <c r="AK39" s="108">
        <v>0</v>
      </c>
      <c r="AL39" s="108">
        <v>245.15495345670899</v>
      </c>
      <c r="AM39" s="108">
        <v>0</v>
      </c>
      <c r="AN39" s="108">
        <v>0</v>
      </c>
      <c r="AO39" s="108">
        <v>0</v>
      </c>
      <c r="AP39" s="108">
        <v>0</v>
      </c>
      <c r="AQ39" s="109">
        <v>0</v>
      </c>
    </row>
    <row r="40" spans="2:43" ht="12" customHeight="1" x14ac:dyDescent="0.25">
      <c r="B40" s="107" t="s">
        <v>43</v>
      </c>
      <c r="C40" s="108" t="s">
        <v>23</v>
      </c>
      <c r="D40" s="108" t="s">
        <v>44</v>
      </c>
      <c r="E40" s="108" t="s">
        <v>88</v>
      </c>
      <c r="F40" s="108" t="s">
        <v>25</v>
      </c>
      <c r="G40" s="108" t="s">
        <v>25</v>
      </c>
      <c r="H40" s="108" t="s">
        <v>71</v>
      </c>
      <c r="I40" s="108" t="s">
        <v>25</v>
      </c>
      <c r="J40" s="108">
        <v>891.96</v>
      </c>
      <c r="K40" s="108">
        <v>239.94</v>
      </c>
      <c r="L40" s="108">
        <v>21.782272192052901</v>
      </c>
      <c r="M40" s="108">
        <v>2.9715222505958701</v>
      </c>
      <c r="N40" s="108">
        <v>0</v>
      </c>
      <c r="O40" s="108">
        <v>0</v>
      </c>
      <c r="P40" s="108">
        <v>0</v>
      </c>
      <c r="Q40" s="108">
        <v>85.468712895651507</v>
      </c>
      <c r="R40" s="108">
        <v>13.936341911130301</v>
      </c>
      <c r="S40" s="108">
        <v>0</v>
      </c>
      <c r="T40" s="108">
        <v>0</v>
      </c>
      <c r="U40" s="108">
        <v>0</v>
      </c>
      <c r="V40" s="108">
        <v>0</v>
      </c>
      <c r="W40" s="108">
        <v>0</v>
      </c>
      <c r="X40" s="108">
        <v>228.595930931818</v>
      </c>
      <c r="Y40" s="108">
        <v>0</v>
      </c>
      <c r="Z40" s="108">
        <v>0</v>
      </c>
      <c r="AA40" s="108">
        <v>493.50588310853499</v>
      </c>
      <c r="AB40" s="108">
        <v>0</v>
      </c>
      <c r="AC40" s="108">
        <v>0</v>
      </c>
      <c r="AD40" s="108">
        <v>41.810019095201298</v>
      </c>
      <c r="AE40" s="108">
        <v>0</v>
      </c>
      <c r="AF40" s="108">
        <v>3.8899913792804699</v>
      </c>
      <c r="AG40" s="108">
        <v>0</v>
      </c>
      <c r="AH40" s="108">
        <v>0</v>
      </c>
      <c r="AI40" s="108">
        <v>0</v>
      </c>
      <c r="AJ40" s="108">
        <v>0</v>
      </c>
      <c r="AK40" s="108">
        <v>0</v>
      </c>
      <c r="AL40" s="108">
        <v>239.938890617205</v>
      </c>
      <c r="AM40" s="108">
        <v>0</v>
      </c>
      <c r="AN40" s="108">
        <v>0</v>
      </c>
      <c r="AO40" s="108">
        <v>0</v>
      </c>
      <c r="AP40" s="108">
        <v>0</v>
      </c>
      <c r="AQ40" s="109">
        <v>0</v>
      </c>
    </row>
    <row r="41" spans="2:43" ht="12" customHeight="1" x14ac:dyDescent="0.25">
      <c r="B41" s="107" t="s">
        <v>43</v>
      </c>
      <c r="C41" s="108" t="s">
        <v>86</v>
      </c>
      <c r="D41" s="108" t="s">
        <v>44</v>
      </c>
      <c r="E41" s="108" t="s">
        <v>87</v>
      </c>
      <c r="F41" s="108" t="s">
        <v>25</v>
      </c>
      <c r="G41" s="108" t="s">
        <v>25</v>
      </c>
      <c r="H41" s="108" t="s">
        <v>71</v>
      </c>
      <c r="I41" s="108" t="s">
        <v>25</v>
      </c>
      <c r="J41" s="108">
        <v>911.35</v>
      </c>
      <c r="K41" s="108">
        <v>245.15</v>
      </c>
      <c r="L41" s="108">
        <v>22.2557998484019</v>
      </c>
      <c r="M41" s="108">
        <v>3.0361205603914301</v>
      </c>
      <c r="N41" s="108">
        <v>0</v>
      </c>
      <c r="O41" s="108">
        <v>0</v>
      </c>
      <c r="P41" s="108">
        <v>0</v>
      </c>
      <c r="Q41" s="108">
        <v>87.326728393383107</v>
      </c>
      <c r="R41" s="108">
        <v>14.2393058657201</v>
      </c>
      <c r="S41" s="108">
        <v>0</v>
      </c>
      <c r="T41" s="108">
        <v>0</v>
      </c>
      <c r="U41" s="108">
        <v>0</v>
      </c>
      <c r="V41" s="108">
        <v>0</v>
      </c>
      <c r="W41" s="108">
        <v>0</v>
      </c>
      <c r="X41" s="108">
        <v>233.565407691205</v>
      </c>
      <c r="Y41" s="108">
        <v>0</v>
      </c>
      <c r="Z41" s="108">
        <v>0</v>
      </c>
      <c r="AA41" s="108">
        <v>504.23427187176401</v>
      </c>
      <c r="AB41" s="108">
        <v>0</v>
      </c>
      <c r="AC41" s="108">
        <v>0</v>
      </c>
      <c r="AD41" s="108">
        <v>42.718932553792698</v>
      </c>
      <c r="AE41" s="108">
        <v>0</v>
      </c>
      <c r="AF41" s="108">
        <v>3.9745564092648298</v>
      </c>
      <c r="AG41" s="108">
        <v>0</v>
      </c>
      <c r="AH41" s="108">
        <v>0</v>
      </c>
      <c r="AI41" s="108">
        <v>0</v>
      </c>
      <c r="AJ41" s="108">
        <v>0</v>
      </c>
      <c r="AK41" s="108">
        <v>0</v>
      </c>
      <c r="AL41" s="108">
        <v>245.15495345670899</v>
      </c>
      <c r="AM41" s="108">
        <v>0</v>
      </c>
      <c r="AN41" s="108">
        <v>0</v>
      </c>
      <c r="AO41" s="108">
        <v>0</v>
      </c>
      <c r="AP41" s="108">
        <v>0</v>
      </c>
      <c r="AQ41" s="109">
        <v>0</v>
      </c>
    </row>
    <row r="42" spans="2:43" ht="12" customHeight="1" x14ac:dyDescent="0.25">
      <c r="B42" s="107" t="s">
        <v>43</v>
      </c>
      <c r="C42" s="108" t="s">
        <v>86</v>
      </c>
      <c r="D42" s="108" t="s">
        <v>44</v>
      </c>
      <c r="E42" s="108" t="s">
        <v>25</v>
      </c>
      <c r="F42" s="108" t="s">
        <v>25</v>
      </c>
      <c r="G42" s="108" t="s">
        <v>25</v>
      </c>
      <c r="H42" s="108" t="s">
        <v>71</v>
      </c>
      <c r="I42" s="108" t="s">
        <v>25</v>
      </c>
      <c r="J42" s="108">
        <v>911.35</v>
      </c>
      <c r="K42" s="108">
        <v>245.15</v>
      </c>
      <c r="L42" s="108">
        <v>22.2557998484019</v>
      </c>
      <c r="M42" s="108">
        <v>3.0361205603914301</v>
      </c>
      <c r="N42" s="108">
        <v>0</v>
      </c>
      <c r="O42" s="108">
        <v>0</v>
      </c>
      <c r="P42" s="108">
        <v>0</v>
      </c>
      <c r="Q42" s="108">
        <v>87.326728393383107</v>
      </c>
      <c r="R42" s="108">
        <v>14.2393058657201</v>
      </c>
      <c r="S42" s="108">
        <v>0</v>
      </c>
      <c r="T42" s="108">
        <v>0</v>
      </c>
      <c r="U42" s="108">
        <v>0</v>
      </c>
      <c r="V42" s="108">
        <v>0</v>
      </c>
      <c r="W42" s="108">
        <v>0</v>
      </c>
      <c r="X42" s="108">
        <v>233.565407691205</v>
      </c>
      <c r="Y42" s="108">
        <v>0</v>
      </c>
      <c r="Z42" s="108">
        <v>0</v>
      </c>
      <c r="AA42" s="108">
        <v>504.23427187176401</v>
      </c>
      <c r="AB42" s="108">
        <v>0</v>
      </c>
      <c r="AC42" s="108">
        <v>0</v>
      </c>
      <c r="AD42" s="108">
        <v>42.718932553792698</v>
      </c>
      <c r="AE42" s="108">
        <v>0</v>
      </c>
      <c r="AF42" s="108">
        <v>3.9745564092648298</v>
      </c>
      <c r="AG42" s="108">
        <v>0</v>
      </c>
      <c r="AH42" s="108">
        <v>0</v>
      </c>
      <c r="AI42" s="108">
        <v>0</v>
      </c>
      <c r="AJ42" s="108">
        <v>0</v>
      </c>
      <c r="AK42" s="108">
        <v>0</v>
      </c>
      <c r="AL42" s="108">
        <v>245.15495345670899</v>
      </c>
      <c r="AM42" s="108">
        <v>0</v>
      </c>
      <c r="AN42" s="108">
        <v>0</v>
      </c>
      <c r="AO42" s="108">
        <v>0</v>
      </c>
      <c r="AP42" s="108">
        <v>0</v>
      </c>
      <c r="AQ42" s="109">
        <v>0</v>
      </c>
    </row>
    <row r="43" spans="2:43" ht="12" customHeight="1" x14ac:dyDescent="0.25">
      <c r="B43" s="107" t="s">
        <v>43</v>
      </c>
      <c r="C43" s="108" t="s">
        <v>86</v>
      </c>
      <c r="D43" s="108" t="s">
        <v>44</v>
      </c>
      <c r="E43" s="108" t="s">
        <v>88</v>
      </c>
      <c r="F43" s="108" t="s">
        <v>25</v>
      </c>
      <c r="G43" s="108" t="s">
        <v>25</v>
      </c>
      <c r="H43" s="108" t="s">
        <v>71</v>
      </c>
      <c r="I43" s="108" t="s">
        <v>25</v>
      </c>
      <c r="J43" s="108">
        <v>891.96</v>
      </c>
      <c r="K43" s="108">
        <v>239.94</v>
      </c>
      <c r="L43" s="108">
        <v>21.782272192052901</v>
      </c>
      <c r="M43" s="108">
        <v>2.9715222505958701</v>
      </c>
      <c r="N43" s="108">
        <v>0</v>
      </c>
      <c r="O43" s="108">
        <v>0</v>
      </c>
      <c r="P43" s="108">
        <v>0</v>
      </c>
      <c r="Q43" s="108">
        <v>85.468712895651507</v>
      </c>
      <c r="R43" s="108">
        <v>13.936341911130301</v>
      </c>
      <c r="S43" s="108">
        <v>0</v>
      </c>
      <c r="T43" s="108">
        <v>0</v>
      </c>
      <c r="U43" s="108">
        <v>0</v>
      </c>
      <c r="V43" s="108">
        <v>0</v>
      </c>
      <c r="W43" s="108">
        <v>0</v>
      </c>
      <c r="X43" s="108">
        <v>228.595930931818</v>
      </c>
      <c r="Y43" s="108">
        <v>0</v>
      </c>
      <c r="Z43" s="108">
        <v>0</v>
      </c>
      <c r="AA43" s="108">
        <v>493.50588310853499</v>
      </c>
      <c r="AB43" s="108">
        <v>0</v>
      </c>
      <c r="AC43" s="108">
        <v>0</v>
      </c>
      <c r="AD43" s="108">
        <v>41.810019095201298</v>
      </c>
      <c r="AE43" s="108">
        <v>0</v>
      </c>
      <c r="AF43" s="108">
        <v>3.8899913792804699</v>
      </c>
      <c r="AG43" s="108">
        <v>0</v>
      </c>
      <c r="AH43" s="108">
        <v>0</v>
      </c>
      <c r="AI43" s="108">
        <v>0</v>
      </c>
      <c r="AJ43" s="108">
        <v>0</v>
      </c>
      <c r="AK43" s="108">
        <v>0</v>
      </c>
      <c r="AL43" s="108">
        <v>239.938890617205</v>
      </c>
      <c r="AM43" s="108">
        <v>0</v>
      </c>
      <c r="AN43" s="108">
        <v>0</v>
      </c>
      <c r="AO43" s="108">
        <v>0</v>
      </c>
      <c r="AP43" s="108">
        <v>0</v>
      </c>
      <c r="AQ43" s="109">
        <v>0</v>
      </c>
    </row>
    <row r="44" spans="2:43" ht="12" customHeight="1" x14ac:dyDescent="0.25">
      <c r="B44" s="107" t="s">
        <v>39</v>
      </c>
      <c r="C44" s="108" t="s">
        <v>37</v>
      </c>
      <c r="D44" s="108" t="s">
        <v>25</v>
      </c>
      <c r="E44" s="108" t="s">
        <v>25</v>
      </c>
      <c r="F44" s="108" t="s">
        <v>25</v>
      </c>
      <c r="G44" s="108" t="s">
        <v>35</v>
      </c>
      <c r="H44" s="108" t="s">
        <v>71</v>
      </c>
      <c r="I44" s="108" t="s">
        <v>25</v>
      </c>
      <c r="J44" s="108">
        <v>2578.5500000000002</v>
      </c>
      <c r="K44" s="108">
        <v>260.8</v>
      </c>
      <c r="L44" s="108">
        <v>23.6763828174488</v>
      </c>
      <c r="M44" s="108">
        <v>3.2299154897781199</v>
      </c>
      <c r="N44" s="108">
        <v>0</v>
      </c>
      <c r="O44" s="108">
        <v>0</v>
      </c>
      <c r="P44" s="108">
        <v>0</v>
      </c>
      <c r="Q44" s="108">
        <v>92.900774886577693</v>
      </c>
      <c r="R44" s="108">
        <v>15.1481977294894</v>
      </c>
      <c r="S44" s="108">
        <v>0</v>
      </c>
      <c r="T44" s="108">
        <v>0</v>
      </c>
      <c r="U44" s="108">
        <v>0</v>
      </c>
      <c r="V44" s="108">
        <v>0</v>
      </c>
      <c r="W44" s="108">
        <v>0</v>
      </c>
      <c r="X44" s="108">
        <v>757.84584078068599</v>
      </c>
      <c r="Y44" s="108">
        <v>0</v>
      </c>
      <c r="Z44" s="108">
        <v>0</v>
      </c>
      <c r="AA44" s="108">
        <v>1636.0785870848999</v>
      </c>
      <c r="AB44" s="108">
        <v>0</v>
      </c>
      <c r="AC44" s="108">
        <v>0</v>
      </c>
      <c r="AD44" s="108">
        <v>45.445672929566697</v>
      </c>
      <c r="AE44" s="108">
        <v>0</v>
      </c>
      <c r="AF44" s="108">
        <v>4.2282514992179099</v>
      </c>
      <c r="AG44" s="108">
        <v>0</v>
      </c>
      <c r="AH44" s="108">
        <v>0</v>
      </c>
      <c r="AI44" s="108">
        <v>0</v>
      </c>
      <c r="AJ44" s="108">
        <v>0</v>
      </c>
      <c r="AK44" s="108">
        <v>0</v>
      </c>
      <c r="AL44" s="108">
        <v>260.80314197522301</v>
      </c>
      <c r="AM44" s="108">
        <v>0</v>
      </c>
      <c r="AN44" s="108">
        <v>0</v>
      </c>
      <c r="AO44" s="108">
        <v>0</v>
      </c>
      <c r="AP44" s="108">
        <v>0</v>
      </c>
      <c r="AQ44" s="109">
        <v>0</v>
      </c>
    </row>
    <row r="45" spans="2:43" ht="12" customHeight="1" x14ac:dyDescent="0.25">
      <c r="B45" s="107" t="s">
        <v>39</v>
      </c>
      <c r="C45" s="108" t="s">
        <v>37</v>
      </c>
      <c r="D45" s="108" t="s">
        <v>25</v>
      </c>
      <c r="E45" s="108" t="s">
        <v>25</v>
      </c>
      <c r="F45" s="108" t="s">
        <v>25</v>
      </c>
      <c r="G45" s="108" t="s">
        <v>38</v>
      </c>
      <c r="H45" s="108" t="s">
        <v>71</v>
      </c>
      <c r="I45" s="108" t="s">
        <v>25</v>
      </c>
      <c r="J45" s="108">
        <v>1620.98</v>
      </c>
      <c r="K45" s="108">
        <v>260.8</v>
      </c>
      <c r="L45" s="108">
        <v>23.6763828174488</v>
      </c>
      <c r="M45" s="108">
        <v>3.2299154897781199</v>
      </c>
      <c r="N45" s="108">
        <v>0</v>
      </c>
      <c r="O45" s="108">
        <v>0</v>
      </c>
      <c r="P45" s="108">
        <v>0</v>
      </c>
      <c r="Q45" s="108">
        <v>92.900774886577693</v>
      </c>
      <c r="R45" s="108">
        <v>15.1481977294894</v>
      </c>
      <c r="S45" s="108">
        <v>0</v>
      </c>
      <c r="T45" s="108">
        <v>0</v>
      </c>
      <c r="U45" s="108">
        <v>0</v>
      </c>
      <c r="V45" s="108">
        <v>0</v>
      </c>
      <c r="W45" s="108">
        <v>0</v>
      </c>
      <c r="X45" s="108">
        <v>454.70778667912998</v>
      </c>
      <c r="Y45" s="108">
        <v>0</v>
      </c>
      <c r="Z45" s="108">
        <v>0</v>
      </c>
      <c r="AA45" s="108">
        <v>981.64723831955803</v>
      </c>
      <c r="AB45" s="108">
        <v>0</v>
      </c>
      <c r="AC45" s="108">
        <v>0</v>
      </c>
      <c r="AD45" s="108">
        <v>45.445672929566697</v>
      </c>
      <c r="AE45" s="108">
        <v>0</v>
      </c>
      <c r="AF45" s="108">
        <v>4.2282514992179099</v>
      </c>
      <c r="AG45" s="108">
        <v>0</v>
      </c>
      <c r="AH45" s="108">
        <v>0</v>
      </c>
      <c r="AI45" s="108">
        <v>0</v>
      </c>
      <c r="AJ45" s="108">
        <v>0</v>
      </c>
      <c r="AK45" s="108">
        <v>0</v>
      </c>
      <c r="AL45" s="108">
        <v>260.80314197522301</v>
      </c>
      <c r="AM45" s="108">
        <v>0</v>
      </c>
      <c r="AN45" s="108">
        <v>0</v>
      </c>
      <c r="AO45" s="108">
        <v>0</v>
      </c>
      <c r="AP45" s="108">
        <v>0</v>
      </c>
      <c r="AQ45" s="109">
        <v>0</v>
      </c>
    </row>
    <row r="46" spans="2:43" ht="12" customHeight="1" x14ac:dyDescent="0.25">
      <c r="B46" s="107" t="s">
        <v>39</v>
      </c>
      <c r="C46" s="108" t="s">
        <v>37</v>
      </c>
      <c r="D46" s="108" t="s">
        <v>25</v>
      </c>
      <c r="E46" s="108" t="s">
        <v>25</v>
      </c>
      <c r="F46" s="108" t="s">
        <v>25</v>
      </c>
      <c r="G46" s="108" t="s">
        <v>36</v>
      </c>
      <c r="H46" s="108" t="s">
        <v>71</v>
      </c>
      <c r="I46" s="108" t="s">
        <v>25</v>
      </c>
      <c r="J46" s="108">
        <v>663.41</v>
      </c>
      <c r="K46" s="108">
        <v>260.8</v>
      </c>
      <c r="L46" s="108">
        <v>23.6763828174488</v>
      </c>
      <c r="M46" s="108">
        <v>3.2299154897781199</v>
      </c>
      <c r="N46" s="108">
        <v>0</v>
      </c>
      <c r="O46" s="108">
        <v>0</v>
      </c>
      <c r="P46" s="108">
        <v>0</v>
      </c>
      <c r="Q46" s="108">
        <v>92.900774886577693</v>
      </c>
      <c r="R46" s="108">
        <v>15.1481977294894</v>
      </c>
      <c r="S46" s="108">
        <v>0</v>
      </c>
      <c r="T46" s="108">
        <v>0</v>
      </c>
      <c r="U46" s="108">
        <v>0</v>
      </c>
      <c r="V46" s="108">
        <v>0</v>
      </c>
      <c r="W46" s="108">
        <v>0</v>
      </c>
      <c r="X46" s="108">
        <v>151.569732577574</v>
      </c>
      <c r="Y46" s="108">
        <v>0</v>
      </c>
      <c r="Z46" s="108">
        <v>0</v>
      </c>
      <c r="AA46" s="108">
        <v>327.21567438266999</v>
      </c>
      <c r="AB46" s="108">
        <v>0</v>
      </c>
      <c r="AC46" s="108">
        <v>0</v>
      </c>
      <c r="AD46" s="108">
        <v>45.445672929566697</v>
      </c>
      <c r="AE46" s="108">
        <v>0</v>
      </c>
      <c r="AF46" s="108">
        <v>4.2282514992179099</v>
      </c>
      <c r="AG46" s="108">
        <v>0</v>
      </c>
      <c r="AH46" s="108">
        <v>0</v>
      </c>
      <c r="AI46" s="108">
        <v>0</v>
      </c>
      <c r="AJ46" s="108">
        <v>0</v>
      </c>
      <c r="AK46" s="108">
        <v>0</v>
      </c>
      <c r="AL46" s="108">
        <v>260.80314197522301</v>
      </c>
      <c r="AM46" s="108">
        <v>0</v>
      </c>
      <c r="AN46" s="108">
        <v>0</v>
      </c>
      <c r="AO46" s="108">
        <v>0</v>
      </c>
      <c r="AP46" s="108">
        <v>0</v>
      </c>
      <c r="AQ46" s="109">
        <v>0</v>
      </c>
    </row>
    <row r="47" spans="2:43" ht="12" customHeight="1" x14ac:dyDescent="0.25">
      <c r="B47" s="107" t="s">
        <v>39</v>
      </c>
      <c r="C47" s="108" t="s">
        <v>23</v>
      </c>
      <c r="D47" s="108" t="s">
        <v>25</v>
      </c>
      <c r="E47" s="108" t="s">
        <v>25</v>
      </c>
      <c r="F47" s="108" t="s">
        <v>25</v>
      </c>
      <c r="G47" s="108" t="s">
        <v>25</v>
      </c>
      <c r="H47" s="108" t="s">
        <v>71</v>
      </c>
      <c r="I47" s="108" t="s">
        <v>25</v>
      </c>
      <c r="J47" s="108">
        <v>969.52</v>
      </c>
      <c r="K47" s="108">
        <v>260.8</v>
      </c>
      <c r="L47" s="108">
        <v>23.6763828174488</v>
      </c>
      <c r="M47" s="108">
        <v>3.2299154897781199</v>
      </c>
      <c r="N47" s="108">
        <v>0</v>
      </c>
      <c r="O47" s="108">
        <v>0</v>
      </c>
      <c r="P47" s="108">
        <v>0</v>
      </c>
      <c r="Q47" s="108">
        <v>92.900774886577693</v>
      </c>
      <c r="R47" s="108">
        <v>15.1481977294894</v>
      </c>
      <c r="S47" s="108">
        <v>0</v>
      </c>
      <c r="T47" s="108">
        <v>0</v>
      </c>
      <c r="U47" s="108">
        <v>0</v>
      </c>
      <c r="V47" s="108">
        <v>0</v>
      </c>
      <c r="W47" s="108">
        <v>0</v>
      </c>
      <c r="X47" s="108">
        <v>248.473837969367</v>
      </c>
      <c r="Y47" s="108">
        <v>0</v>
      </c>
      <c r="Z47" s="108">
        <v>0</v>
      </c>
      <c r="AA47" s="108">
        <v>536.41943816145101</v>
      </c>
      <c r="AB47" s="108">
        <v>0</v>
      </c>
      <c r="AC47" s="108">
        <v>0</v>
      </c>
      <c r="AD47" s="108">
        <v>45.445672929566697</v>
      </c>
      <c r="AE47" s="108">
        <v>0</v>
      </c>
      <c r="AF47" s="108">
        <v>4.2282514992179099</v>
      </c>
      <c r="AG47" s="108">
        <v>0</v>
      </c>
      <c r="AH47" s="108">
        <v>0</v>
      </c>
      <c r="AI47" s="108">
        <v>0</v>
      </c>
      <c r="AJ47" s="108">
        <v>0</v>
      </c>
      <c r="AK47" s="108">
        <v>0</v>
      </c>
      <c r="AL47" s="108">
        <v>260.80314197522301</v>
      </c>
      <c r="AM47" s="108">
        <v>0</v>
      </c>
      <c r="AN47" s="108">
        <v>0</v>
      </c>
      <c r="AO47" s="108">
        <v>0</v>
      </c>
      <c r="AP47" s="108">
        <v>0</v>
      </c>
      <c r="AQ47" s="109">
        <v>0</v>
      </c>
    </row>
    <row r="48" spans="2:43" ht="12" customHeight="1" x14ac:dyDescent="0.25">
      <c r="B48" s="107" t="s">
        <v>39</v>
      </c>
      <c r="C48" s="108" t="s">
        <v>86</v>
      </c>
      <c r="D48" s="108" t="s">
        <v>25</v>
      </c>
      <c r="E48" s="108" t="s">
        <v>25</v>
      </c>
      <c r="F48" s="108" t="s">
        <v>25</v>
      </c>
      <c r="G48" s="108" t="s">
        <v>25</v>
      </c>
      <c r="H48" s="108" t="s">
        <v>71</v>
      </c>
      <c r="I48" s="108" t="s">
        <v>25</v>
      </c>
      <c r="J48" s="108">
        <v>969.52</v>
      </c>
      <c r="K48" s="108">
        <v>260.8</v>
      </c>
      <c r="L48" s="108">
        <v>23.6763828174488</v>
      </c>
      <c r="M48" s="108">
        <v>3.2299154897781199</v>
      </c>
      <c r="N48" s="108">
        <v>0</v>
      </c>
      <c r="O48" s="108">
        <v>0</v>
      </c>
      <c r="P48" s="108">
        <v>0</v>
      </c>
      <c r="Q48" s="108">
        <v>92.900774886577693</v>
      </c>
      <c r="R48" s="108">
        <v>15.1481977294894</v>
      </c>
      <c r="S48" s="108">
        <v>0</v>
      </c>
      <c r="T48" s="108">
        <v>0</v>
      </c>
      <c r="U48" s="108">
        <v>0</v>
      </c>
      <c r="V48" s="108">
        <v>0</v>
      </c>
      <c r="W48" s="108">
        <v>0</v>
      </c>
      <c r="X48" s="108">
        <v>248.473837969367</v>
      </c>
      <c r="Y48" s="108">
        <v>0</v>
      </c>
      <c r="Z48" s="108">
        <v>0</v>
      </c>
      <c r="AA48" s="108">
        <v>536.41943816145101</v>
      </c>
      <c r="AB48" s="108">
        <v>0</v>
      </c>
      <c r="AC48" s="108">
        <v>0</v>
      </c>
      <c r="AD48" s="108">
        <v>45.445672929566697</v>
      </c>
      <c r="AE48" s="108">
        <v>0</v>
      </c>
      <c r="AF48" s="108">
        <v>4.2282514992179099</v>
      </c>
      <c r="AG48" s="108">
        <v>0</v>
      </c>
      <c r="AH48" s="108">
        <v>0</v>
      </c>
      <c r="AI48" s="108">
        <v>0</v>
      </c>
      <c r="AJ48" s="108">
        <v>0</v>
      </c>
      <c r="AK48" s="108">
        <v>0</v>
      </c>
      <c r="AL48" s="108">
        <v>260.80314197522301</v>
      </c>
      <c r="AM48" s="108">
        <v>0</v>
      </c>
      <c r="AN48" s="108">
        <v>0</v>
      </c>
      <c r="AO48" s="108">
        <v>0</v>
      </c>
      <c r="AP48" s="108">
        <v>0</v>
      </c>
      <c r="AQ48" s="109">
        <v>0</v>
      </c>
    </row>
    <row r="49" spans="2:43" ht="12" customHeight="1" x14ac:dyDescent="0.25">
      <c r="B49" s="107" t="s">
        <v>46</v>
      </c>
      <c r="C49" s="108" t="s">
        <v>23</v>
      </c>
      <c r="D49" s="108" t="s">
        <v>47</v>
      </c>
      <c r="E49" s="108" t="s">
        <v>48</v>
      </c>
      <c r="F49" s="108" t="s">
        <v>25</v>
      </c>
      <c r="G49" s="108" t="s">
        <v>25</v>
      </c>
      <c r="H49" s="108" t="s">
        <v>71</v>
      </c>
      <c r="I49" s="108" t="s">
        <v>25</v>
      </c>
      <c r="J49" s="108">
        <v>533.24</v>
      </c>
      <c r="K49" s="108">
        <v>143.44</v>
      </c>
      <c r="L49" s="108">
        <v>13.022010549596899</v>
      </c>
      <c r="M49" s="108">
        <v>1.77645351937797</v>
      </c>
      <c r="N49" s="108">
        <v>0</v>
      </c>
      <c r="O49" s="108">
        <v>0</v>
      </c>
      <c r="P49" s="108">
        <v>0</v>
      </c>
      <c r="Q49" s="108">
        <v>51.095426187617797</v>
      </c>
      <c r="R49" s="108">
        <v>8.3315087512191894</v>
      </c>
      <c r="S49" s="108">
        <v>0</v>
      </c>
      <c r="T49" s="108">
        <v>0</v>
      </c>
      <c r="U49" s="108">
        <v>0</v>
      </c>
      <c r="V49" s="108">
        <v>0</v>
      </c>
      <c r="W49" s="108">
        <v>0</v>
      </c>
      <c r="X49" s="108">
        <v>136.660610883152</v>
      </c>
      <c r="Y49" s="108">
        <v>0</v>
      </c>
      <c r="Z49" s="108">
        <v>0</v>
      </c>
      <c r="AA49" s="108">
        <v>295.03069098879803</v>
      </c>
      <c r="AB49" s="108">
        <v>0</v>
      </c>
      <c r="AC49" s="108">
        <v>0</v>
      </c>
      <c r="AD49" s="108">
        <v>24.995120111261699</v>
      </c>
      <c r="AE49" s="108">
        <v>0</v>
      </c>
      <c r="AF49" s="108">
        <v>2.32553832456985</v>
      </c>
      <c r="AG49" s="108">
        <v>0</v>
      </c>
      <c r="AH49" s="108">
        <v>0</v>
      </c>
      <c r="AI49" s="108">
        <v>0</v>
      </c>
      <c r="AJ49" s="108">
        <v>0</v>
      </c>
      <c r="AK49" s="108">
        <v>0</v>
      </c>
      <c r="AL49" s="108">
        <v>143.44172808637299</v>
      </c>
      <c r="AM49" s="108">
        <v>0</v>
      </c>
      <c r="AN49" s="108">
        <v>0</v>
      </c>
      <c r="AO49" s="108">
        <v>0</v>
      </c>
      <c r="AP49" s="108">
        <v>0</v>
      </c>
      <c r="AQ49" s="109">
        <v>0</v>
      </c>
    </row>
    <row r="50" spans="2:43" ht="12" customHeight="1" x14ac:dyDescent="0.25">
      <c r="B50" s="110" t="s">
        <v>46</v>
      </c>
      <c r="C50" s="111" t="s">
        <v>23</v>
      </c>
      <c r="D50" s="111" t="s">
        <v>47</v>
      </c>
      <c r="E50" s="111" t="s">
        <v>89</v>
      </c>
      <c r="F50" s="111" t="s">
        <v>25</v>
      </c>
      <c r="G50" s="111" t="s">
        <v>25</v>
      </c>
      <c r="H50" s="111" t="s">
        <v>71</v>
      </c>
      <c r="I50" s="111" t="s">
        <v>25</v>
      </c>
      <c r="J50" s="111">
        <v>581.71</v>
      </c>
      <c r="K50" s="111">
        <v>156.47999999999999</v>
      </c>
      <c r="L50" s="111">
        <v>14.205829690469301</v>
      </c>
      <c r="M50" s="111">
        <v>1.9379492938668701</v>
      </c>
      <c r="N50" s="111">
        <v>0</v>
      </c>
      <c r="O50" s="111">
        <v>0</v>
      </c>
      <c r="P50" s="111">
        <v>0</v>
      </c>
      <c r="Q50" s="111">
        <v>55.740464931946597</v>
      </c>
      <c r="R50" s="111">
        <v>9.0889186376936593</v>
      </c>
      <c r="S50" s="111">
        <v>0</v>
      </c>
      <c r="T50" s="111">
        <v>0</v>
      </c>
      <c r="U50" s="111">
        <v>0</v>
      </c>
      <c r="V50" s="111">
        <v>0</v>
      </c>
      <c r="W50" s="111">
        <v>0</v>
      </c>
      <c r="X50" s="111">
        <v>149.08430278162001</v>
      </c>
      <c r="Y50" s="111">
        <v>0</v>
      </c>
      <c r="Z50" s="111">
        <v>0</v>
      </c>
      <c r="AA50" s="111">
        <v>321.85166289686998</v>
      </c>
      <c r="AB50" s="111">
        <v>0</v>
      </c>
      <c r="AC50" s="111">
        <v>0</v>
      </c>
      <c r="AD50" s="111">
        <v>27.267403757739999</v>
      </c>
      <c r="AE50" s="111">
        <v>0</v>
      </c>
      <c r="AF50" s="111">
        <v>2.5369508995307402</v>
      </c>
      <c r="AG50" s="111">
        <v>0</v>
      </c>
      <c r="AH50" s="111">
        <v>0</v>
      </c>
      <c r="AI50" s="111">
        <v>0</v>
      </c>
      <c r="AJ50" s="111">
        <v>0</v>
      </c>
      <c r="AK50" s="111">
        <v>0</v>
      </c>
      <c r="AL50" s="111">
        <v>156.48188518513399</v>
      </c>
      <c r="AM50" s="111">
        <v>0</v>
      </c>
      <c r="AN50" s="111">
        <v>0</v>
      </c>
      <c r="AO50" s="111">
        <v>0</v>
      </c>
      <c r="AP50" s="111">
        <v>0</v>
      </c>
      <c r="AQ50" s="112">
        <v>0</v>
      </c>
    </row>
  </sheetData>
  <mergeCells count="8">
    <mergeCell ref="L1:AG1"/>
    <mergeCell ref="AH1:AQ1"/>
    <mergeCell ref="L2:S2"/>
    <mergeCell ref="T2:Z2"/>
    <mergeCell ref="AB2:AC2"/>
    <mergeCell ref="AD2:AG2"/>
    <mergeCell ref="AH2:AK2"/>
    <mergeCell ref="AM2:AP2"/>
  </mergeCells>
  <phoneticPr fontId="9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ADD49-AFA2-4D23-A5A4-277A6249B3D0}">
  <dimension ref="B1:AQ50"/>
  <sheetViews>
    <sheetView showGridLines="0" workbookViewId="0">
      <selection activeCell="B4" sqref="B4"/>
    </sheetView>
  </sheetViews>
  <sheetFormatPr defaultRowHeight="15" x14ac:dyDescent="0.25"/>
  <cols>
    <col min="2" max="2" width="13.42578125" bestFit="1" customWidth="1"/>
    <col min="3" max="3" width="27.7109375" bestFit="1" customWidth="1"/>
    <col min="4" max="4" width="17.85546875" bestFit="1" customWidth="1"/>
    <col min="5" max="5" width="31.140625" bestFit="1" customWidth="1"/>
    <col min="6" max="6" width="12.5703125" bestFit="1" customWidth="1"/>
    <col min="7" max="7" width="13.42578125" bestFit="1" customWidth="1"/>
    <col min="8" max="8" width="11.5703125" bestFit="1" customWidth="1"/>
    <col min="9" max="9" width="13.42578125" bestFit="1" customWidth="1"/>
    <col min="10" max="10" width="12.85546875" bestFit="1" customWidth="1"/>
    <col min="11" max="11" width="10.140625" bestFit="1" customWidth="1"/>
    <col min="12" max="12" width="19.28515625" bestFit="1" customWidth="1"/>
    <col min="13" max="13" width="14" bestFit="1" customWidth="1"/>
    <col min="14" max="14" width="12.5703125" bestFit="1" customWidth="1"/>
    <col min="15" max="15" width="12.85546875" bestFit="1" customWidth="1"/>
    <col min="16" max="17" width="12.42578125" bestFit="1" customWidth="1"/>
    <col min="18" max="18" width="17.140625" bestFit="1" customWidth="1"/>
    <col min="19" max="19" width="10.85546875" bestFit="1" customWidth="1"/>
    <col min="20" max="20" width="11.28515625" bestFit="1" customWidth="1"/>
    <col min="21" max="21" width="11.140625" bestFit="1" customWidth="1"/>
    <col min="22" max="22" width="12.28515625" bestFit="1" customWidth="1"/>
    <col min="23" max="23" width="12.5703125" bestFit="1" customWidth="1"/>
    <col min="24" max="24" width="13.85546875" bestFit="1" customWidth="1"/>
    <col min="25" max="25" width="11.42578125" bestFit="1" customWidth="1"/>
    <col min="26" max="26" width="14.28515625" bestFit="1" customWidth="1"/>
    <col min="27" max="27" width="12.85546875" bestFit="1" customWidth="1"/>
    <col min="28" max="28" width="16.140625" bestFit="1" customWidth="1"/>
    <col min="29" max="29" width="14.42578125" bestFit="1" customWidth="1"/>
    <col min="30" max="30" width="12" bestFit="1" customWidth="1"/>
    <col min="31" max="31" width="17.7109375" bestFit="1" customWidth="1"/>
    <col min="32" max="32" width="12.5703125" bestFit="1" customWidth="1"/>
    <col min="33" max="33" width="10.7109375" bestFit="1" customWidth="1"/>
    <col min="34" max="34" width="16.5703125" bestFit="1" customWidth="1"/>
    <col min="35" max="35" width="9.85546875" bestFit="1" customWidth="1"/>
    <col min="36" max="36" width="12.5703125" bestFit="1" customWidth="1"/>
    <col min="37" max="37" width="12.28515625" bestFit="1" customWidth="1"/>
    <col min="38" max="38" width="14.140625" bestFit="1" customWidth="1"/>
    <col min="39" max="39" width="25.28515625" bestFit="1" customWidth="1"/>
    <col min="40" max="40" width="17.85546875" bestFit="1" customWidth="1"/>
    <col min="41" max="41" width="13.42578125" bestFit="1" customWidth="1"/>
    <col min="42" max="42" width="13.28515625" bestFit="1" customWidth="1"/>
    <col min="43" max="43" width="12.5703125" bestFit="1" customWidth="1"/>
  </cols>
  <sheetData>
    <row r="1" spans="2:43" ht="12" customHeight="1" x14ac:dyDescent="0.25">
      <c r="L1" s="149" t="s">
        <v>1123</v>
      </c>
      <c r="M1" s="149"/>
      <c r="N1" s="149"/>
      <c r="O1" s="149"/>
      <c r="P1" s="149"/>
      <c r="Q1" s="149"/>
      <c r="R1" s="149"/>
      <c r="S1" s="149"/>
      <c r="T1" s="149"/>
      <c r="U1" s="149"/>
      <c r="V1" s="149"/>
      <c r="W1" s="149"/>
      <c r="X1" s="149"/>
      <c r="Y1" s="149"/>
      <c r="Z1" s="149"/>
      <c r="AA1" s="149"/>
      <c r="AB1" s="149"/>
      <c r="AC1" s="149"/>
      <c r="AD1" s="149"/>
      <c r="AE1" s="149"/>
      <c r="AF1" s="149"/>
      <c r="AG1" s="150"/>
      <c r="AH1" s="149" t="s">
        <v>1124</v>
      </c>
      <c r="AI1" s="149"/>
      <c r="AJ1" s="149"/>
      <c r="AK1" s="149"/>
      <c r="AL1" s="149"/>
      <c r="AM1" s="149"/>
      <c r="AN1" s="149"/>
      <c r="AO1" s="149"/>
      <c r="AP1" s="149"/>
      <c r="AQ1" s="149"/>
    </row>
    <row r="2" spans="2:43" ht="12" customHeight="1" x14ac:dyDescent="0.25">
      <c r="L2" s="151" t="s">
        <v>446</v>
      </c>
      <c r="M2" s="151"/>
      <c r="N2" s="151"/>
      <c r="O2" s="151"/>
      <c r="P2" s="151"/>
      <c r="Q2" s="151"/>
      <c r="R2" s="151"/>
      <c r="S2" s="152"/>
      <c r="T2" s="151" t="s">
        <v>455</v>
      </c>
      <c r="U2" s="151"/>
      <c r="V2" s="151"/>
      <c r="W2" s="151"/>
      <c r="X2" s="151"/>
      <c r="Y2" s="151"/>
      <c r="Z2" s="152"/>
      <c r="AA2" s="113" t="s">
        <v>463</v>
      </c>
      <c r="AB2" s="151" t="s">
        <v>25</v>
      </c>
      <c r="AC2" s="152"/>
      <c r="AD2" s="151" t="s">
        <v>1122</v>
      </c>
      <c r="AE2" s="151"/>
      <c r="AF2" s="151"/>
      <c r="AG2" s="152"/>
      <c r="AH2" s="151" t="s">
        <v>446</v>
      </c>
      <c r="AI2" s="151"/>
      <c r="AJ2" s="151"/>
      <c r="AK2" s="152"/>
      <c r="AL2" s="113" t="s">
        <v>476</v>
      </c>
      <c r="AM2" s="151" t="s">
        <v>455</v>
      </c>
      <c r="AN2" s="151"/>
      <c r="AO2" s="151"/>
      <c r="AP2" s="152"/>
      <c r="AQ2" s="114" t="s">
        <v>1122</v>
      </c>
    </row>
    <row r="3" spans="2:43" ht="12" customHeight="1" x14ac:dyDescent="0.25">
      <c r="B3" s="104" t="s">
        <v>61</v>
      </c>
      <c r="C3" s="105" t="s">
        <v>62</v>
      </c>
      <c r="D3" s="105" t="s">
        <v>63</v>
      </c>
      <c r="E3" s="105" t="s">
        <v>64</v>
      </c>
      <c r="F3" s="105" t="s">
        <v>65</v>
      </c>
      <c r="G3" s="105" t="s">
        <v>67</v>
      </c>
      <c r="H3" s="105" t="s">
        <v>68</v>
      </c>
      <c r="I3" s="105" t="s">
        <v>722</v>
      </c>
      <c r="J3" s="105" t="s">
        <v>1087</v>
      </c>
      <c r="K3" s="105" t="s">
        <v>1088</v>
      </c>
      <c r="L3" s="105" t="s">
        <v>1089</v>
      </c>
      <c r="M3" s="105" t="s">
        <v>1090</v>
      </c>
      <c r="N3" s="105" t="s">
        <v>1091</v>
      </c>
      <c r="O3" s="105" t="s">
        <v>1092</v>
      </c>
      <c r="P3" s="105" t="s">
        <v>1093</v>
      </c>
      <c r="Q3" s="105" t="s">
        <v>1094</v>
      </c>
      <c r="R3" s="105" t="s">
        <v>1095</v>
      </c>
      <c r="S3" s="105" t="s">
        <v>1096</v>
      </c>
      <c r="T3" s="105" t="s">
        <v>1097</v>
      </c>
      <c r="U3" s="105" t="s">
        <v>1098</v>
      </c>
      <c r="V3" s="105" t="s">
        <v>1099</v>
      </c>
      <c r="W3" s="105" t="s">
        <v>1100</v>
      </c>
      <c r="X3" s="105" t="s">
        <v>1101</v>
      </c>
      <c r="Y3" s="105" t="s">
        <v>1102</v>
      </c>
      <c r="Z3" s="105" t="s">
        <v>1103</v>
      </c>
      <c r="AA3" s="105" t="s">
        <v>1104</v>
      </c>
      <c r="AB3" s="105" t="s">
        <v>1105</v>
      </c>
      <c r="AC3" s="105" t="s">
        <v>1106</v>
      </c>
      <c r="AD3" s="105" t="s">
        <v>1107</v>
      </c>
      <c r="AE3" s="105" t="s">
        <v>1108</v>
      </c>
      <c r="AF3" s="105" t="s">
        <v>1109</v>
      </c>
      <c r="AG3" s="105" t="s">
        <v>1110</v>
      </c>
      <c r="AH3" s="105" t="s">
        <v>1111</v>
      </c>
      <c r="AI3" s="105" t="s">
        <v>1112</v>
      </c>
      <c r="AJ3" s="105" t="s">
        <v>1113</v>
      </c>
      <c r="AK3" s="105" t="s">
        <v>1114</v>
      </c>
      <c r="AL3" s="105" t="s">
        <v>1115</v>
      </c>
      <c r="AM3" s="105" t="s">
        <v>1116</v>
      </c>
      <c r="AN3" s="105" t="s">
        <v>1117</v>
      </c>
      <c r="AO3" s="105" t="s">
        <v>1118</v>
      </c>
      <c r="AP3" s="105" t="s">
        <v>1119</v>
      </c>
      <c r="AQ3" s="106" t="s">
        <v>1120</v>
      </c>
    </row>
    <row r="4" spans="2:43" ht="12" customHeight="1" x14ac:dyDescent="0.25">
      <c r="B4" s="107" t="s">
        <v>33</v>
      </c>
      <c r="C4" s="108" t="s">
        <v>41</v>
      </c>
      <c r="D4" s="108" t="s">
        <v>25</v>
      </c>
      <c r="E4" s="108" t="s">
        <v>25</v>
      </c>
      <c r="F4" s="108" t="s">
        <v>79</v>
      </c>
      <c r="G4" s="108" t="s">
        <v>35</v>
      </c>
      <c r="H4" s="108" t="s">
        <v>71</v>
      </c>
      <c r="I4" s="108" t="s">
        <v>25</v>
      </c>
      <c r="J4" s="108">
        <v>18.829999999999998</v>
      </c>
      <c r="K4" s="108">
        <v>0</v>
      </c>
      <c r="L4" s="108">
        <v>0</v>
      </c>
      <c r="M4" s="108">
        <v>1.6101578945658499</v>
      </c>
      <c r="N4" s="108">
        <v>0</v>
      </c>
      <c r="O4" s="108">
        <v>0</v>
      </c>
      <c r="P4" s="108">
        <v>0</v>
      </c>
      <c r="Q4" s="108">
        <v>0</v>
      </c>
      <c r="R4" s="108">
        <v>0</v>
      </c>
      <c r="S4" s="108">
        <v>0</v>
      </c>
      <c r="T4" s="108">
        <v>0</v>
      </c>
      <c r="U4" s="108">
        <v>0</v>
      </c>
      <c r="V4" s="108">
        <v>0</v>
      </c>
      <c r="W4" s="108">
        <v>0</v>
      </c>
      <c r="X4" s="108">
        <v>0</v>
      </c>
      <c r="Y4" s="108">
        <v>0</v>
      </c>
      <c r="Z4" s="108">
        <v>0</v>
      </c>
      <c r="AA4" s="108">
        <v>0</v>
      </c>
      <c r="AB4" s="108">
        <v>0</v>
      </c>
      <c r="AC4" s="108">
        <v>0</v>
      </c>
      <c r="AD4" s="108">
        <v>15.086320794546801</v>
      </c>
      <c r="AE4" s="108">
        <v>0</v>
      </c>
      <c r="AF4" s="108">
        <v>2.1351233851307598</v>
      </c>
      <c r="AG4" s="108">
        <v>0</v>
      </c>
      <c r="AH4" s="108">
        <v>0</v>
      </c>
      <c r="AI4" s="108">
        <v>0</v>
      </c>
      <c r="AJ4" s="108">
        <v>0</v>
      </c>
      <c r="AK4" s="108">
        <v>0</v>
      </c>
      <c r="AL4" s="108">
        <v>0</v>
      </c>
      <c r="AM4" s="108">
        <v>0</v>
      </c>
      <c r="AN4" s="108">
        <v>0</v>
      </c>
      <c r="AO4" s="108">
        <v>0</v>
      </c>
      <c r="AP4" s="108">
        <v>0</v>
      </c>
      <c r="AQ4" s="109">
        <v>0</v>
      </c>
    </row>
    <row r="5" spans="2:43" ht="12" customHeight="1" x14ac:dyDescent="0.25">
      <c r="B5" s="107" t="s">
        <v>33</v>
      </c>
      <c r="C5" s="108" t="s">
        <v>41</v>
      </c>
      <c r="D5" s="108" t="s">
        <v>25</v>
      </c>
      <c r="E5" s="108" t="s">
        <v>25</v>
      </c>
      <c r="F5" s="108" t="s">
        <v>79</v>
      </c>
      <c r="G5" s="108" t="s">
        <v>35</v>
      </c>
      <c r="H5" s="108" t="s">
        <v>76</v>
      </c>
      <c r="I5" s="108" t="s">
        <v>25</v>
      </c>
      <c r="J5" s="108">
        <v>214.95</v>
      </c>
      <c r="K5" s="108">
        <v>0</v>
      </c>
      <c r="L5" s="108">
        <v>0</v>
      </c>
      <c r="M5" s="108">
        <v>0</v>
      </c>
      <c r="N5" s="108">
        <v>0</v>
      </c>
      <c r="O5" s="108">
        <v>0</v>
      </c>
      <c r="P5" s="108">
        <v>0</v>
      </c>
      <c r="Q5" s="108">
        <v>0</v>
      </c>
      <c r="R5" s="108">
        <v>0</v>
      </c>
      <c r="S5" s="108">
        <v>0</v>
      </c>
      <c r="T5" s="108">
        <v>0</v>
      </c>
      <c r="U5" s="108">
        <v>0</v>
      </c>
      <c r="V5" s="108">
        <v>0</v>
      </c>
      <c r="W5" s="108">
        <v>0</v>
      </c>
      <c r="X5" s="108">
        <v>53.136465127926897</v>
      </c>
      <c r="Y5" s="108">
        <v>0</v>
      </c>
      <c r="Z5" s="108">
        <v>0</v>
      </c>
      <c r="AA5" s="108">
        <v>161.81814850483201</v>
      </c>
      <c r="AB5" s="108">
        <v>0</v>
      </c>
      <c r="AC5" s="108">
        <v>0</v>
      </c>
      <c r="AD5" s="108">
        <v>0</v>
      </c>
      <c r="AE5" s="108">
        <v>0</v>
      </c>
      <c r="AF5" s="108">
        <v>0</v>
      </c>
      <c r="AG5" s="108">
        <v>0</v>
      </c>
      <c r="AH5" s="108">
        <v>0</v>
      </c>
      <c r="AI5" s="108">
        <v>0</v>
      </c>
      <c r="AJ5" s="108">
        <v>0</v>
      </c>
      <c r="AK5" s="108">
        <v>0</v>
      </c>
      <c r="AL5" s="108">
        <v>0</v>
      </c>
      <c r="AM5" s="108">
        <v>0</v>
      </c>
      <c r="AN5" s="108">
        <v>0</v>
      </c>
      <c r="AO5" s="108">
        <v>0</v>
      </c>
      <c r="AP5" s="108">
        <v>0</v>
      </c>
      <c r="AQ5" s="109">
        <v>0</v>
      </c>
    </row>
    <row r="6" spans="2:43" ht="12" customHeight="1" x14ac:dyDescent="0.25">
      <c r="B6" s="107" t="s">
        <v>33</v>
      </c>
      <c r="C6" s="108" t="s">
        <v>41</v>
      </c>
      <c r="D6" s="108" t="s">
        <v>25</v>
      </c>
      <c r="E6" s="108" t="s">
        <v>25</v>
      </c>
      <c r="F6" s="108" t="s">
        <v>79</v>
      </c>
      <c r="G6" s="108" t="s">
        <v>36</v>
      </c>
      <c r="H6" s="108" t="s">
        <v>71</v>
      </c>
      <c r="I6" s="108" t="s">
        <v>25</v>
      </c>
      <c r="J6" s="108">
        <v>18.829999999999998</v>
      </c>
      <c r="K6" s="108">
        <v>0</v>
      </c>
      <c r="L6" s="108">
        <v>0</v>
      </c>
      <c r="M6" s="108">
        <v>1.6101578945658499</v>
      </c>
      <c r="N6" s="108">
        <v>0</v>
      </c>
      <c r="O6" s="108">
        <v>0</v>
      </c>
      <c r="P6" s="108">
        <v>0</v>
      </c>
      <c r="Q6" s="108">
        <v>0</v>
      </c>
      <c r="R6" s="108">
        <v>0</v>
      </c>
      <c r="S6" s="108">
        <v>0</v>
      </c>
      <c r="T6" s="108">
        <v>0</v>
      </c>
      <c r="U6" s="108">
        <v>0</v>
      </c>
      <c r="V6" s="108">
        <v>0</v>
      </c>
      <c r="W6" s="108">
        <v>0</v>
      </c>
      <c r="X6" s="108">
        <v>0</v>
      </c>
      <c r="Y6" s="108">
        <v>0</v>
      </c>
      <c r="Z6" s="108">
        <v>0</v>
      </c>
      <c r="AA6" s="108">
        <v>0</v>
      </c>
      <c r="AB6" s="108">
        <v>0</v>
      </c>
      <c r="AC6" s="108">
        <v>0</v>
      </c>
      <c r="AD6" s="108">
        <v>15.086320794546801</v>
      </c>
      <c r="AE6" s="108">
        <v>0</v>
      </c>
      <c r="AF6" s="108">
        <v>2.1351233851307598</v>
      </c>
      <c r="AG6" s="108">
        <v>0</v>
      </c>
      <c r="AH6" s="108">
        <v>0</v>
      </c>
      <c r="AI6" s="108">
        <v>0</v>
      </c>
      <c r="AJ6" s="108">
        <v>0</v>
      </c>
      <c r="AK6" s="108">
        <v>0</v>
      </c>
      <c r="AL6" s="108">
        <v>0</v>
      </c>
      <c r="AM6" s="108">
        <v>0</v>
      </c>
      <c r="AN6" s="108">
        <v>0</v>
      </c>
      <c r="AO6" s="108">
        <v>0</v>
      </c>
      <c r="AP6" s="108">
        <v>0</v>
      </c>
      <c r="AQ6" s="109">
        <v>0</v>
      </c>
    </row>
    <row r="7" spans="2:43" ht="12" customHeight="1" x14ac:dyDescent="0.25">
      <c r="B7" s="107" t="s">
        <v>33</v>
      </c>
      <c r="C7" s="108" t="s">
        <v>41</v>
      </c>
      <c r="D7" s="108" t="s">
        <v>25</v>
      </c>
      <c r="E7" s="108" t="s">
        <v>25</v>
      </c>
      <c r="F7" s="108" t="s">
        <v>79</v>
      </c>
      <c r="G7" s="108" t="s">
        <v>36</v>
      </c>
      <c r="H7" s="108" t="s">
        <v>76</v>
      </c>
      <c r="I7" s="108" t="s">
        <v>25</v>
      </c>
      <c r="J7" s="108">
        <v>80.47</v>
      </c>
      <c r="K7" s="108">
        <v>0</v>
      </c>
      <c r="L7" s="108">
        <v>0</v>
      </c>
      <c r="M7" s="108">
        <v>0</v>
      </c>
      <c r="N7" s="108">
        <v>0</v>
      </c>
      <c r="O7" s="108">
        <v>0</v>
      </c>
      <c r="P7" s="108">
        <v>0</v>
      </c>
      <c r="Q7" s="108">
        <v>0</v>
      </c>
      <c r="R7" s="108">
        <v>0</v>
      </c>
      <c r="S7" s="108">
        <v>0</v>
      </c>
      <c r="T7" s="108">
        <v>0</v>
      </c>
      <c r="U7" s="108">
        <v>0</v>
      </c>
      <c r="V7" s="108">
        <v>0</v>
      </c>
      <c r="W7" s="108">
        <v>0</v>
      </c>
      <c r="X7" s="108">
        <v>28.8456703463597</v>
      </c>
      <c r="Y7" s="108">
        <v>0</v>
      </c>
      <c r="Z7" s="108">
        <v>0</v>
      </c>
      <c r="AA7" s="108">
        <v>51.620614539412202</v>
      </c>
      <c r="AB7" s="108">
        <v>0</v>
      </c>
      <c r="AC7" s="108">
        <v>0</v>
      </c>
      <c r="AD7" s="108">
        <v>0</v>
      </c>
      <c r="AE7" s="108">
        <v>0</v>
      </c>
      <c r="AF7" s="108">
        <v>0</v>
      </c>
      <c r="AG7" s="108">
        <v>0</v>
      </c>
      <c r="AH7" s="108">
        <v>0</v>
      </c>
      <c r="AI7" s="108">
        <v>0</v>
      </c>
      <c r="AJ7" s="108">
        <v>0</v>
      </c>
      <c r="AK7" s="108">
        <v>0</v>
      </c>
      <c r="AL7" s="108">
        <v>0</v>
      </c>
      <c r="AM7" s="108">
        <v>0</v>
      </c>
      <c r="AN7" s="108">
        <v>0</v>
      </c>
      <c r="AO7" s="108">
        <v>0</v>
      </c>
      <c r="AP7" s="108">
        <v>0</v>
      </c>
      <c r="AQ7" s="109">
        <v>0</v>
      </c>
    </row>
    <row r="8" spans="2:43" ht="12" customHeight="1" x14ac:dyDescent="0.25">
      <c r="B8" s="107" t="s">
        <v>33</v>
      </c>
      <c r="C8" s="108" t="s">
        <v>41</v>
      </c>
      <c r="D8" s="108" t="s">
        <v>25</v>
      </c>
      <c r="E8" s="108" t="s">
        <v>25</v>
      </c>
      <c r="F8" s="108" t="s">
        <v>25</v>
      </c>
      <c r="G8" s="108" t="s">
        <v>35</v>
      </c>
      <c r="H8" s="108" t="s">
        <v>71</v>
      </c>
      <c r="I8" s="108" t="s">
        <v>25</v>
      </c>
      <c r="J8" s="108">
        <v>127.6</v>
      </c>
      <c r="K8" s="108">
        <v>203.17</v>
      </c>
      <c r="L8" s="108">
        <v>19.888161566657001</v>
      </c>
      <c r="M8" s="108">
        <v>1.6101578945658499</v>
      </c>
      <c r="N8" s="108">
        <v>0</v>
      </c>
      <c r="O8" s="108">
        <v>0</v>
      </c>
      <c r="P8" s="108">
        <v>0</v>
      </c>
      <c r="Q8" s="108">
        <v>74.223429727787405</v>
      </c>
      <c r="R8" s="108">
        <v>14.6577530776608</v>
      </c>
      <c r="S8" s="108">
        <v>0</v>
      </c>
      <c r="T8" s="108">
        <v>0</v>
      </c>
      <c r="U8" s="108">
        <v>0</v>
      </c>
      <c r="V8" s="108">
        <v>0</v>
      </c>
      <c r="W8" s="108">
        <v>0</v>
      </c>
      <c r="X8" s="108">
        <v>0</v>
      </c>
      <c r="Y8" s="108">
        <v>0</v>
      </c>
      <c r="Z8" s="108">
        <v>0</v>
      </c>
      <c r="AA8" s="108">
        <v>0</v>
      </c>
      <c r="AB8" s="108">
        <v>0</v>
      </c>
      <c r="AC8" s="108">
        <v>0</v>
      </c>
      <c r="AD8" s="108">
        <v>15.086320794546801</v>
      </c>
      <c r="AE8" s="108">
        <v>0</v>
      </c>
      <c r="AF8" s="108">
        <v>2.1351233851307598</v>
      </c>
      <c r="AG8" s="108">
        <v>0</v>
      </c>
      <c r="AH8" s="108">
        <v>0</v>
      </c>
      <c r="AI8" s="108">
        <v>0</v>
      </c>
      <c r="AJ8" s="108">
        <v>0</v>
      </c>
      <c r="AK8" s="108">
        <v>0</v>
      </c>
      <c r="AL8" s="108">
        <v>203.16564772524501</v>
      </c>
      <c r="AM8" s="108">
        <v>0</v>
      </c>
      <c r="AN8" s="108">
        <v>0</v>
      </c>
      <c r="AO8" s="108">
        <v>0</v>
      </c>
      <c r="AP8" s="108">
        <v>0</v>
      </c>
      <c r="AQ8" s="109">
        <v>0</v>
      </c>
    </row>
    <row r="9" spans="2:43" ht="12" customHeight="1" x14ac:dyDescent="0.25">
      <c r="B9" s="107" t="s">
        <v>33</v>
      </c>
      <c r="C9" s="108" t="s">
        <v>41</v>
      </c>
      <c r="D9" s="108" t="s">
        <v>25</v>
      </c>
      <c r="E9" s="108" t="s">
        <v>25</v>
      </c>
      <c r="F9" s="108" t="s">
        <v>25</v>
      </c>
      <c r="G9" s="108" t="s">
        <v>35</v>
      </c>
      <c r="H9" s="108" t="s">
        <v>76</v>
      </c>
      <c r="I9" s="108" t="s">
        <v>25</v>
      </c>
      <c r="J9" s="108">
        <v>214.95</v>
      </c>
      <c r="K9" s="108">
        <v>0</v>
      </c>
      <c r="L9" s="108">
        <v>0</v>
      </c>
      <c r="M9" s="108">
        <v>0</v>
      </c>
      <c r="N9" s="108">
        <v>0</v>
      </c>
      <c r="O9" s="108">
        <v>0</v>
      </c>
      <c r="P9" s="108">
        <v>0</v>
      </c>
      <c r="Q9" s="108">
        <v>0</v>
      </c>
      <c r="R9" s="108">
        <v>0</v>
      </c>
      <c r="S9" s="108">
        <v>0</v>
      </c>
      <c r="T9" s="108">
        <v>0</v>
      </c>
      <c r="U9" s="108">
        <v>0</v>
      </c>
      <c r="V9" s="108">
        <v>0</v>
      </c>
      <c r="W9" s="108">
        <v>0</v>
      </c>
      <c r="X9" s="108">
        <v>53.136465127926897</v>
      </c>
      <c r="Y9" s="108">
        <v>0</v>
      </c>
      <c r="Z9" s="108">
        <v>0</v>
      </c>
      <c r="AA9" s="108">
        <v>161.81814850483201</v>
      </c>
      <c r="AB9" s="108">
        <v>0</v>
      </c>
      <c r="AC9" s="108">
        <v>0</v>
      </c>
      <c r="AD9" s="108">
        <v>0</v>
      </c>
      <c r="AE9" s="108">
        <v>0</v>
      </c>
      <c r="AF9" s="108">
        <v>0</v>
      </c>
      <c r="AG9" s="108">
        <v>0</v>
      </c>
      <c r="AH9" s="108">
        <v>0</v>
      </c>
      <c r="AI9" s="108">
        <v>0</v>
      </c>
      <c r="AJ9" s="108">
        <v>0</v>
      </c>
      <c r="AK9" s="108">
        <v>0</v>
      </c>
      <c r="AL9" s="108">
        <v>0</v>
      </c>
      <c r="AM9" s="108">
        <v>0</v>
      </c>
      <c r="AN9" s="108">
        <v>0</v>
      </c>
      <c r="AO9" s="108">
        <v>0</v>
      </c>
      <c r="AP9" s="108">
        <v>0</v>
      </c>
      <c r="AQ9" s="109">
        <v>0</v>
      </c>
    </row>
    <row r="10" spans="2:43" ht="12" customHeight="1" x14ac:dyDescent="0.25">
      <c r="B10" s="107" t="s">
        <v>33</v>
      </c>
      <c r="C10" s="108" t="s">
        <v>41</v>
      </c>
      <c r="D10" s="108" t="s">
        <v>25</v>
      </c>
      <c r="E10" s="108" t="s">
        <v>25</v>
      </c>
      <c r="F10" s="108" t="s">
        <v>25</v>
      </c>
      <c r="G10" s="108" t="s">
        <v>36</v>
      </c>
      <c r="H10" s="108" t="s">
        <v>71</v>
      </c>
      <c r="I10" s="108" t="s">
        <v>25</v>
      </c>
      <c r="J10" s="108">
        <v>127.6</v>
      </c>
      <c r="K10" s="108">
        <v>203.17</v>
      </c>
      <c r="L10" s="108">
        <v>19.888161566657001</v>
      </c>
      <c r="M10" s="108">
        <v>1.6101578945658499</v>
      </c>
      <c r="N10" s="108">
        <v>0</v>
      </c>
      <c r="O10" s="108">
        <v>0</v>
      </c>
      <c r="P10" s="108">
        <v>0</v>
      </c>
      <c r="Q10" s="108">
        <v>74.223429727787405</v>
      </c>
      <c r="R10" s="108">
        <v>14.6577530776608</v>
      </c>
      <c r="S10" s="108">
        <v>0</v>
      </c>
      <c r="T10" s="108">
        <v>0</v>
      </c>
      <c r="U10" s="108">
        <v>0</v>
      </c>
      <c r="V10" s="108">
        <v>0</v>
      </c>
      <c r="W10" s="108">
        <v>0</v>
      </c>
      <c r="X10" s="108">
        <v>0</v>
      </c>
      <c r="Y10" s="108">
        <v>0</v>
      </c>
      <c r="Z10" s="108">
        <v>0</v>
      </c>
      <c r="AA10" s="108">
        <v>0</v>
      </c>
      <c r="AB10" s="108">
        <v>0</v>
      </c>
      <c r="AC10" s="108">
        <v>0</v>
      </c>
      <c r="AD10" s="108">
        <v>15.086320794546801</v>
      </c>
      <c r="AE10" s="108">
        <v>0</v>
      </c>
      <c r="AF10" s="108">
        <v>2.1351233851307598</v>
      </c>
      <c r="AG10" s="108">
        <v>0</v>
      </c>
      <c r="AH10" s="108">
        <v>0</v>
      </c>
      <c r="AI10" s="108">
        <v>0</v>
      </c>
      <c r="AJ10" s="108">
        <v>0</v>
      </c>
      <c r="AK10" s="108">
        <v>0</v>
      </c>
      <c r="AL10" s="108">
        <v>203.16564772524501</v>
      </c>
      <c r="AM10" s="108">
        <v>0</v>
      </c>
      <c r="AN10" s="108">
        <v>0</v>
      </c>
      <c r="AO10" s="108">
        <v>0</v>
      </c>
      <c r="AP10" s="108">
        <v>0</v>
      </c>
      <c r="AQ10" s="109">
        <v>0</v>
      </c>
    </row>
    <row r="11" spans="2:43" ht="12" customHeight="1" x14ac:dyDescent="0.25">
      <c r="B11" s="107" t="s">
        <v>33</v>
      </c>
      <c r="C11" s="108" t="s">
        <v>41</v>
      </c>
      <c r="D11" s="108" t="s">
        <v>25</v>
      </c>
      <c r="E11" s="108" t="s">
        <v>25</v>
      </c>
      <c r="F11" s="108" t="s">
        <v>25</v>
      </c>
      <c r="G11" s="108" t="s">
        <v>36</v>
      </c>
      <c r="H11" s="108" t="s">
        <v>76</v>
      </c>
      <c r="I11" s="108" t="s">
        <v>25</v>
      </c>
      <c r="J11" s="108">
        <v>80.47</v>
      </c>
      <c r="K11" s="108">
        <v>0</v>
      </c>
      <c r="L11" s="108">
        <v>0</v>
      </c>
      <c r="M11" s="108">
        <v>0</v>
      </c>
      <c r="N11" s="108">
        <v>0</v>
      </c>
      <c r="O11" s="108">
        <v>0</v>
      </c>
      <c r="P11" s="108">
        <v>0</v>
      </c>
      <c r="Q11" s="108">
        <v>0</v>
      </c>
      <c r="R11" s="108">
        <v>0</v>
      </c>
      <c r="S11" s="108">
        <v>0</v>
      </c>
      <c r="T11" s="108">
        <v>0</v>
      </c>
      <c r="U11" s="108">
        <v>0</v>
      </c>
      <c r="V11" s="108">
        <v>0</v>
      </c>
      <c r="W11" s="108">
        <v>0</v>
      </c>
      <c r="X11" s="108">
        <v>28.8456703463597</v>
      </c>
      <c r="Y11" s="108">
        <v>0</v>
      </c>
      <c r="Z11" s="108">
        <v>0</v>
      </c>
      <c r="AA11" s="108">
        <v>51.620614539412202</v>
      </c>
      <c r="AB11" s="108">
        <v>0</v>
      </c>
      <c r="AC11" s="108">
        <v>0</v>
      </c>
      <c r="AD11" s="108">
        <v>0</v>
      </c>
      <c r="AE11" s="108">
        <v>0</v>
      </c>
      <c r="AF11" s="108">
        <v>0</v>
      </c>
      <c r="AG11" s="108">
        <v>0</v>
      </c>
      <c r="AH11" s="108">
        <v>0</v>
      </c>
      <c r="AI11" s="108">
        <v>0</v>
      </c>
      <c r="AJ11" s="108">
        <v>0</v>
      </c>
      <c r="AK11" s="108">
        <v>0</v>
      </c>
      <c r="AL11" s="108">
        <v>0</v>
      </c>
      <c r="AM11" s="108">
        <v>0</v>
      </c>
      <c r="AN11" s="108">
        <v>0</v>
      </c>
      <c r="AO11" s="108">
        <v>0</v>
      </c>
      <c r="AP11" s="108">
        <v>0</v>
      </c>
      <c r="AQ11" s="109">
        <v>0</v>
      </c>
    </row>
    <row r="12" spans="2:43" ht="12" customHeight="1" x14ac:dyDescent="0.25">
      <c r="B12" s="107" t="s">
        <v>33</v>
      </c>
      <c r="C12" s="108" t="s">
        <v>23</v>
      </c>
      <c r="D12" s="108" t="s">
        <v>25</v>
      </c>
      <c r="E12" s="108" t="s">
        <v>25</v>
      </c>
      <c r="F12" s="108" t="s">
        <v>25</v>
      </c>
      <c r="G12" s="108" t="s">
        <v>25</v>
      </c>
      <c r="H12" s="108" t="s">
        <v>71</v>
      </c>
      <c r="I12" s="108" t="s">
        <v>25</v>
      </c>
      <c r="J12" s="108">
        <v>0</v>
      </c>
      <c r="K12" s="108">
        <v>203.17</v>
      </c>
      <c r="L12" s="108">
        <v>0</v>
      </c>
      <c r="M12" s="108">
        <v>0</v>
      </c>
      <c r="N12" s="108">
        <v>0</v>
      </c>
      <c r="O12" s="108">
        <v>0</v>
      </c>
      <c r="P12" s="108">
        <v>0</v>
      </c>
      <c r="Q12" s="108">
        <v>0</v>
      </c>
      <c r="R12" s="108">
        <v>0</v>
      </c>
      <c r="S12" s="108">
        <v>0</v>
      </c>
      <c r="T12" s="108">
        <v>0</v>
      </c>
      <c r="U12" s="108">
        <v>0</v>
      </c>
      <c r="V12" s="108">
        <v>0</v>
      </c>
      <c r="W12" s="108">
        <v>0</v>
      </c>
      <c r="X12" s="108">
        <v>0</v>
      </c>
      <c r="Y12" s="108">
        <v>0</v>
      </c>
      <c r="Z12" s="108">
        <v>0</v>
      </c>
      <c r="AA12" s="108">
        <v>0</v>
      </c>
      <c r="AB12" s="108">
        <v>0</v>
      </c>
      <c r="AC12" s="108">
        <v>0</v>
      </c>
      <c r="AD12" s="108">
        <v>0</v>
      </c>
      <c r="AE12" s="108">
        <v>0</v>
      </c>
      <c r="AF12" s="108">
        <v>0</v>
      </c>
      <c r="AG12" s="108">
        <v>0</v>
      </c>
      <c r="AH12" s="108">
        <v>0</v>
      </c>
      <c r="AI12" s="108">
        <v>0</v>
      </c>
      <c r="AJ12" s="108">
        <v>0</v>
      </c>
      <c r="AK12" s="108">
        <v>0</v>
      </c>
      <c r="AL12" s="108">
        <v>203.16564772524501</v>
      </c>
      <c r="AM12" s="108">
        <v>0</v>
      </c>
      <c r="AN12" s="108">
        <v>0</v>
      </c>
      <c r="AO12" s="108">
        <v>0</v>
      </c>
      <c r="AP12" s="108">
        <v>0</v>
      </c>
      <c r="AQ12" s="109">
        <v>0</v>
      </c>
    </row>
    <row r="13" spans="2:43" ht="12" customHeight="1" x14ac:dyDescent="0.25">
      <c r="B13" s="107" t="s">
        <v>33</v>
      </c>
      <c r="C13" s="108" t="s">
        <v>80</v>
      </c>
      <c r="D13" s="108" t="s">
        <v>25</v>
      </c>
      <c r="E13" s="108" t="s">
        <v>25</v>
      </c>
      <c r="F13" s="108" t="s">
        <v>25</v>
      </c>
      <c r="G13" s="108" t="s">
        <v>25</v>
      </c>
      <c r="H13" s="108" t="s">
        <v>76</v>
      </c>
      <c r="I13" s="108" t="s">
        <v>25</v>
      </c>
      <c r="J13" s="108">
        <v>22.37</v>
      </c>
      <c r="K13" s="108">
        <v>0</v>
      </c>
      <c r="L13" s="108">
        <v>0</v>
      </c>
      <c r="M13" s="108">
        <v>2.7613679162567899E-2</v>
      </c>
      <c r="N13" s="108">
        <v>0</v>
      </c>
      <c r="O13" s="108">
        <v>0</v>
      </c>
      <c r="P13" s="108">
        <v>0</v>
      </c>
      <c r="Q13" s="108">
        <v>0</v>
      </c>
      <c r="R13" s="108">
        <v>0</v>
      </c>
      <c r="S13" s="108">
        <v>0</v>
      </c>
      <c r="T13" s="108">
        <v>0</v>
      </c>
      <c r="U13" s="108">
        <v>0</v>
      </c>
      <c r="V13" s="108">
        <v>0</v>
      </c>
      <c r="W13" s="108">
        <v>0</v>
      </c>
      <c r="X13" s="108">
        <v>0</v>
      </c>
      <c r="Y13" s="108">
        <v>0</v>
      </c>
      <c r="Z13" s="108">
        <v>0</v>
      </c>
      <c r="AA13" s="108">
        <v>22.344647521745799</v>
      </c>
      <c r="AB13" s="108">
        <v>0</v>
      </c>
      <c r="AC13" s="108">
        <v>0</v>
      </c>
      <c r="AD13" s="108">
        <v>0</v>
      </c>
      <c r="AE13" s="108">
        <v>0</v>
      </c>
      <c r="AF13" s="108">
        <v>0</v>
      </c>
      <c r="AG13" s="108">
        <v>0</v>
      </c>
      <c r="AH13" s="108">
        <v>0</v>
      </c>
      <c r="AI13" s="108">
        <v>0</v>
      </c>
      <c r="AJ13" s="108">
        <v>0</v>
      </c>
      <c r="AK13" s="108">
        <v>0</v>
      </c>
      <c r="AL13" s="108">
        <v>0</v>
      </c>
      <c r="AM13" s="108">
        <v>0</v>
      </c>
      <c r="AN13" s="108">
        <v>0</v>
      </c>
      <c r="AO13" s="108">
        <v>0</v>
      </c>
      <c r="AP13" s="108">
        <v>0</v>
      </c>
      <c r="AQ13" s="109">
        <v>0</v>
      </c>
    </row>
    <row r="14" spans="2:43" ht="12" customHeight="1" x14ac:dyDescent="0.25">
      <c r="B14" s="107" t="s">
        <v>33</v>
      </c>
      <c r="C14" s="108" t="s">
        <v>34</v>
      </c>
      <c r="D14" s="108" t="s">
        <v>25</v>
      </c>
      <c r="E14" s="108" t="s">
        <v>25</v>
      </c>
      <c r="F14" s="108" t="s">
        <v>79</v>
      </c>
      <c r="G14" s="108" t="s">
        <v>35</v>
      </c>
      <c r="H14" s="108" t="s">
        <v>71</v>
      </c>
      <c r="I14" s="108" t="s">
        <v>25</v>
      </c>
      <c r="J14" s="108">
        <v>5188.51</v>
      </c>
      <c r="K14" s="108">
        <v>0</v>
      </c>
      <c r="L14" s="108">
        <v>0</v>
      </c>
      <c r="M14" s="108">
        <v>1.6101578945658499</v>
      </c>
      <c r="N14" s="108">
        <v>0</v>
      </c>
      <c r="O14" s="108">
        <v>0</v>
      </c>
      <c r="P14" s="108">
        <v>0</v>
      </c>
      <c r="Q14" s="108">
        <v>0</v>
      </c>
      <c r="R14" s="108">
        <v>0</v>
      </c>
      <c r="S14" s="108">
        <v>0</v>
      </c>
      <c r="T14" s="108">
        <v>0</v>
      </c>
      <c r="U14" s="108">
        <v>0</v>
      </c>
      <c r="V14" s="108">
        <v>0</v>
      </c>
      <c r="W14" s="108">
        <v>0</v>
      </c>
      <c r="X14" s="108">
        <v>1277.9435169451999</v>
      </c>
      <c r="Y14" s="108">
        <v>0</v>
      </c>
      <c r="Z14" s="108">
        <v>0</v>
      </c>
      <c r="AA14" s="108">
        <v>3891.7353493289502</v>
      </c>
      <c r="AB14" s="108">
        <v>0</v>
      </c>
      <c r="AC14" s="108">
        <v>0</v>
      </c>
      <c r="AD14" s="108">
        <v>15.086320794546801</v>
      </c>
      <c r="AE14" s="108">
        <v>0</v>
      </c>
      <c r="AF14" s="108">
        <v>2.1351233851307598</v>
      </c>
      <c r="AG14" s="108">
        <v>0</v>
      </c>
      <c r="AH14" s="108">
        <v>0</v>
      </c>
      <c r="AI14" s="108">
        <v>0</v>
      </c>
      <c r="AJ14" s="108">
        <v>0</v>
      </c>
      <c r="AK14" s="108">
        <v>0</v>
      </c>
      <c r="AL14" s="108">
        <v>0</v>
      </c>
      <c r="AM14" s="108">
        <v>0</v>
      </c>
      <c r="AN14" s="108">
        <v>0</v>
      </c>
      <c r="AO14" s="108">
        <v>0</v>
      </c>
      <c r="AP14" s="108">
        <v>0</v>
      </c>
      <c r="AQ14" s="109">
        <v>0</v>
      </c>
    </row>
    <row r="15" spans="2:43" ht="12" customHeight="1" x14ac:dyDescent="0.25">
      <c r="B15" s="107" t="s">
        <v>33</v>
      </c>
      <c r="C15" s="108" t="s">
        <v>34</v>
      </c>
      <c r="D15" s="108" t="s">
        <v>25</v>
      </c>
      <c r="E15" s="108" t="s">
        <v>25</v>
      </c>
      <c r="F15" s="108" t="s">
        <v>79</v>
      </c>
      <c r="G15" s="108" t="s">
        <v>25</v>
      </c>
      <c r="H15" s="108" t="s">
        <v>76</v>
      </c>
      <c r="I15" s="108" t="s">
        <v>25</v>
      </c>
      <c r="J15" s="108">
        <v>80.47</v>
      </c>
      <c r="K15" s="108">
        <v>0</v>
      </c>
      <c r="L15" s="108">
        <v>0</v>
      </c>
      <c r="M15" s="108">
        <v>0</v>
      </c>
      <c r="N15" s="108">
        <v>0</v>
      </c>
      <c r="O15" s="108">
        <v>0</v>
      </c>
      <c r="P15" s="108">
        <v>0</v>
      </c>
      <c r="Q15" s="108">
        <v>0</v>
      </c>
      <c r="R15" s="108">
        <v>0</v>
      </c>
      <c r="S15" s="108">
        <v>0</v>
      </c>
      <c r="T15" s="108">
        <v>0</v>
      </c>
      <c r="U15" s="108">
        <v>0</v>
      </c>
      <c r="V15" s="108">
        <v>0</v>
      </c>
      <c r="W15" s="108">
        <v>0</v>
      </c>
      <c r="X15" s="108">
        <v>28.8456703463597</v>
      </c>
      <c r="Y15" s="108">
        <v>0</v>
      </c>
      <c r="Z15" s="108">
        <v>0</v>
      </c>
      <c r="AA15" s="108">
        <v>51.620614539412202</v>
      </c>
      <c r="AB15" s="108">
        <v>0</v>
      </c>
      <c r="AC15" s="108">
        <v>0</v>
      </c>
      <c r="AD15" s="108">
        <v>0</v>
      </c>
      <c r="AE15" s="108">
        <v>0</v>
      </c>
      <c r="AF15" s="108">
        <v>0</v>
      </c>
      <c r="AG15" s="108">
        <v>0</v>
      </c>
      <c r="AH15" s="108">
        <v>0</v>
      </c>
      <c r="AI15" s="108">
        <v>0</v>
      </c>
      <c r="AJ15" s="108">
        <v>0</v>
      </c>
      <c r="AK15" s="108">
        <v>0</v>
      </c>
      <c r="AL15" s="108">
        <v>0</v>
      </c>
      <c r="AM15" s="108">
        <v>0</v>
      </c>
      <c r="AN15" s="108">
        <v>0</v>
      </c>
      <c r="AO15" s="108">
        <v>0</v>
      </c>
      <c r="AP15" s="108">
        <v>0</v>
      </c>
      <c r="AQ15" s="109">
        <v>0</v>
      </c>
    </row>
    <row r="16" spans="2:43" ht="12" customHeight="1" x14ac:dyDescent="0.25">
      <c r="B16" s="107" t="s">
        <v>33</v>
      </c>
      <c r="C16" s="108" t="s">
        <v>34</v>
      </c>
      <c r="D16" s="108" t="s">
        <v>25</v>
      </c>
      <c r="E16" s="108" t="s">
        <v>25</v>
      </c>
      <c r="F16" s="108" t="s">
        <v>79</v>
      </c>
      <c r="G16" s="108" t="s">
        <v>36</v>
      </c>
      <c r="H16" s="108" t="s">
        <v>71</v>
      </c>
      <c r="I16" s="108" t="s">
        <v>25</v>
      </c>
      <c r="J16" s="108">
        <v>18.829999999999998</v>
      </c>
      <c r="K16" s="108">
        <v>0</v>
      </c>
      <c r="L16" s="108">
        <v>0</v>
      </c>
      <c r="M16" s="108">
        <v>1.6101578945658499</v>
      </c>
      <c r="N16" s="108">
        <v>0</v>
      </c>
      <c r="O16" s="108">
        <v>0</v>
      </c>
      <c r="P16" s="108">
        <v>0</v>
      </c>
      <c r="Q16" s="108">
        <v>0</v>
      </c>
      <c r="R16" s="108">
        <v>0</v>
      </c>
      <c r="S16" s="108">
        <v>0</v>
      </c>
      <c r="T16" s="108">
        <v>0</v>
      </c>
      <c r="U16" s="108">
        <v>0</v>
      </c>
      <c r="V16" s="108">
        <v>0</v>
      </c>
      <c r="W16" s="108">
        <v>0</v>
      </c>
      <c r="X16" s="108">
        <v>0</v>
      </c>
      <c r="Y16" s="108">
        <v>0</v>
      </c>
      <c r="Z16" s="108">
        <v>0</v>
      </c>
      <c r="AA16" s="108">
        <v>0</v>
      </c>
      <c r="AB16" s="108">
        <v>0</v>
      </c>
      <c r="AC16" s="108">
        <v>0</v>
      </c>
      <c r="AD16" s="108">
        <v>15.086320794546801</v>
      </c>
      <c r="AE16" s="108">
        <v>0</v>
      </c>
      <c r="AF16" s="108">
        <v>2.1351233851307598</v>
      </c>
      <c r="AG16" s="108">
        <v>0</v>
      </c>
      <c r="AH16" s="108">
        <v>0</v>
      </c>
      <c r="AI16" s="108">
        <v>0</v>
      </c>
      <c r="AJ16" s="108">
        <v>0</v>
      </c>
      <c r="AK16" s="108">
        <v>0</v>
      </c>
      <c r="AL16" s="108">
        <v>0</v>
      </c>
      <c r="AM16" s="108">
        <v>0</v>
      </c>
      <c r="AN16" s="108">
        <v>0</v>
      </c>
      <c r="AO16" s="108">
        <v>0</v>
      </c>
      <c r="AP16" s="108">
        <v>0</v>
      </c>
      <c r="AQ16" s="109">
        <v>0</v>
      </c>
    </row>
    <row r="17" spans="2:43" ht="12" customHeight="1" x14ac:dyDescent="0.25">
      <c r="B17" s="107" t="s">
        <v>33</v>
      </c>
      <c r="C17" s="108" t="s">
        <v>34</v>
      </c>
      <c r="D17" s="108" t="s">
        <v>25</v>
      </c>
      <c r="E17" s="108" t="s">
        <v>25</v>
      </c>
      <c r="F17" s="108" t="s">
        <v>25</v>
      </c>
      <c r="G17" s="108" t="s">
        <v>35</v>
      </c>
      <c r="H17" s="108" t="s">
        <v>71</v>
      </c>
      <c r="I17" s="108" t="s">
        <v>25</v>
      </c>
      <c r="J17" s="108">
        <v>5297.28</v>
      </c>
      <c r="K17" s="108">
        <v>203.17</v>
      </c>
      <c r="L17" s="108">
        <v>19.888161566657001</v>
      </c>
      <c r="M17" s="108">
        <v>1.6101578945658499</v>
      </c>
      <c r="N17" s="108">
        <v>0</v>
      </c>
      <c r="O17" s="108">
        <v>0</v>
      </c>
      <c r="P17" s="108">
        <v>0</v>
      </c>
      <c r="Q17" s="108">
        <v>74.223429727787405</v>
      </c>
      <c r="R17" s="108">
        <v>14.6577530776608</v>
      </c>
      <c r="S17" s="108">
        <v>0</v>
      </c>
      <c r="T17" s="108">
        <v>0</v>
      </c>
      <c r="U17" s="108">
        <v>0</v>
      </c>
      <c r="V17" s="108">
        <v>0</v>
      </c>
      <c r="W17" s="108">
        <v>0</v>
      </c>
      <c r="X17" s="108">
        <v>1277.9435169451999</v>
      </c>
      <c r="Y17" s="108">
        <v>0</v>
      </c>
      <c r="Z17" s="108">
        <v>0</v>
      </c>
      <c r="AA17" s="108">
        <v>3891.7353493289502</v>
      </c>
      <c r="AB17" s="108">
        <v>0</v>
      </c>
      <c r="AC17" s="108">
        <v>0</v>
      </c>
      <c r="AD17" s="108">
        <v>15.086320794546801</v>
      </c>
      <c r="AE17" s="108">
        <v>0</v>
      </c>
      <c r="AF17" s="108">
        <v>2.1351233851307598</v>
      </c>
      <c r="AG17" s="108">
        <v>0</v>
      </c>
      <c r="AH17" s="108">
        <v>0</v>
      </c>
      <c r="AI17" s="108">
        <v>0</v>
      </c>
      <c r="AJ17" s="108">
        <v>0</v>
      </c>
      <c r="AK17" s="108">
        <v>0</v>
      </c>
      <c r="AL17" s="108">
        <v>203.16564772524501</v>
      </c>
      <c r="AM17" s="108">
        <v>0</v>
      </c>
      <c r="AN17" s="108">
        <v>0</v>
      </c>
      <c r="AO17" s="108">
        <v>0</v>
      </c>
      <c r="AP17" s="108">
        <v>0</v>
      </c>
      <c r="AQ17" s="109">
        <v>0</v>
      </c>
    </row>
    <row r="18" spans="2:43" ht="12" customHeight="1" x14ac:dyDescent="0.25">
      <c r="B18" s="107" t="s">
        <v>33</v>
      </c>
      <c r="C18" s="108" t="s">
        <v>34</v>
      </c>
      <c r="D18" s="108" t="s">
        <v>25</v>
      </c>
      <c r="E18" s="108" t="s">
        <v>25</v>
      </c>
      <c r="F18" s="108" t="s">
        <v>25</v>
      </c>
      <c r="G18" s="108" t="s">
        <v>25</v>
      </c>
      <c r="H18" s="108" t="s">
        <v>76</v>
      </c>
      <c r="I18" s="108" t="s">
        <v>25</v>
      </c>
      <c r="J18" s="108">
        <v>80.47</v>
      </c>
      <c r="K18" s="108">
        <v>0</v>
      </c>
      <c r="L18" s="108">
        <v>0</v>
      </c>
      <c r="M18" s="108">
        <v>0</v>
      </c>
      <c r="N18" s="108">
        <v>0</v>
      </c>
      <c r="O18" s="108">
        <v>0</v>
      </c>
      <c r="P18" s="108">
        <v>0</v>
      </c>
      <c r="Q18" s="108">
        <v>0</v>
      </c>
      <c r="R18" s="108">
        <v>0</v>
      </c>
      <c r="S18" s="108">
        <v>0</v>
      </c>
      <c r="T18" s="108">
        <v>0</v>
      </c>
      <c r="U18" s="108">
        <v>0</v>
      </c>
      <c r="V18" s="108">
        <v>0</v>
      </c>
      <c r="W18" s="108">
        <v>0</v>
      </c>
      <c r="X18" s="108">
        <v>28.8456703463597</v>
      </c>
      <c r="Y18" s="108">
        <v>0</v>
      </c>
      <c r="Z18" s="108">
        <v>0</v>
      </c>
      <c r="AA18" s="108">
        <v>51.620614539412202</v>
      </c>
      <c r="AB18" s="108">
        <v>0</v>
      </c>
      <c r="AC18" s="108">
        <v>0</v>
      </c>
      <c r="AD18" s="108">
        <v>0</v>
      </c>
      <c r="AE18" s="108">
        <v>0</v>
      </c>
      <c r="AF18" s="108">
        <v>0</v>
      </c>
      <c r="AG18" s="108">
        <v>0</v>
      </c>
      <c r="AH18" s="108">
        <v>0</v>
      </c>
      <c r="AI18" s="108">
        <v>0</v>
      </c>
      <c r="AJ18" s="108">
        <v>0</v>
      </c>
      <c r="AK18" s="108">
        <v>0</v>
      </c>
      <c r="AL18" s="108">
        <v>0</v>
      </c>
      <c r="AM18" s="108">
        <v>0</v>
      </c>
      <c r="AN18" s="108">
        <v>0</v>
      </c>
      <c r="AO18" s="108">
        <v>0</v>
      </c>
      <c r="AP18" s="108">
        <v>0</v>
      </c>
      <c r="AQ18" s="109">
        <v>0</v>
      </c>
    </row>
    <row r="19" spans="2:43" ht="12" customHeight="1" x14ac:dyDescent="0.25">
      <c r="B19" s="107" t="s">
        <v>33</v>
      </c>
      <c r="C19" s="108" t="s">
        <v>34</v>
      </c>
      <c r="D19" s="108" t="s">
        <v>25</v>
      </c>
      <c r="E19" s="108" t="s">
        <v>25</v>
      </c>
      <c r="F19" s="108" t="s">
        <v>25</v>
      </c>
      <c r="G19" s="108" t="s">
        <v>36</v>
      </c>
      <c r="H19" s="108" t="s">
        <v>71</v>
      </c>
      <c r="I19" s="108" t="s">
        <v>25</v>
      </c>
      <c r="J19" s="108">
        <v>127.6</v>
      </c>
      <c r="K19" s="108">
        <v>203.17</v>
      </c>
      <c r="L19" s="108">
        <v>19.888161566657001</v>
      </c>
      <c r="M19" s="108">
        <v>1.6101578945658499</v>
      </c>
      <c r="N19" s="108">
        <v>0</v>
      </c>
      <c r="O19" s="108">
        <v>0</v>
      </c>
      <c r="P19" s="108">
        <v>0</v>
      </c>
      <c r="Q19" s="108">
        <v>74.223429727787405</v>
      </c>
      <c r="R19" s="108">
        <v>14.6577530776608</v>
      </c>
      <c r="S19" s="108">
        <v>0</v>
      </c>
      <c r="T19" s="108">
        <v>0</v>
      </c>
      <c r="U19" s="108">
        <v>0</v>
      </c>
      <c r="V19" s="108">
        <v>0</v>
      </c>
      <c r="W19" s="108">
        <v>0</v>
      </c>
      <c r="X19" s="108">
        <v>0</v>
      </c>
      <c r="Y19" s="108">
        <v>0</v>
      </c>
      <c r="Z19" s="108">
        <v>0</v>
      </c>
      <c r="AA19" s="108">
        <v>0</v>
      </c>
      <c r="AB19" s="108">
        <v>0</v>
      </c>
      <c r="AC19" s="108">
        <v>0</v>
      </c>
      <c r="AD19" s="108">
        <v>15.086320794546801</v>
      </c>
      <c r="AE19" s="108">
        <v>0</v>
      </c>
      <c r="AF19" s="108">
        <v>2.1351233851307598</v>
      </c>
      <c r="AG19" s="108">
        <v>0</v>
      </c>
      <c r="AH19" s="108">
        <v>0</v>
      </c>
      <c r="AI19" s="108">
        <v>0</v>
      </c>
      <c r="AJ19" s="108">
        <v>0</v>
      </c>
      <c r="AK19" s="108">
        <v>0</v>
      </c>
      <c r="AL19" s="108">
        <v>203.16564772524501</v>
      </c>
      <c r="AM19" s="108">
        <v>0</v>
      </c>
      <c r="AN19" s="108">
        <v>0</v>
      </c>
      <c r="AO19" s="108">
        <v>0</v>
      </c>
      <c r="AP19" s="108">
        <v>0</v>
      </c>
      <c r="AQ19" s="109">
        <v>0</v>
      </c>
    </row>
    <row r="20" spans="2:43" ht="12" customHeight="1" x14ac:dyDescent="0.25">
      <c r="B20" s="107" t="s">
        <v>81</v>
      </c>
      <c r="C20" s="108" t="s">
        <v>80</v>
      </c>
      <c r="D20" s="108" t="s">
        <v>25</v>
      </c>
      <c r="E20" s="108" t="s">
        <v>25</v>
      </c>
      <c r="F20" s="108" t="s">
        <v>82</v>
      </c>
      <c r="G20" s="108" t="s">
        <v>25</v>
      </c>
      <c r="H20" s="108" t="s">
        <v>76</v>
      </c>
      <c r="I20" s="108" t="s">
        <v>25</v>
      </c>
      <c r="J20" s="108">
        <v>8.83</v>
      </c>
      <c r="K20" s="108">
        <v>0</v>
      </c>
      <c r="L20" s="108">
        <v>0</v>
      </c>
      <c r="M20" s="108">
        <v>1.10039473354594E-2</v>
      </c>
      <c r="N20" s="108">
        <v>0</v>
      </c>
      <c r="O20" s="108">
        <v>0</v>
      </c>
      <c r="P20" s="108">
        <v>0</v>
      </c>
      <c r="Q20" s="108">
        <v>0</v>
      </c>
      <c r="R20" s="108">
        <v>0</v>
      </c>
      <c r="S20" s="108">
        <v>0</v>
      </c>
      <c r="T20" s="108">
        <v>0</v>
      </c>
      <c r="U20" s="108">
        <v>0</v>
      </c>
      <c r="V20" s="108">
        <v>0</v>
      </c>
      <c r="W20" s="108">
        <v>0</v>
      </c>
      <c r="X20" s="108">
        <v>0</v>
      </c>
      <c r="Y20" s="108">
        <v>0</v>
      </c>
      <c r="Z20" s="108">
        <v>0</v>
      </c>
      <c r="AA20" s="108">
        <v>8.8153242735823394</v>
      </c>
      <c r="AB20" s="108">
        <v>0</v>
      </c>
      <c r="AC20" s="108">
        <v>0</v>
      </c>
      <c r="AD20" s="108">
        <v>0</v>
      </c>
      <c r="AE20" s="108">
        <v>0</v>
      </c>
      <c r="AF20" s="108">
        <v>0</v>
      </c>
      <c r="AG20" s="108">
        <v>0</v>
      </c>
      <c r="AH20" s="108">
        <v>0</v>
      </c>
      <c r="AI20" s="108">
        <v>0</v>
      </c>
      <c r="AJ20" s="108">
        <v>0</v>
      </c>
      <c r="AK20" s="108">
        <v>0</v>
      </c>
      <c r="AL20" s="108">
        <v>0</v>
      </c>
      <c r="AM20" s="108">
        <v>0</v>
      </c>
      <c r="AN20" s="108">
        <v>0</v>
      </c>
      <c r="AO20" s="108">
        <v>0</v>
      </c>
      <c r="AP20" s="108">
        <v>0</v>
      </c>
      <c r="AQ20" s="109">
        <v>0</v>
      </c>
    </row>
    <row r="21" spans="2:43" ht="12" customHeight="1" x14ac:dyDescent="0.25">
      <c r="B21" s="107" t="s">
        <v>81</v>
      </c>
      <c r="C21" s="108" t="s">
        <v>80</v>
      </c>
      <c r="D21" s="108" t="s">
        <v>25</v>
      </c>
      <c r="E21" s="108" t="s">
        <v>25</v>
      </c>
      <c r="F21" s="108" t="s">
        <v>83</v>
      </c>
      <c r="G21" s="108" t="s">
        <v>25</v>
      </c>
      <c r="H21" s="108" t="s">
        <v>76</v>
      </c>
      <c r="I21" s="108" t="s">
        <v>25</v>
      </c>
      <c r="J21" s="108">
        <v>28.42</v>
      </c>
      <c r="K21" s="108">
        <v>0</v>
      </c>
      <c r="L21" s="108">
        <v>0</v>
      </c>
      <c r="M21" s="108">
        <v>1.10039473354594E-2</v>
      </c>
      <c r="N21" s="108">
        <v>0</v>
      </c>
      <c r="O21" s="108">
        <v>0</v>
      </c>
      <c r="P21" s="108">
        <v>0</v>
      </c>
      <c r="Q21" s="108">
        <v>0</v>
      </c>
      <c r="R21" s="108">
        <v>0</v>
      </c>
      <c r="S21" s="108">
        <v>0</v>
      </c>
      <c r="T21" s="108">
        <v>0</v>
      </c>
      <c r="U21" s="108">
        <v>0</v>
      </c>
      <c r="V21" s="108">
        <v>0</v>
      </c>
      <c r="W21" s="108">
        <v>0</v>
      </c>
      <c r="X21" s="108">
        <v>0</v>
      </c>
      <c r="Y21" s="108">
        <v>0</v>
      </c>
      <c r="Z21" s="108">
        <v>0</v>
      </c>
      <c r="AA21" s="108">
        <v>28.411844623171699</v>
      </c>
      <c r="AB21" s="108">
        <v>0</v>
      </c>
      <c r="AC21" s="108">
        <v>0</v>
      </c>
      <c r="AD21" s="108">
        <v>0</v>
      </c>
      <c r="AE21" s="108">
        <v>0</v>
      </c>
      <c r="AF21" s="108">
        <v>0</v>
      </c>
      <c r="AG21" s="108">
        <v>0</v>
      </c>
      <c r="AH21" s="108">
        <v>0</v>
      </c>
      <c r="AI21" s="108">
        <v>0</v>
      </c>
      <c r="AJ21" s="108">
        <v>0</v>
      </c>
      <c r="AK21" s="108">
        <v>0</v>
      </c>
      <c r="AL21" s="108">
        <v>0</v>
      </c>
      <c r="AM21" s="108">
        <v>0</v>
      </c>
      <c r="AN21" s="108">
        <v>0</v>
      </c>
      <c r="AO21" s="108">
        <v>0</v>
      </c>
      <c r="AP21" s="108">
        <v>0</v>
      </c>
      <c r="AQ21" s="109">
        <v>0</v>
      </c>
    </row>
    <row r="22" spans="2:43" ht="12" customHeight="1" x14ac:dyDescent="0.25">
      <c r="B22" s="107" t="s">
        <v>22</v>
      </c>
      <c r="C22" s="108" t="s">
        <v>37</v>
      </c>
      <c r="D22" s="108" t="s">
        <v>24</v>
      </c>
      <c r="E22" s="108" t="s">
        <v>24</v>
      </c>
      <c r="F22" s="108" t="s">
        <v>25</v>
      </c>
      <c r="G22" s="108" t="s">
        <v>35</v>
      </c>
      <c r="H22" s="108" t="s">
        <v>71</v>
      </c>
      <c r="I22" s="108" t="s">
        <v>25</v>
      </c>
      <c r="J22" s="108">
        <v>2492.4699999999998</v>
      </c>
      <c r="K22" s="108">
        <v>203.17</v>
      </c>
      <c r="L22" s="108">
        <v>23.6763828174488</v>
      </c>
      <c r="M22" s="108">
        <v>3.0995814557361201</v>
      </c>
      <c r="N22" s="108">
        <v>0</v>
      </c>
      <c r="O22" s="108">
        <v>0</v>
      </c>
      <c r="P22" s="108">
        <v>0</v>
      </c>
      <c r="Q22" s="108">
        <v>88.361225866413506</v>
      </c>
      <c r="R22" s="108">
        <v>14.6577530776608</v>
      </c>
      <c r="S22" s="108">
        <v>0</v>
      </c>
      <c r="T22" s="108">
        <v>0</v>
      </c>
      <c r="U22" s="108">
        <v>0</v>
      </c>
      <c r="V22" s="108">
        <v>0</v>
      </c>
      <c r="W22" s="108">
        <v>0</v>
      </c>
      <c r="X22" s="108">
        <v>534.84633561442104</v>
      </c>
      <c r="Y22" s="108">
        <v>0</v>
      </c>
      <c r="Z22" s="108">
        <v>0</v>
      </c>
      <c r="AA22" s="108">
        <v>1789.1286042203001</v>
      </c>
      <c r="AB22" s="108">
        <v>0</v>
      </c>
      <c r="AC22" s="108">
        <v>0</v>
      </c>
      <c r="AD22" s="108">
        <v>35.4021792341834</v>
      </c>
      <c r="AE22" s="108">
        <v>0</v>
      </c>
      <c r="AF22" s="108">
        <v>3.2938079199423602</v>
      </c>
      <c r="AG22" s="108">
        <v>0</v>
      </c>
      <c r="AH22" s="108">
        <v>0</v>
      </c>
      <c r="AI22" s="108">
        <v>0</v>
      </c>
      <c r="AJ22" s="108">
        <v>0</v>
      </c>
      <c r="AK22" s="108">
        <v>0</v>
      </c>
      <c r="AL22" s="108">
        <v>203.16564772524501</v>
      </c>
      <c r="AM22" s="108">
        <v>0</v>
      </c>
      <c r="AN22" s="108">
        <v>0</v>
      </c>
      <c r="AO22" s="108">
        <v>0</v>
      </c>
      <c r="AP22" s="108">
        <v>0</v>
      </c>
      <c r="AQ22" s="109">
        <v>0</v>
      </c>
    </row>
    <row r="23" spans="2:43" ht="12" customHeight="1" x14ac:dyDescent="0.25">
      <c r="B23" s="107" t="s">
        <v>22</v>
      </c>
      <c r="C23" s="108" t="s">
        <v>37</v>
      </c>
      <c r="D23" s="108" t="s">
        <v>24</v>
      </c>
      <c r="E23" s="108" t="s">
        <v>24</v>
      </c>
      <c r="F23" s="108" t="s">
        <v>25</v>
      </c>
      <c r="G23" s="108" t="s">
        <v>38</v>
      </c>
      <c r="H23" s="108" t="s">
        <v>71</v>
      </c>
      <c r="I23" s="108" t="s">
        <v>25</v>
      </c>
      <c r="J23" s="108">
        <v>1562.88</v>
      </c>
      <c r="K23" s="108">
        <v>203.17</v>
      </c>
      <c r="L23" s="108">
        <v>23.6763828174488</v>
      </c>
      <c r="M23" s="108">
        <v>3.0995814557361201</v>
      </c>
      <c r="N23" s="108">
        <v>0</v>
      </c>
      <c r="O23" s="108">
        <v>0</v>
      </c>
      <c r="P23" s="108">
        <v>0</v>
      </c>
      <c r="Q23" s="108">
        <v>88.361225866413506</v>
      </c>
      <c r="R23" s="108">
        <v>14.6577530776608</v>
      </c>
      <c r="S23" s="108">
        <v>0</v>
      </c>
      <c r="T23" s="108">
        <v>0</v>
      </c>
      <c r="U23" s="108">
        <v>0</v>
      </c>
      <c r="V23" s="108">
        <v>0</v>
      </c>
      <c r="W23" s="108">
        <v>0</v>
      </c>
      <c r="X23" s="108">
        <v>320.907801368653</v>
      </c>
      <c r="Y23" s="108">
        <v>0</v>
      </c>
      <c r="Z23" s="108">
        <v>0</v>
      </c>
      <c r="AA23" s="108">
        <v>1073.4773751738001</v>
      </c>
      <c r="AB23" s="108">
        <v>0</v>
      </c>
      <c r="AC23" s="108">
        <v>0</v>
      </c>
      <c r="AD23" s="108">
        <v>35.4021792341834</v>
      </c>
      <c r="AE23" s="108">
        <v>0</v>
      </c>
      <c r="AF23" s="108">
        <v>3.2938079199423602</v>
      </c>
      <c r="AG23" s="108">
        <v>0</v>
      </c>
      <c r="AH23" s="108">
        <v>0</v>
      </c>
      <c r="AI23" s="108">
        <v>0</v>
      </c>
      <c r="AJ23" s="108">
        <v>0</v>
      </c>
      <c r="AK23" s="108">
        <v>0</v>
      </c>
      <c r="AL23" s="108">
        <v>203.16564772524501</v>
      </c>
      <c r="AM23" s="108">
        <v>0</v>
      </c>
      <c r="AN23" s="108">
        <v>0</v>
      </c>
      <c r="AO23" s="108">
        <v>0</v>
      </c>
      <c r="AP23" s="108">
        <v>0</v>
      </c>
      <c r="AQ23" s="109">
        <v>0</v>
      </c>
    </row>
    <row r="24" spans="2:43" ht="12" customHeight="1" x14ac:dyDescent="0.25">
      <c r="B24" s="107" t="s">
        <v>22</v>
      </c>
      <c r="C24" s="108" t="s">
        <v>37</v>
      </c>
      <c r="D24" s="108" t="s">
        <v>24</v>
      </c>
      <c r="E24" s="108" t="s">
        <v>24</v>
      </c>
      <c r="F24" s="108" t="s">
        <v>25</v>
      </c>
      <c r="G24" s="108" t="s">
        <v>36</v>
      </c>
      <c r="H24" s="108" t="s">
        <v>71</v>
      </c>
      <c r="I24" s="108" t="s">
        <v>25</v>
      </c>
      <c r="J24" s="108">
        <v>633.29</v>
      </c>
      <c r="K24" s="108">
        <v>203.17</v>
      </c>
      <c r="L24" s="108">
        <v>23.6763828174488</v>
      </c>
      <c r="M24" s="108">
        <v>3.0995814557361201</v>
      </c>
      <c r="N24" s="108">
        <v>0</v>
      </c>
      <c r="O24" s="108">
        <v>0</v>
      </c>
      <c r="P24" s="108">
        <v>0</v>
      </c>
      <c r="Q24" s="108">
        <v>88.361225866413506</v>
      </c>
      <c r="R24" s="108">
        <v>14.6577530776608</v>
      </c>
      <c r="S24" s="108">
        <v>0</v>
      </c>
      <c r="T24" s="108">
        <v>0</v>
      </c>
      <c r="U24" s="108">
        <v>0</v>
      </c>
      <c r="V24" s="108">
        <v>0</v>
      </c>
      <c r="W24" s="108">
        <v>0</v>
      </c>
      <c r="X24" s="108">
        <v>106.97039206127999</v>
      </c>
      <c r="Y24" s="108">
        <v>0</v>
      </c>
      <c r="Z24" s="108">
        <v>0</v>
      </c>
      <c r="AA24" s="108">
        <v>357.82561452324899</v>
      </c>
      <c r="AB24" s="108">
        <v>0</v>
      </c>
      <c r="AC24" s="108">
        <v>0</v>
      </c>
      <c r="AD24" s="108">
        <v>35.4021792341834</v>
      </c>
      <c r="AE24" s="108">
        <v>0</v>
      </c>
      <c r="AF24" s="108">
        <v>3.2938079199423602</v>
      </c>
      <c r="AG24" s="108">
        <v>0</v>
      </c>
      <c r="AH24" s="108">
        <v>0</v>
      </c>
      <c r="AI24" s="108">
        <v>0</v>
      </c>
      <c r="AJ24" s="108">
        <v>0</v>
      </c>
      <c r="AK24" s="108">
        <v>0</v>
      </c>
      <c r="AL24" s="108">
        <v>203.16564772524501</v>
      </c>
      <c r="AM24" s="108">
        <v>0</v>
      </c>
      <c r="AN24" s="108">
        <v>0</v>
      </c>
      <c r="AO24" s="108">
        <v>0</v>
      </c>
      <c r="AP24" s="108">
        <v>0</v>
      </c>
      <c r="AQ24" s="109">
        <v>0</v>
      </c>
    </row>
    <row r="25" spans="2:43" ht="12" customHeight="1" x14ac:dyDescent="0.25">
      <c r="B25" s="107" t="s">
        <v>22</v>
      </c>
      <c r="C25" s="108" t="s">
        <v>23</v>
      </c>
      <c r="D25" s="108" t="s">
        <v>24</v>
      </c>
      <c r="E25" s="108" t="s">
        <v>1121</v>
      </c>
      <c r="F25" s="108" t="s">
        <v>25</v>
      </c>
      <c r="G25" s="108" t="s">
        <v>25</v>
      </c>
      <c r="H25" s="108" t="s">
        <v>71</v>
      </c>
      <c r="I25" s="108" t="s">
        <v>25</v>
      </c>
      <c r="J25" s="108">
        <v>902.53</v>
      </c>
      <c r="K25" s="108">
        <v>203.17</v>
      </c>
      <c r="L25" s="108">
        <v>0</v>
      </c>
      <c r="M25" s="108">
        <v>3.0995814557361201</v>
      </c>
      <c r="N25" s="108">
        <v>0</v>
      </c>
      <c r="O25" s="108">
        <v>0</v>
      </c>
      <c r="P25" s="108">
        <v>0</v>
      </c>
      <c r="Q25" s="108">
        <v>0</v>
      </c>
      <c r="R25" s="108">
        <v>0</v>
      </c>
      <c r="S25" s="108">
        <v>0</v>
      </c>
      <c r="T25" s="108">
        <v>0</v>
      </c>
      <c r="U25" s="108">
        <v>0</v>
      </c>
      <c r="V25" s="108">
        <v>0</v>
      </c>
      <c r="W25" s="108">
        <v>0</v>
      </c>
      <c r="X25" s="108">
        <v>198.091527063444</v>
      </c>
      <c r="Y25" s="108">
        <v>0</v>
      </c>
      <c r="Z25" s="108">
        <v>0</v>
      </c>
      <c r="AA25" s="108">
        <v>662.64046989828705</v>
      </c>
      <c r="AB25" s="108">
        <v>0</v>
      </c>
      <c r="AC25" s="108">
        <v>0</v>
      </c>
      <c r="AD25" s="108">
        <v>35.4021792341834</v>
      </c>
      <c r="AE25" s="108">
        <v>0</v>
      </c>
      <c r="AF25" s="108">
        <v>3.2938079199423602</v>
      </c>
      <c r="AG25" s="108">
        <v>0</v>
      </c>
      <c r="AH25" s="108">
        <v>0</v>
      </c>
      <c r="AI25" s="108">
        <v>0</v>
      </c>
      <c r="AJ25" s="108">
        <v>0</v>
      </c>
      <c r="AK25" s="108">
        <v>0</v>
      </c>
      <c r="AL25" s="108">
        <v>203.16564772524501</v>
      </c>
      <c r="AM25" s="108">
        <v>0</v>
      </c>
      <c r="AN25" s="108">
        <v>0</v>
      </c>
      <c r="AO25" s="108">
        <v>0</v>
      </c>
      <c r="AP25" s="108">
        <v>0</v>
      </c>
      <c r="AQ25" s="109">
        <v>0</v>
      </c>
    </row>
    <row r="26" spans="2:43" ht="12" customHeight="1" x14ac:dyDescent="0.25">
      <c r="B26" s="107" t="s">
        <v>22</v>
      </c>
      <c r="C26" s="108" t="s">
        <v>23</v>
      </c>
      <c r="D26" s="108" t="s">
        <v>24</v>
      </c>
      <c r="E26" s="108" t="s">
        <v>24</v>
      </c>
      <c r="F26" s="108" t="s">
        <v>25</v>
      </c>
      <c r="G26" s="108" t="s">
        <v>25</v>
      </c>
      <c r="H26" s="108" t="s">
        <v>71</v>
      </c>
      <c r="I26" s="108" t="s">
        <v>25</v>
      </c>
      <c r="J26" s="108">
        <v>1029.22</v>
      </c>
      <c r="K26" s="108">
        <v>203.17</v>
      </c>
      <c r="L26" s="108">
        <v>23.6763828174488</v>
      </c>
      <c r="M26" s="108">
        <v>3.0995814557361201</v>
      </c>
      <c r="N26" s="108">
        <v>0</v>
      </c>
      <c r="O26" s="108">
        <v>0</v>
      </c>
      <c r="P26" s="108">
        <v>0</v>
      </c>
      <c r="Q26" s="108">
        <v>88.361225866413506</v>
      </c>
      <c r="R26" s="108">
        <v>14.6577530776608</v>
      </c>
      <c r="S26" s="108">
        <v>0</v>
      </c>
      <c r="T26" s="108">
        <v>0</v>
      </c>
      <c r="U26" s="108">
        <v>0</v>
      </c>
      <c r="V26" s="108">
        <v>0</v>
      </c>
      <c r="W26" s="108">
        <v>0</v>
      </c>
      <c r="X26" s="108">
        <v>198.091527063444</v>
      </c>
      <c r="Y26" s="108">
        <v>0</v>
      </c>
      <c r="Z26" s="108">
        <v>0</v>
      </c>
      <c r="AA26" s="108">
        <v>662.64046989828705</v>
      </c>
      <c r="AB26" s="108">
        <v>0</v>
      </c>
      <c r="AC26" s="108">
        <v>0</v>
      </c>
      <c r="AD26" s="108">
        <v>35.4021792341834</v>
      </c>
      <c r="AE26" s="108">
        <v>0</v>
      </c>
      <c r="AF26" s="108">
        <v>3.2938079199423602</v>
      </c>
      <c r="AG26" s="108">
        <v>0</v>
      </c>
      <c r="AH26" s="108">
        <v>0</v>
      </c>
      <c r="AI26" s="108">
        <v>0</v>
      </c>
      <c r="AJ26" s="108">
        <v>0</v>
      </c>
      <c r="AK26" s="108">
        <v>0</v>
      </c>
      <c r="AL26" s="108">
        <v>203.16564772524501</v>
      </c>
      <c r="AM26" s="108">
        <v>0</v>
      </c>
      <c r="AN26" s="108">
        <v>0</v>
      </c>
      <c r="AO26" s="108">
        <v>0</v>
      </c>
      <c r="AP26" s="108">
        <v>0</v>
      </c>
      <c r="AQ26" s="109">
        <v>0</v>
      </c>
    </row>
    <row r="27" spans="2:43" ht="12" customHeight="1" x14ac:dyDescent="0.25">
      <c r="B27" s="107" t="s">
        <v>22</v>
      </c>
      <c r="C27" s="108" t="s">
        <v>86</v>
      </c>
      <c r="D27" s="108" t="s">
        <v>24</v>
      </c>
      <c r="E27" s="108" t="s">
        <v>1121</v>
      </c>
      <c r="F27" s="108" t="s">
        <v>25</v>
      </c>
      <c r="G27" s="108" t="s">
        <v>25</v>
      </c>
      <c r="H27" s="108" t="s">
        <v>71</v>
      </c>
      <c r="I27" s="108" t="s">
        <v>25</v>
      </c>
      <c r="J27" s="108">
        <v>902.53</v>
      </c>
      <c r="K27" s="108">
        <v>203.17</v>
      </c>
      <c r="L27" s="108">
        <v>0</v>
      </c>
      <c r="M27" s="108">
        <v>3.0995814557361201</v>
      </c>
      <c r="N27" s="108">
        <v>0</v>
      </c>
      <c r="O27" s="108">
        <v>0</v>
      </c>
      <c r="P27" s="108">
        <v>0</v>
      </c>
      <c r="Q27" s="108">
        <v>0</v>
      </c>
      <c r="R27" s="108">
        <v>0</v>
      </c>
      <c r="S27" s="108">
        <v>0</v>
      </c>
      <c r="T27" s="108">
        <v>0</v>
      </c>
      <c r="U27" s="108">
        <v>0</v>
      </c>
      <c r="V27" s="108">
        <v>0</v>
      </c>
      <c r="W27" s="108">
        <v>0</v>
      </c>
      <c r="X27" s="108">
        <v>198.091527063444</v>
      </c>
      <c r="Y27" s="108">
        <v>0</v>
      </c>
      <c r="Z27" s="108">
        <v>0</v>
      </c>
      <c r="AA27" s="108">
        <v>662.64046989828705</v>
      </c>
      <c r="AB27" s="108">
        <v>0</v>
      </c>
      <c r="AC27" s="108">
        <v>0</v>
      </c>
      <c r="AD27" s="108">
        <v>35.4021792341834</v>
      </c>
      <c r="AE27" s="108">
        <v>0</v>
      </c>
      <c r="AF27" s="108">
        <v>3.2938079199423602</v>
      </c>
      <c r="AG27" s="108">
        <v>0</v>
      </c>
      <c r="AH27" s="108">
        <v>0</v>
      </c>
      <c r="AI27" s="108">
        <v>0</v>
      </c>
      <c r="AJ27" s="108">
        <v>0</v>
      </c>
      <c r="AK27" s="108">
        <v>0</v>
      </c>
      <c r="AL27" s="108">
        <v>203.16564772524501</v>
      </c>
      <c r="AM27" s="108">
        <v>0</v>
      </c>
      <c r="AN27" s="108">
        <v>0</v>
      </c>
      <c r="AO27" s="108">
        <v>0</v>
      </c>
      <c r="AP27" s="108">
        <v>0</v>
      </c>
      <c r="AQ27" s="109">
        <v>0</v>
      </c>
    </row>
    <row r="28" spans="2:43" ht="12" customHeight="1" x14ac:dyDescent="0.25">
      <c r="B28" s="107" t="s">
        <v>22</v>
      </c>
      <c r="C28" s="108" t="s">
        <v>86</v>
      </c>
      <c r="D28" s="108" t="s">
        <v>24</v>
      </c>
      <c r="E28" s="108" t="s">
        <v>24</v>
      </c>
      <c r="F28" s="108" t="s">
        <v>25</v>
      </c>
      <c r="G28" s="108" t="s">
        <v>25</v>
      </c>
      <c r="H28" s="108" t="s">
        <v>71</v>
      </c>
      <c r="I28" s="108" t="s">
        <v>25</v>
      </c>
      <c r="J28" s="108">
        <v>1029.22</v>
      </c>
      <c r="K28" s="108">
        <v>203.17</v>
      </c>
      <c r="L28" s="108">
        <v>23.6763828174488</v>
      </c>
      <c r="M28" s="108">
        <v>3.0995814557361201</v>
      </c>
      <c r="N28" s="108">
        <v>0</v>
      </c>
      <c r="O28" s="108">
        <v>0</v>
      </c>
      <c r="P28" s="108">
        <v>0</v>
      </c>
      <c r="Q28" s="108">
        <v>88.361225866413506</v>
      </c>
      <c r="R28" s="108">
        <v>14.6577530776608</v>
      </c>
      <c r="S28" s="108">
        <v>0</v>
      </c>
      <c r="T28" s="108">
        <v>0</v>
      </c>
      <c r="U28" s="108">
        <v>0</v>
      </c>
      <c r="V28" s="108">
        <v>0</v>
      </c>
      <c r="W28" s="108">
        <v>0</v>
      </c>
      <c r="X28" s="108">
        <v>198.091527063444</v>
      </c>
      <c r="Y28" s="108">
        <v>0</v>
      </c>
      <c r="Z28" s="108">
        <v>0</v>
      </c>
      <c r="AA28" s="108">
        <v>662.64046989828705</v>
      </c>
      <c r="AB28" s="108">
        <v>0</v>
      </c>
      <c r="AC28" s="108">
        <v>0</v>
      </c>
      <c r="AD28" s="108">
        <v>35.4021792341834</v>
      </c>
      <c r="AE28" s="108">
        <v>0</v>
      </c>
      <c r="AF28" s="108">
        <v>3.2938079199423602</v>
      </c>
      <c r="AG28" s="108">
        <v>0</v>
      </c>
      <c r="AH28" s="108">
        <v>0</v>
      </c>
      <c r="AI28" s="108">
        <v>0</v>
      </c>
      <c r="AJ28" s="108">
        <v>0</v>
      </c>
      <c r="AK28" s="108">
        <v>0</v>
      </c>
      <c r="AL28" s="108">
        <v>203.16564772524501</v>
      </c>
      <c r="AM28" s="108">
        <v>0</v>
      </c>
      <c r="AN28" s="108">
        <v>0</v>
      </c>
      <c r="AO28" s="108">
        <v>0</v>
      </c>
      <c r="AP28" s="108">
        <v>0</v>
      </c>
      <c r="AQ28" s="109">
        <v>0</v>
      </c>
    </row>
    <row r="29" spans="2:43" ht="12" customHeight="1" x14ac:dyDescent="0.25">
      <c r="B29" s="107" t="s">
        <v>43</v>
      </c>
      <c r="C29" s="108" t="s">
        <v>37</v>
      </c>
      <c r="D29" s="108" t="s">
        <v>44</v>
      </c>
      <c r="E29" s="108" t="s">
        <v>87</v>
      </c>
      <c r="F29" s="108" t="s">
        <v>25</v>
      </c>
      <c r="G29" s="108" t="s">
        <v>35</v>
      </c>
      <c r="H29" s="108" t="s">
        <v>71</v>
      </c>
      <c r="I29" s="108" t="s">
        <v>25</v>
      </c>
      <c r="J29" s="108">
        <v>2262.0100000000002</v>
      </c>
      <c r="K29" s="108">
        <v>190.98</v>
      </c>
      <c r="L29" s="108">
        <v>22.2557998484019</v>
      </c>
      <c r="M29" s="108">
        <v>2.9136065683919501</v>
      </c>
      <c r="N29" s="108">
        <v>0</v>
      </c>
      <c r="O29" s="108">
        <v>0</v>
      </c>
      <c r="P29" s="108">
        <v>0</v>
      </c>
      <c r="Q29" s="108">
        <v>83.0595523144287</v>
      </c>
      <c r="R29" s="108">
        <v>13.778287893001201</v>
      </c>
      <c r="S29" s="108">
        <v>0</v>
      </c>
      <c r="T29" s="108">
        <v>0</v>
      </c>
      <c r="U29" s="108">
        <v>0</v>
      </c>
      <c r="V29" s="108">
        <v>0</v>
      </c>
      <c r="W29" s="108">
        <v>0</v>
      </c>
      <c r="X29" s="108">
        <v>484.13611511989399</v>
      </c>
      <c r="Y29" s="108">
        <v>0</v>
      </c>
      <c r="Z29" s="108">
        <v>0</v>
      </c>
      <c r="AA29" s="108">
        <v>1619.4928087236001</v>
      </c>
      <c r="AB29" s="108">
        <v>0</v>
      </c>
      <c r="AC29" s="108">
        <v>0</v>
      </c>
      <c r="AD29" s="108">
        <v>33.278048480132398</v>
      </c>
      <c r="AE29" s="108">
        <v>0</v>
      </c>
      <c r="AF29" s="108">
        <v>3.09617944474582</v>
      </c>
      <c r="AG29" s="108">
        <v>0</v>
      </c>
      <c r="AH29" s="108">
        <v>0</v>
      </c>
      <c r="AI29" s="108">
        <v>0</v>
      </c>
      <c r="AJ29" s="108">
        <v>0</v>
      </c>
      <c r="AK29" s="108">
        <v>0</v>
      </c>
      <c r="AL29" s="108">
        <v>190.97570886173</v>
      </c>
      <c r="AM29" s="108">
        <v>0</v>
      </c>
      <c r="AN29" s="108">
        <v>0</v>
      </c>
      <c r="AO29" s="108">
        <v>0</v>
      </c>
      <c r="AP29" s="108">
        <v>0</v>
      </c>
      <c r="AQ29" s="109">
        <v>0</v>
      </c>
    </row>
    <row r="30" spans="2:43" ht="12" customHeight="1" x14ac:dyDescent="0.25">
      <c r="B30" s="107" t="s">
        <v>43</v>
      </c>
      <c r="C30" s="108" t="s">
        <v>37</v>
      </c>
      <c r="D30" s="108" t="s">
        <v>44</v>
      </c>
      <c r="E30" s="108" t="s">
        <v>87</v>
      </c>
      <c r="F30" s="108" t="s">
        <v>25</v>
      </c>
      <c r="G30" s="108" t="s">
        <v>38</v>
      </c>
      <c r="H30" s="108" t="s">
        <v>71</v>
      </c>
      <c r="I30" s="108" t="s">
        <v>25</v>
      </c>
      <c r="J30" s="108">
        <v>1420.56</v>
      </c>
      <c r="K30" s="108">
        <v>190.98</v>
      </c>
      <c r="L30" s="108">
        <v>22.2557998484019</v>
      </c>
      <c r="M30" s="108">
        <v>2.9136065683919501</v>
      </c>
      <c r="N30" s="108">
        <v>0</v>
      </c>
      <c r="O30" s="108">
        <v>0</v>
      </c>
      <c r="P30" s="108">
        <v>0</v>
      </c>
      <c r="Q30" s="108">
        <v>83.0595523144287</v>
      </c>
      <c r="R30" s="108">
        <v>13.778287893001201</v>
      </c>
      <c r="S30" s="108">
        <v>0</v>
      </c>
      <c r="T30" s="108">
        <v>0</v>
      </c>
      <c r="U30" s="108">
        <v>0</v>
      </c>
      <c r="V30" s="108">
        <v>0</v>
      </c>
      <c r="W30" s="108">
        <v>0</v>
      </c>
      <c r="X30" s="108">
        <v>290.48145758351802</v>
      </c>
      <c r="Y30" s="108">
        <v>0</v>
      </c>
      <c r="Z30" s="108">
        <v>0</v>
      </c>
      <c r="AA30" s="108">
        <v>971.69583514650299</v>
      </c>
      <c r="AB30" s="108">
        <v>0</v>
      </c>
      <c r="AC30" s="108">
        <v>0</v>
      </c>
      <c r="AD30" s="108">
        <v>33.278048480132398</v>
      </c>
      <c r="AE30" s="108">
        <v>0</v>
      </c>
      <c r="AF30" s="108">
        <v>3.09617944474582</v>
      </c>
      <c r="AG30" s="108">
        <v>0</v>
      </c>
      <c r="AH30" s="108">
        <v>0</v>
      </c>
      <c r="AI30" s="108">
        <v>0</v>
      </c>
      <c r="AJ30" s="108">
        <v>0</v>
      </c>
      <c r="AK30" s="108">
        <v>0</v>
      </c>
      <c r="AL30" s="108">
        <v>190.97570886173</v>
      </c>
      <c r="AM30" s="108">
        <v>0</v>
      </c>
      <c r="AN30" s="108">
        <v>0</v>
      </c>
      <c r="AO30" s="108">
        <v>0</v>
      </c>
      <c r="AP30" s="108">
        <v>0</v>
      </c>
      <c r="AQ30" s="109">
        <v>0</v>
      </c>
    </row>
    <row r="31" spans="2:43" ht="12" customHeight="1" x14ac:dyDescent="0.25">
      <c r="B31" s="107" t="s">
        <v>43</v>
      </c>
      <c r="C31" s="108" t="s">
        <v>37</v>
      </c>
      <c r="D31" s="108" t="s">
        <v>44</v>
      </c>
      <c r="E31" s="108" t="s">
        <v>87</v>
      </c>
      <c r="F31" s="108" t="s">
        <v>25</v>
      </c>
      <c r="G31" s="108" t="s">
        <v>36</v>
      </c>
      <c r="H31" s="108" t="s">
        <v>71</v>
      </c>
      <c r="I31" s="108" t="s">
        <v>25</v>
      </c>
      <c r="J31" s="108">
        <v>579.11</v>
      </c>
      <c r="K31" s="108">
        <v>190.98</v>
      </c>
      <c r="L31" s="108">
        <v>22.2557998484019</v>
      </c>
      <c r="M31" s="108">
        <v>2.9136065683919501</v>
      </c>
      <c r="N31" s="108">
        <v>0</v>
      </c>
      <c r="O31" s="108">
        <v>0</v>
      </c>
      <c r="P31" s="108">
        <v>0</v>
      </c>
      <c r="Q31" s="108">
        <v>83.0595523144287</v>
      </c>
      <c r="R31" s="108">
        <v>13.778287893001201</v>
      </c>
      <c r="S31" s="108">
        <v>0</v>
      </c>
      <c r="T31" s="108">
        <v>0</v>
      </c>
      <c r="U31" s="108">
        <v>0</v>
      </c>
      <c r="V31" s="108">
        <v>0</v>
      </c>
      <c r="W31" s="108">
        <v>0</v>
      </c>
      <c r="X31" s="108">
        <v>96.826800047141901</v>
      </c>
      <c r="Y31" s="108">
        <v>0</v>
      </c>
      <c r="Z31" s="108">
        <v>0</v>
      </c>
      <c r="AA31" s="108">
        <v>323.89861171550098</v>
      </c>
      <c r="AB31" s="108">
        <v>0</v>
      </c>
      <c r="AC31" s="108">
        <v>0</v>
      </c>
      <c r="AD31" s="108">
        <v>33.278048480132398</v>
      </c>
      <c r="AE31" s="108">
        <v>0</v>
      </c>
      <c r="AF31" s="108">
        <v>3.09617944474582</v>
      </c>
      <c r="AG31" s="108">
        <v>0</v>
      </c>
      <c r="AH31" s="108">
        <v>0</v>
      </c>
      <c r="AI31" s="108">
        <v>0</v>
      </c>
      <c r="AJ31" s="108">
        <v>0</v>
      </c>
      <c r="AK31" s="108">
        <v>0</v>
      </c>
      <c r="AL31" s="108">
        <v>190.97570886173</v>
      </c>
      <c r="AM31" s="108">
        <v>0</v>
      </c>
      <c r="AN31" s="108">
        <v>0</v>
      </c>
      <c r="AO31" s="108">
        <v>0</v>
      </c>
      <c r="AP31" s="108">
        <v>0</v>
      </c>
      <c r="AQ31" s="109">
        <v>0</v>
      </c>
    </row>
    <row r="32" spans="2:43" ht="12" customHeight="1" x14ac:dyDescent="0.25">
      <c r="B32" s="107" t="s">
        <v>43</v>
      </c>
      <c r="C32" s="108" t="s">
        <v>37</v>
      </c>
      <c r="D32" s="108" t="s">
        <v>44</v>
      </c>
      <c r="E32" s="108" t="s">
        <v>25</v>
      </c>
      <c r="F32" s="108" t="s">
        <v>25</v>
      </c>
      <c r="G32" s="108" t="s">
        <v>35</v>
      </c>
      <c r="H32" s="108" t="s">
        <v>71</v>
      </c>
      <c r="I32" s="108" t="s">
        <v>25</v>
      </c>
      <c r="J32" s="108">
        <v>2262.0100000000002</v>
      </c>
      <c r="K32" s="108">
        <v>190.98</v>
      </c>
      <c r="L32" s="108">
        <v>22.2557998484019</v>
      </c>
      <c r="M32" s="108">
        <v>2.9136065683919501</v>
      </c>
      <c r="N32" s="108">
        <v>0</v>
      </c>
      <c r="O32" s="108">
        <v>0</v>
      </c>
      <c r="P32" s="108">
        <v>0</v>
      </c>
      <c r="Q32" s="108">
        <v>83.0595523144287</v>
      </c>
      <c r="R32" s="108">
        <v>13.778287893001201</v>
      </c>
      <c r="S32" s="108">
        <v>0</v>
      </c>
      <c r="T32" s="108">
        <v>0</v>
      </c>
      <c r="U32" s="108">
        <v>0</v>
      </c>
      <c r="V32" s="108">
        <v>0</v>
      </c>
      <c r="W32" s="108">
        <v>0</v>
      </c>
      <c r="X32" s="108">
        <v>484.13611511989399</v>
      </c>
      <c r="Y32" s="108">
        <v>0</v>
      </c>
      <c r="Z32" s="108">
        <v>0</v>
      </c>
      <c r="AA32" s="108">
        <v>1619.4928087236001</v>
      </c>
      <c r="AB32" s="108">
        <v>0</v>
      </c>
      <c r="AC32" s="108">
        <v>0</v>
      </c>
      <c r="AD32" s="108">
        <v>33.278048480132398</v>
      </c>
      <c r="AE32" s="108">
        <v>0</v>
      </c>
      <c r="AF32" s="108">
        <v>3.09617944474582</v>
      </c>
      <c r="AG32" s="108">
        <v>0</v>
      </c>
      <c r="AH32" s="108">
        <v>0</v>
      </c>
      <c r="AI32" s="108">
        <v>0</v>
      </c>
      <c r="AJ32" s="108">
        <v>0</v>
      </c>
      <c r="AK32" s="108">
        <v>0</v>
      </c>
      <c r="AL32" s="108">
        <v>190.97570886173</v>
      </c>
      <c r="AM32" s="108">
        <v>0</v>
      </c>
      <c r="AN32" s="108">
        <v>0</v>
      </c>
      <c r="AO32" s="108">
        <v>0</v>
      </c>
      <c r="AP32" s="108">
        <v>0</v>
      </c>
      <c r="AQ32" s="109">
        <v>0</v>
      </c>
    </row>
    <row r="33" spans="2:43" ht="12" customHeight="1" x14ac:dyDescent="0.25">
      <c r="B33" s="107" t="s">
        <v>43</v>
      </c>
      <c r="C33" s="108" t="s">
        <v>37</v>
      </c>
      <c r="D33" s="108" t="s">
        <v>44</v>
      </c>
      <c r="E33" s="108" t="s">
        <v>25</v>
      </c>
      <c r="F33" s="108" t="s">
        <v>25</v>
      </c>
      <c r="G33" s="108" t="s">
        <v>38</v>
      </c>
      <c r="H33" s="108" t="s">
        <v>71</v>
      </c>
      <c r="I33" s="108" t="s">
        <v>25</v>
      </c>
      <c r="J33" s="108">
        <v>1420.56</v>
      </c>
      <c r="K33" s="108">
        <v>190.98</v>
      </c>
      <c r="L33" s="108">
        <v>22.2557998484019</v>
      </c>
      <c r="M33" s="108">
        <v>2.9136065683919501</v>
      </c>
      <c r="N33" s="108">
        <v>0</v>
      </c>
      <c r="O33" s="108">
        <v>0</v>
      </c>
      <c r="P33" s="108">
        <v>0</v>
      </c>
      <c r="Q33" s="108">
        <v>83.0595523144287</v>
      </c>
      <c r="R33" s="108">
        <v>13.778287893001201</v>
      </c>
      <c r="S33" s="108">
        <v>0</v>
      </c>
      <c r="T33" s="108">
        <v>0</v>
      </c>
      <c r="U33" s="108">
        <v>0</v>
      </c>
      <c r="V33" s="108">
        <v>0</v>
      </c>
      <c r="W33" s="108">
        <v>0</v>
      </c>
      <c r="X33" s="108">
        <v>290.48145758351802</v>
      </c>
      <c r="Y33" s="108">
        <v>0</v>
      </c>
      <c r="Z33" s="108">
        <v>0</v>
      </c>
      <c r="AA33" s="108">
        <v>971.69583514650299</v>
      </c>
      <c r="AB33" s="108">
        <v>0</v>
      </c>
      <c r="AC33" s="108">
        <v>0</v>
      </c>
      <c r="AD33" s="108">
        <v>33.278048480132398</v>
      </c>
      <c r="AE33" s="108">
        <v>0</v>
      </c>
      <c r="AF33" s="108">
        <v>3.09617944474582</v>
      </c>
      <c r="AG33" s="108">
        <v>0</v>
      </c>
      <c r="AH33" s="108">
        <v>0</v>
      </c>
      <c r="AI33" s="108">
        <v>0</v>
      </c>
      <c r="AJ33" s="108">
        <v>0</v>
      </c>
      <c r="AK33" s="108">
        <v>0</v>
      </c>
      <c r="AL33" s="108">
        <v>190.97570886173</v>
      </c>
      <c r="AM33" s="108">
        <v>0</v>
      </c>
      <c r="AN33" s="108">
        <v>0</v>
      </c>
      <c r="AO33" s="108">
        <v>0</v>
      </c>
      <c r="AP33" s="108">
        <v>0</v>
      </c>
      <c r="AQ33" s="109">
        <v>0</v>
      </c>
    </row>
    <row r="34" spans="2:43" ht="12" customHeight="1" x14ac:dyDescent="0.25">
      <c r="B34" s="107" t="s">
        <v>43</v>
      </c>
      <c r="C34" s="108" t="s">
        <v>37</v>
      </c>
      <c r="D34" s="108" t="s">
        <v>44</v>
      </c>
      <c r="E34" s="108" t="s">
        <v>25</v>
      </c>
      <c r="F34" s="108" t="s">
        <v>25</v>
      </c>
      <c r="G34" s="108" t="s">
        <v>36</v>
      </c>
      <c r="H34" s="108" t="s">
        <v>71</v>
      </c>
      <c r="I34" s="108" t="s">
        <v>25</v>
      </c>
      <c r="J34" s="108">
        <v>579.11</v>
      </c>
      <c r="K34" s="108">
        <v>190.98</v>
      </c>
      <c r="L34" s="108">
        <v>22.2557998484019</v>
      </c>
      <c r="M34" s="108">
        <v>2.9136065683919501</v>
      </c>
      <c r="N34" s="108">
        <v>0</v>
      </c>
      <c r="O34" s="108">
        <v>0</v>
      </c>
      <c r="P34" s="108">
        <v>0</v>
      </c>
      <c r="Q34" s="108">
        <v>83.0595523144287</v>
      </c>
      <c r="R34" s="108">
        <v>13.778287893001201</v>
      </c>
      <c r="S34" s="108">
        <v>0</v>
      </c>
      <c r="T34" s="108">
        <v>0</v>
      </c>
      <c r="U34" s="108">
        <v>0</v>
      </c>
      <c r="V34" s="108">
        <v>0</v>
      </c>
      <c r="W34" s="108">
        <v>0</v>
      </c>
      <c r="X34" s="108">
        <v>96.826800047141901</v>
      </c>
      <c r="Y34" s="108">
        <v>0</v>
      </c>
      <c r="Z34" s="108">
        <v>0</v>
      </c>
      <c r="AA34" s="108">
        <v>323.89861171550098</v>
      </c>
      <c r="AB34" s="108">
        <v>0</v>
      </c>
      <c r="AC34" s="108">
        <v>0</v>
      </c>
      <c r="AD34" s="108">
        <v>33.278048480132398</v>
      </c>
      <c r="AE34" s="108">
        <v>0</v>
      </c>
      <c r="AF34" s="108">
        <v>3.09617944474582</v>
      </c>
      <c r="AG34" s="108">
        <v>0</v>
      </c>
      <c r="AH34" s="108">
        <v>0</v>
      </c>
      <c r="AI34" s="108">
        <v>0</v>
      </c>
      <c r="AJ34" s="108">
        <v>0</v>
      </c>
      <c r="AK34" s="108">
        <v>0</v>
      </c>
      <c r="AL34" s="108">
        <v>190.97570886173</v>
      </c>
      <c r="AM34" s="108">
        <v>0</v>
      </c>
      <c r="AN34" s="108">
        <v>0</v>
      </c>
      <c r="AO34" s="108">
        <v>0</v>
      </c>
      <c r="AP34" s="108">
        <v>0</v>
      </c>
      <c r="AQ34" s="109">
        <v>0</v>
      </c>
    </row>
    <row r="35" spans="2:43" ht="12" customHeight="1" x14ac:dyDescent="0.25">
      <c r="B35" s="107" t="s">
        <v>43</v>
      </c>
      <c r="C35" s="108" t="s">
        <v>37</v>
      </c>
      <c r="D35" s="108" t="s">
        <v>44</v>
      </c>
      <c r="E35" s="108" t="s">
        <v>88</v>
      </c>
      <c r="F35" s="108" t="s">
        <v>25</v>
      </c>
      <c r="G35" s="108" t="s">
        <v>35</v>
      </c>
      <c r="H35" s="108" t="s">
        <v>71</v>
      </c>
      <c r="I35" s="108" t="s">
        <v>25</v>
      </c>
      <c r="J35" s="108">
        <v>2213.88</v>
      </c>
      <c r="K35" s="108">
        <v>186.91</v>
      </c>
      <c r="L35" s="108">
        <v>21.782272192052901</v>
      </c>
      <c r="M35" s="108">
        <v>2.8516149392772299</v>
      </c>
      <c r="N35" s="108">
        <v>0</v>
      </c>
      <c r="O35" s="108">
        <v>0</v>
      </c>
      <c r="P35" s="108">
        <v>0</v>
      </c>
      <c r="Q35" s="108">
        <v>81.292327797100498</v>
      </c>
      <c r="R35" s="108">
        <v>13.485132831448</v>
      </c>
      <c r="S35" s="108">
        <v>0</v>
      </c>
      <c r="T35" s="108">
        <v>0</v>
      </c>
      <c r="U35" s="108">
        <v>0</v>
      </c>
      <c r="V35" s="108">
        <v>0</v>
      </c>
      <c r="W35" s="108">
        <v>0</v>
      </c>
      <c r="X35" s="108">
        <v>473.83534671308797</v>
      </c>
      <c r="Y35" s="108">
        <v>0</v>
      </c>
      <c r="Z35" s="108">
        <v>0</v>
      </c>
      <c r="AA35" s="108">
        <v>1585.0355149209699</v>
      </c>
      <c r="AB35" s="108">
        <v>0</v>
      </c>
      <c r="AC35" s="108">
        <v>0</v>
      </c>
      <c r="AD35" s="108">
        <v>32.570004895448697</v>
      </c>
      <c r="AE35" s="108">
        <v>0</v>
      </c>
      <c r="AF35" s="108">
        <v>3.0303032863469799</v>
      </c>
      <c r="AG35" s="108">
        <v>0</v>
      </c>
      <c r="AH35" s="108">
        <v>0</v>
      </c>
      <c r="AI35" s="108">
        <v>0</v>
      </c>
      <c r="AJ35" s="108">
        <v>0</v>
      </c>
      <c r="AK35" s="108">
        <v>0</v>
      </c>
      <c r="AL35" s="108">
        <v>186.912395907225</v>
      </c>
      <c r="AM35" s="108">
        <v>0</v>
      </c>
      <c r="AN35" s="108">
        <v>0</v>
      </c>
      <c r="AO35" s="108">
        <v>0</v>
      </c>
      <c r="AP35" s="108">
        <v>0</v>
      </c>
      <c r="AQ35" s="109">
        <v>0</v>
      </c>
    </row>
    <row r="36" spans="2:43" ht="12" customHeight="1" x14ac:dyDescent="0.25">
      <c r="B36" s="107" t="s">
        <v>43</v>
      </c>
      <c r="C36" s="108" t="s">
        <v>37</v>
      </c>
      <c r="D36" s="108" t="s">
        <v>44</v>
      </c>
      <c r="E36" s="108" t="s">
        <v>88</v>
      </c>
      <c r="F36" s="108" t="s">
        <v>25</v>
      </c>
      <c r="G36" s="108" t="s">
        <v>38</v>
      </c>
      <c r="H36" s="108" t="s">
        <v>71</v>
      </c>
      <c r="I36" s="108" t="s">
        <v>25</v>
      </c>
      <c r="J36" s="108">
        <v>1390.33</v>
      </c>
      <c r="K36" s="108">
        <v>186.91</v>
      </c>
      <c r="L36" s="108">
        <v>21.782272192052901</v>
      </c>
      <c r="M36" s="108">
        <v>2.8516149392772299</v>
      </c>
      <c r="N36" s="108">
        <v>0</v>
      </c>
      <c r="O36" s="108">
        <v>0</v>
      </c>
      <c r="P36" s="108">
        <v>0</v>
      </c>
      <c r="Q36" s="108">
        <v>81.292327797100498</v>
      </c>
      <c r="R36" s="108">
        <v>13.485132831448</v>
      </c>
      <c r="S36" s="108">
        <v>0</v>
      </c>
      <c r="T36" s="108">
        <v>0</v>
      </c>
      <c r="U36" s="108">
        <v>0</v>
      </c>
      <c r="V36" s="108">
        <v>0</v>
      </c>
      <c r="W36" s="108">
        <v>0</v>
      </c>
      <c r="X36" s="108">
        <v>284.30100103918801</v>
      </c>
      <c r="Y36" s="108">
        <v>0</v>
      </c>
      <c r="Z36" s="108">
        <v>0</v>
      </c>
      <c r="AA36" s="108">
        <v>951.02145567530101</v>
      </c>
      <c r="AB36" s="108">
        <v>0</v>
      </c>
      <c r="AC36" s="108">
        <v>0</v>
      </c>
      <c r="AD36" s="108">
        <v>32.570004895448697</v>
      </c>
      <c r="AE36" s="108">
        <v>0</v>
      </c>
      <c r="AF36" s="108">
        <v>3.0303032863469799</v>
      </c>
      <c r="AG36" s="108">
        <v>0</v>
      </c>
      <c r="AH36" s="108">
        <v>0</v>
      </c>
      <c r="AI36" s="108">
        <v>0</v>
      </c>
      <c r="AJ36" s="108">
        <v>0</v>
      </c>
      <c r="AK36" s="108">
        <v>0</v>
      </c>
      <c r="AL36" s="108">
        <v>186.912395907225</v>
      </c>
      <c r="AM36" s="108">
        <v>0</v>
      </c>
      <c r="AN36" s="108">
        <v>0</v>
      </c>
      <c r="AO36" s="108">
        <v>0</v>
      </c>
      <c r="AP36" s="108">
        <v>0</v>
      </c>
      <c r="AQ36" s="109">
        <v>0</v>
      </c>
    </row>
    <row r="37" spans="2:43" ht="12" customHeight="1" x14ac:dyDescent="0.25">
      <c r="B37" s="107" t="s">
        <v>43</v>
      </c>
      <c r="C37" s="108" t="s">
        <v>37</v>
      </c>
      <c r="D37" s="108" t="s">
        <v>44</v>
      </c>
      <c r="E37" s="108" t="s">
        <v>88</v>
      </c>
      <c r="F37" s="108" t="s">
        <v>25</v>
      </c>
      <c r="G37" s="108" t="s">
        <v>36</v>
      </c>
      <c r="H37" s="108" t="s">
        <v>71</v>
      </c>
      <c r="I37" s="108" t="s">
        <v>25</v>
      </c>
      <c r="J37" s="108">
        <v>566.79</v>
      </c>
      <c r="K37" s="108">
        <v>186.91</v>
      </c>
      <c r="L37" s="108">
        <v>21.782272192052901</v>
      </c>
      <c r="M37" s="108">
        <v>2.8516149392772299</v>
      </c>
      <c r="N37" s="108">
        <v>0</v>
      </c>
      <c r="O37" s="108">
        <v>0</v>
      </c>
      <c r="P37" s="108">
        <v>0</v>
      </c>
      <c r="Q37" s="108">
        <v>81.292327797100498</v>
      </c>
      <c r="R37" s="108">
        <v>13.485132831448</v>
      </c>
      <c r="S37" s="108">
        <v>0</v>
      </c>
      <c r="T37" s="108">
        <v>0</v>
      </c>
      <c r="U37" s="108">
        <v>0</v>
      </c>
      <c r="V37" s="108">
        <v>0</v>
      </c>
      <c r="W37" s="108">
        <v>0</v>
      </c>
      <c r="X37" s="108">
        <v>94.766655365287804</v>
      </c>
      <c r="Y37" s="108">
        <v>0</v>
      </c>
      <c r="Z37" s="108">
        <v>0</v>
      </c>
      <c r="AA37" s="108">
        <v>317.00715189176702</v>
      </c>
      <c r="AB37" s="108">
        <v>0</v>
      </c>
      <c r="AC37" s="108">
        <v>0</v>
      </c>
      <c r="AD37" s="108">
        <v>32.570004895448697</v>
      </c>
      <c r="AE37" s="108">
        <v>0</v>
      </c>
      <c r="AF37" s="108">
        <v>3.0303032863469799</v>
      </c>
      <c r="AG37" s="108">
        <v>0</v>
      </c>
      <c r="AH37" s="108">
        <v>0</v>
      </c>
      <c r="AI37" s="108">
        <v>0</v>
      </c>
      <c r="AJ37" s="108">
        <v>0</v>
      </c>
      <c r="AK37" s="108">
        <v>0</v>
      </c>
      <c r="AL37" s="108">
        <v>186.912395907225</v>
      </c>
      <c r="AM37" s="108">
        <v>0</v>
      </c>
      <c r="AN37" s="108">
        <v>0</v>
      </c>
      <c r="AO37" s="108">
        <v>0</v>
      </c>
      <c r="AP37" s="108">
        <v>0</v>
      </c>
      <c r="AQ37" s="109">
        <v>0</v>
      </c>
    </row>
    <row r="38" spans="2:43" ht="12" customHeight="1" x14ac:dyDescent="0.25">
      <c r="B38" s="107" t="s">
        <v>43</v>
      </c>
      <c r="C38" s="108" t="s">
        <v>23</v>
      </c>
      <c r="D38" s="108" t="s">
        <v>44</v>
      </c>
      <c r="E38" s="108" t="s">
        <v>87</v>
      </c>
      <c r="F38" s="108" t="s">
        <v>25</v>
      </c>
      <c r="G38" s="108" t="s">
        <v>25</v>
      </c>
      <c r="H38" s="108" t="s">
        <v>71</v>
      </c>
      <c r="I38" s="108" t="s">
        <v>25</v>
      </c>
      <c r="J38" s="108">
        <v>967.47</v>
      </c>
      <c r="K38" s="108">
        <v>190.98</v>
      </c>
      <c r="L38" s="108">
        <v>22.2557998484019</v>
      </c>
      <c r="M38" s="108">
        <v>2.9136065683919501</v>
      </c>
      <c r="N38" s="108">
        <v>0</v>
      </c>
      <c r="O38" s="108">
        <v>0</v>
      </c>
      <c r="P38" s="108">
        <v>0</v>
      </c>
      <c r="Q38" s="108">
        <v>83.0595523144287</v>
      </c>
      <c r="R38" s="108">
        <v>13.778287893001201</v>
      </c>
      <c r="S38" s="108">
        <v>0</v>
      </c>
      <c r="T38" s="108">
        <v>0</v>
      </c>
      <c r="U38" s="108">
        <v>0</v>
      </c>
      <c r="V38" s="108">
        <v>0</v>
      </c>
      <c r="W38" s="108">
        <v>0</v>
      </c>
      <c r="X38" s="108">
        <v>186.20603543963699</v>
      </c>
      <c r="Y38" s="108">
        <v>0</v>
      </c>
      <c r="Z38" s="108">
        <v>0</v>
      </c>
      <c r="AA38" s="108">
        <v>622.88204170438996</v>
      </c>
      <c r="AB38" s="108">
        <v>0</v>
      </c>
      <c r="AC38" s="108">
        <v>0</v>
      </c>
      <c r="AD38" s="108">
        <v>33.278048480132398</v>
      </c>
      <c r="AE38" s="108">
        <v>0</v>
      </c>
      <c r="AF38" s="108">
        <v>3.09617944474582</v>
      </c>
      <c r="AG38" s="108">
        <v>0</v>
      </c>
      <c r="AH38" s="108">
        <v>0</v>
      </c>
      <c r="AI38" s="108">
        <v>0</v>
      </c>
      <c r="AJ38" s="108">
        <v>0</v>
      </c>
      <c r="AK38" s="108">
        <v>0</v>
      </c>
      <c r="AL38" s="108">
        <v>190.97570886173</v>
      </c>
      <c r="AM38" s="108">
        <v>0</v>
      </c>
      <c r="AN38" s="108">
        <v>0</v>
      </c>
      <c r="AO38" s="108">
        <v>0</v>
      </c>
      <c r="AP38" s="108">
        <v>0</v>
      </c>
      <c r="AQ38" s="109">
        <v>0</v>
      </c>
    </row>
    <row r="39" spans="2:43" ht="12" customHeight="1" x14ac:dyDescent="0.25">
      <c r="B39" s="107" t="s">
        <v>43</v>
      </c>
      <c r="C39" s="108" t="s">
        <v>23</v>
      </c>
      <c r="D39" s="108" t="s">
        <v>44</v>
      </c>
      <c r="E39" s="108" t="s">
        <v>25</v>
      </c>
      <c r="F39" s="108" t="s">
        <v>25</v>
      </c>
      <c r="G39" s="108" t="s">
        <v>25</v>
      </c>
      <c r="H39" s="108" t="s">
        <v>71</v>
      </c>
      <c r="I39" s="108" t="s">
        <v>25</v>
      </c>
      <c r="J39" s="108">
        <v>967.47</v>
      </c>
      <c r="K39" s="108">
        <v>190.98</v>
      </c>
      <c r="L39" s="108">
        <v>22.2557998484019</v>
      </c>
      <c r="M39" s="108">
        <v>2.9136065683919501</v>
      </c>
      <c r="N39" s="108">
        <v>0</v>
      </c>
      <c r="O39" s="108">
        <v>0</v>
      </c>
      <c r="P39" s="108">
        <v>0</v>
      </c>
      <c r="Q39" s="108">
        <v>83.0595523144287</v>
      </c>
      <c r="R39" s="108">
        <v>13.778287893001201</v>
      </c>
      <c r="S39" s="108">
        <v>0</v>
      </c>
      <c r="T39" s="108">
        <v>0</v>
      </c>
      <c r="U39" s="108">
        <v>0</v>
      </c>
      <c r="V39" s="108">
        <v>0</v>
      </c>
      <c r="W39" s="108">
        <v>0</v>
      </c>
      <c r="X39" s="108">
        <v>186.20603543963699</v>
      </c>
      <c r="Y39" s="108">
        <v>0</v>
      </c>
      <c r="Z39" s="108">
        <v>0</v>
      </c>
      <c r="AA39" s="108">
        <v>622.88204170438996</v>
      </c>
      <c r="AB39" s="108">
        <v>0</v>
      </c>
      <c r="AC39" s="108">
        <v>0</v>
      </c>
      <c r="AD39" s="108">
        <v>33.278048480132398</v>
      </c>
      <c r="AE39" s="108">
        <v>0</v>
      </c>
      <c r="AF39" s="108">
        <v>3.09617944474582</v>
      </c>
      <c r="AG39" s="108">
        <v>0</v>
      </c>
      <c r="AH39" s="108">
        <v>0</v>
      </c>
      <c r="AI39" s="108">
        <v>0</v>
      </c>
      <c r="AJ39" s="108">
        <v>0</v>
      </c>
      <c r="AK39" s="108">
        <v>0</v>
      </c>
      <c r="AL39" s="108">
        <v>190.97570886173</v>
      </c>
      <c r="AM39" s="108">
        <v>0</v>
      </c>
      <c r="AN39" s="108">
        <v>0</v>
      </c>
      <c r="AO39" s="108">
        <v>0</v>
      </c>
      <c r="AP39" s="108">
        <v>0</v>
      </c>
      <c r="AQ39" s="109">
        <v>0</v>
      </c>
    </row>
    <row r="40" spans="2:43" ht="12" customHeight="1" x14ac:dyDescent="0.25">
      <c r="B40" s="107" t="s">
        <v>43</v>
      </c>
      <c r="C40" s="108" t="s">
        <v>23</v>
      </c>
      <c r="D40" s="108" t="s">
        <v>44</v>
      </c>
      <c r="E40" s="108" t="s">
        <v>88</v>
      </c>
      <c r="F40" s="108" t="s">
        <v>25</v>
      </c>
      <c r="G40" s="108" t="s">
        <v>25</v>
      </c>
      <c r="H40" s="108" t="s">
        <v>71</v>
      </c>
      <c r="I40" s="108" t="s">
        <v>25</v>
      </c>
      <c r="J40" s="108">
        <v>946.89</v>
      </c>
      <c r="K40" s="108">
        <v>186.91</v>
      </c>
      <c r="L40" s="108">
        <v>21.782272192052901</v>
      </c>
      <c r="M40" s="108">
        <v>2.8516149392772299</v>
      </c>
      <c r="N40" s="108">
        <v>0</v>
      </c>
      <c r="O40" s="108">
        <v>0</v>
      </c>
      <c r="P40" s="108">
        <v>0</v>
      </c>
      <c r="Q40" s="108">
        <v>81.292327797100498</v>
      </c>
      <c r="R40" s="108">
        <v>13.485132831448</v>
      </c>
      <c r="S40" s="108">
        <v>0</v>
      </c>
      <c r="T40" s="108">
        <v>0</v>
      </c>
      <c r="U40" s="108">
        <v>0</v>
      </c>
      <c r="V40" s="108">
        <v>0</v>
      </c>
      <c r="W40" s="108">
        <v>0</v>
      </c>
      <c r="X40" s="108">
        <v>182.244204898368</v>
      </c>
      <c r="Y40" s="108">
        <v>0</v>
      </c>
      <c r="Z40" s="108">
        <v>0</v>
      </c>
      <c r="AA40" s="108">
        <v>609.629232306424</v>
      </c>
      <c r="AB40" s="108">
        <v>0</v>
      </c>
      <c r="AC40" s="108">
        <v>0</v>
      </c>
      <c r="AD40" s="108">
        <v>32.570004895448697</v>
      </c>
      <c r="AE40" s="108">
        <v>0</v>
      </c>
      <c r="AF40" s="108">
        <v>3.0303032863469799</v>
      </c>
      <c r="AG40" s="108">
        <v>0</v>
      </c>
      <c r="AH40" s="108">
        <v>0</v>
      </c>
      <c r="AI40" s="108">
        <v>0</v>
      </c>
      <c r="AJ40" s="108">
        <v>0</v>
      </c>
      <c r="AK40" s="108">
        <v>0</v>
      </c>
      <c r="AL40" s="108">
        <v>186.912395907225</v>
      </c>
      <c r="AM40" s="108">
        <v>0</v>
      </c>
      <c r="AN40" s="108">
        <v>0</v>
      </c>
      <c r="AO40" s="108">
        <v>0</v>
      </c>
      <c r="AP40" s="108">
        <v>0</v>
      </c>
      <c r="AQ40" s="109">
        <v>0</v>
      </c>
    </row>
    <row r="41" spans="2:43" ht="12" customHeight="1" x14ac:dyDescent="0.25">
      <c r="B41" s="107" t="s">
        <v>43</v>
      </c>
      <c r="C41" s="108" t="s">
        <v>86</v>
      </c>
      <c r="D41" s="108" t="s">
        <v>44</v>
      </c>
      <c r="E41" s="108" t="s">
        <v>87</v>
      </c>
      <c r="F41" s="108" t="s">
        <v>25</v>
      </c>
      <c r="G41" s="108" t="s">
        <v>25</v>
      </c>
      <c r="H41" s="108" t="s">
        <v>71</v>
      </c>
      <c r="I41" s="108" t="s">
        <v>25</v>
      </c>
      <c r="J41" s="108">
        <v>967.47</v>
      </c>
      <c r="K41" s="108">
        <v>190.98</v>
      </c>
      <c r="L41" s="108">
        <v>22.2557998484019</v>
      </c>
      <c r="M41" s="108">
        <v>2.9136065683919501</v>
      </c>
      <c r="N41" s="108">
        <v>0</v>
      </c>
      <c r="O41" s="108">
        <v>0</v>
      </c>
      <c r="P41" s="108">
        <v>0</v>
      </c>
      <c r="Q41" s="108">
        <v>83.0595523144287</v>
      </c>
      <c r="R41" s="108">
        <v>13.778287893001201</v>
      </c>
      <c r="S41" s="108">
        <v>0</v>
      </c>
      <c r="T41" s="108">
        <v>0</v>
      </c>
      <c r="U41" s="108">
        <v>0</v>
      </c>
      <c r="V41" s="108">
        <v>0</v>
      </c>
      <c r="W41" s="108">
        <v>0</v>
      </c>
      <c r="X41" s="108">
        <v>186.20603543963699</v>
      </c>
      <c r="Y41" s="108">
        <v>0</v>
      </c>
      <c r="Z41" s="108">
        <v>0</v>
      </c>
      <c r="AA41" s="108">
        <v>622.88204170438996</v>
      </c>
      <c r="AB41" s="108">
        <v>0</v>
      </c>
      <c r="AC41" s="108">
        <v>0</v>
      </c>
      <c r="AD41" s="108">
        <v>33.278048480132398</v>
      </c>
      <c r="AE41" s="108">
        <v>0</v>
      </c>
      <c r="AF41" s="108">
        <v>3.09617944474582</v>
      </c>
      <c r="AG41" s="108">
        <v>0</v>
      </c>
      <c r="AH41" s="108">
        <v>0</v>
      </c>
      <c r="AI41" s="108">
        <v>0</v>
      </c>
      <c r="AJ41" s="108">
        <v>0</v>
      </c>
      <c r="AK41" s="108">
        <v>0</v>
      </c>
      <c r="AL41" s="108">
        <v>190.97570886173</v>
      </c>
      <c r="AM41" s="108">
        <v>0</v>
      </c>
      <c r="AN41" s="108">
        <v>0</v>
      </c>
      <c r="AO41" s="108">
        <v>0</v>
      </c>
      <c r="AP41" s="108">
        <v>0</v>
      </c>
      <c r="AQ41" s="109">
        <v>0</v>
      </c>
    </row>
    <row r="42" spans="2:43" ht="12" customHeight="1" x14ac:dyDescent="0.25">
      <c r="B42" s="107" t="s">
        <v>43</v>
      </c>
      <c r="C42" s="108" t="s">
        <v>86</v>
      </c>
      <c r="D42" s="108" t="s">
        <v>44</v>
      </c>
      <c r="E42" s="108" t="s">
        <v>25</v>
      </c>
      <c r="F42" s="108" t="s">
        <v>25</v>
      </c>
      <c r="G42" s="108" t="s">
        <v>25</v>
      </c>
      <c r="H42" s="108" t="s">
        <v>71</v>
      </c>
      <c r="I42" s="108" t="s">
        <v>25</v>
      </c>
      <c r="J42" s="108">
        <v>967.47</v>
      </c>
      <c r="K42" s="108">
        <v>190.98</v>
      </c>
      <c r="L42" s="108">
        <v>22.2557998484019</v>
      </c>
      <c r="M42" s="108">
        <v>2.9136065683919501</v>
      </c>
      <c r="N42" s="108">
        <v>0</v>
      </c>
      <c r="O42" s="108">
        <v>0</v>
      </c>
      <c r="P42" s="108">
        <v>0</v>
      </c>
      <c r="Q42" s="108">
        <v>83.0595523144287</v>
      </c>
      <c r="R42" s="108">
        <v>13.778287893001201</v>
      </c>
      <c r="S42" s="108">
        <v>0</v>
      </c>
      <c r="T42" s="108">
        <v>0</v>
      </c>
      <c r="U42" s="108">
        <v>0</v>
      </c>
      <c r="V42" s="108">
        <v>0</v>
      </c>
      <c r="W42" s="108">
        <v>0</v>
      </c>
      <c r="X42" s="108">
        <v>186.20603543963699</v>
      </c>
      <c r="Y42" s="108">
        <v>0</v>
      </c>
      <c r="Z42" s="108">
        <v>0</v>
      </c>
      <c r="AA42" s="108">
        <v>622.88204170438996</v>
      </c>
      <c r="AB42" s="108">
        <v>0</v>
      </c>
      <c r="AC42" s="108">
        <v>0</v>
      </c>
      <c r="AD42" s="108">
        <v>33.278048480132398</v>
      </c>
      <c r="AE42" s="108">
        <v>0</v>
      </c>
      <c r="AF42" s="108">
        <v>3.09617944474582</v>
      </c>
      <c r="AG42" s="108">
        <v>0</v>
      </c>
      <c r="AH42" s="108">
        <v>0</v>
      </c>
      <c r="AI42" s="108">
        <v>0</v>
      </c>
      <c r="AJ42" s="108">
        <v>0</v>
      </c>
      <c r="AK42" s="108">
        <v>0</v>
      </c>
      <c r="AL42" s="108">
        <v>190.97570886173</v>
      </c>
      <c r="AM42" s="108">
        <v>0</v>
      </c>
      <c r="AN42" s="108">
        <v>0</v>
      </c>
      <c r="AO42" s="108">
        <v>0</v>
      </c>
      <c r="AP42" s="108">
        <v>0</v>
      </c>
      <c r="AQ42" s="109">
        <v>0</v>
      </c>
    </row>
    <row r="43" spans="2:43" ht="12" customHeight="1" x14ac:dyDescent="0.25">
      <c r="B43" s="107" t="s">
        <v>43</v>
      </c>
      <c r="C43" s="108" t="s">
        <v>86</v>
      </c>
      <c r="D43" s="108" t="s">
        <v>44</v>
      </c>
      <c r="E43" s="108" t="s">
        <v>88</v>
      </c>
      <c r="F43" s="108" t="s">
        <v>25</v>
      </c>
      <c r="G43" s="108" t="s">
        <v>25</v>
      </c>
      <c r="H43" s="108" t="s">
        <v>71</v>
      </c>
      <c r="I43" s="108" t="s">
        <v>25</v>
      </c>
      <c r="J43" s="108">
        <v>946.89</v>
      </c>
      <c r="K43" s="108">
        <v>186.91</v>
      </c>
      <c r="L43" s="108">
        <v>21.782272192052901</v>
      </c>
      <c r="M43" s="108">
        <v>2.8516149392772299</v>
      </c>
      <c r="N43" s="108">
        <v>0</v>
      </c>
      <c r="O43" s="108">
        <v>0</v>
      </c>
      <c r="P43" s="108">
        <v>0</v>
      </c>
      <c r="Q43" s="108">
        <v>81.292327797100498</v>
      </c>
      <c r="R43" s="108">
        <v>13.485132831448</v>
      </c>
      <c r="S43" s="108">
        <v>0</v>
      </c>
      <c r="T43" s="108">
        <v>0</v>
      </c>
      <c r="U43" s="108">
        <v>0</v>
      </c>
      <c r="V43" s="108">
        <v>0</v>
      </c>
      <c r="W43" s="108">
        <v>0</v>
      </c>
      <c r="X43" s="108">
        <v>182.244204898368</v>
      </c>
      <c r="Y43" s="108">
        <v>0</v>
      </c>
      <c r="Z43" s="108">
        <v>0</v>
      </c>
      <c r="AA43" s="108">
        <v>609.629232306424</v>
      </c>
      <c r="AB43" s="108">
        <v>0</v>
      </c>
      <c r="AC43" s="108">
        <v>0</v>
      </c>
      <c r="AD43" s="108">
        <v>32.570004895448697</v>
      </c>
      <c r="AE43" s="108">
        <v>0</v>
      </c>
      <c r="AF43" s="108">
        <v>3.0303032863469799</v>
      </c>
      <c r="AG43" s="108">
        <v>0</v>
      </c>
      <c r="AH43" s="108">
        <v>0</v>
      </c>
      <c r="AI43" s="108">
        <v>0</v>
      </c>
      <c r="AJ43" s="108">
        <v>0</v>
      </c>
      <c r="AK43" s="108">
        <v>0</v>
      </c>
      <c r="AL43" s="108">
        <v>186.912395907225</v>
      </c>
      <c r="AM43" s="108">
        <v>0</v>
      </c>
      <c r="AN43" s="108">
        <v>0</v>
      </c>
      <c r="AO43" s="108">
        <v>0</v>
      </c>
      <c r="AP43" s="108">
        <v>0</v>
      </c>
      <c r="AQ43" s="109">
        <v>0</v>
      </c>
    </row>
    <row r="44" spans="2:43" ht="12" customHeight="1" x14ac:dyDescent="0.25">
      <c r="B44" s="107" t="s">
        <v>39</v>
      </c>
      <c r="C44" s="108" t="s">
        <v>37</v>
      </c>
      <c r="D44" s="108" t="s">
        <v>25</v>
      </c>
      <c r="E44" s="108" t="s">
        <v>25</v>
      </c>
      <c r="F44" s="108" t="s">
        <v>25</v>
      </c>
      <c r="G44" s="108" t="s">
        <v>35</v>
      </c>
      <c r="H44" s="108" t="s">
        <v>71</v>
      </c>
      <c r="I44" s="108" t="s">
        <v>25</v>
      </c>
      <c r="J44" s="108">
        <v>2793.72</v>
      </c>
      <c r="K44" s="108">
        <v>203.17</v>
      </c>
      <c r="L44" s="108">
        <v>23.6763828174488</v>
      </c>
      <c r="M44" s="108">
        <v>3.0995814557361201</v>
      </c>
      <c r="N44" s="108">
        <v>0</v>
      </c>
      <c r="O44" s="108">
        <v>0</v>
      </c>
      <c r="P44" s="108">
        <v>0</v>
      </c>
      <c r="Q44" s="108">
        <v>88.361225866413506</v>
      </c>
      <c r="R44" s="108">
        <v>14.6577530776608</v>
      </c>
      <c r="S44" s="108">
        <v>0</v>
      </c>
      <c r="T44" s="108">
        <v>0</v>
      </c>
      <c r="U44" s="108">
        <v>0</v>
      </c>
      <c r="V44" s="108">
        <v>0</v>
      </c>
      <c r="W44" s="108">
        <v>0</v>
      </c>
      <c r="X44" s="108">
        <v>604.17966376578204</v>
      </c>
      <c r="Y44" s="108">
        <v>0</v>
      </c>
      <c r="Z44" s="108">
        <v>0</v>
      </c>
      <c r="AA44" s="108">
        <v>2021.0525693331799</v>
      </c>
      <c r="AB44" s="108">
        <v>0</v>
      </c>
      <c r="AC44" s="108">
        <v>0</v>
      </c>
      <c r="AD44" s="108">
        <v>35.4021792341834</v>
      </c>
      <c r="AE44" s="108">
        <v>0</v>
      </c>
      <c r="AF44" s="108">
        <v>3.2938079199423602</v>
      </c>
      <c r="AG44" s="108">
        <v>0</v>
      </c>
      <c r="AH44" s="108">
        <v>0</v>
      </c>
      <c r="AI44" s="108">
        <v>0</v>
      </c>
      <c r="AJ44" s="108">
        <v>0</v>
      </c>
      <c r="AK44" s="108">
        <v>0</v>
      </c>
      <c r="AL44" s="108">
        <v>203.16564772524501</v>
      </c>
      <c r="AM44" s="108">
        <v>0</v>
      </c>
      <c r="AN44" s="108">
        <v>0</v>
      </c>
      <c r="AO44" s="108">
        <v>0</v>
      </c>
      <c r="AP44" s="108">
        <v>0</v>
      </c>
      <c r="AQ44" s="109">
        <v>0</v>
      </c>
    </row>
    <row r="45" spans="2:43" ht="12" customHeight="1" x14ac:dyDescent="0.25">
      <c r="B45" s="107" t="s">
        <v>39</v>
      </c>
      <c r="C45" s="108" t="s">
        <v>37</v>
      </c>
      <c r="D45" s="108" t="s">
        <v>25</v>
      </c>
      <c r="E45" s="108" t="s">
        <v>25</v>
      </c>
      <c r="F45" s="108" t="s">
        <v>25</v>
      </c>
      <c r="G45" s="108" t="s">
        <v>38</v>
      </c>
      <c r="H45" s="108" t="s">
        <v>71</v>
      </c>
      <c r="I45" s="108" t="s">
        <v>25</v>
      </c>
      <c r="J45" s="108">
        <v>1743.63</v>
      </c>
      <c r="K45" s="108">
        <v>203.17</v>
      </c>
      <c r="L45" s="108">
        <v>23.6763828174488</v>
      </c>
      <c r="M45" s="108">
        <v>3.0995814557361201</v>
      </c>
      <c r="N45" s="108">
        <v>0</v>
      </c>
      <c r="O45" s="108">
        <v>0</v>
      </c>
      <c r="P45" s="108">
        <v>0</v>
      </c>
      <c r="Q45" s="108">
        <v>88.361225866413506</v>
      </c>
      <c r="R45" s="108">
        <v>14.6577530776608</v>
      </c>
      <c r="S45" s="108">
        <v>0</v>
      </c>
      <c r="T45" s="108">
        <v>0</v>
      </c>
      <c r="U45" s="108">
        <v>0</v>
      </c>
      <c r="V45" s="108">
        <v>0</v>
      </c>
      <c r="W45" s="108">
        <v>0</v>
      </c>
      <c r="X45" s="108">
        <v>362.508023247148</v>
      </c>
      <c r="Y45" s="108">
        <v>0</v>
      </c>
      <c r="Z45" s="108">
        <v>0</v>
      </c>
      <c r="AA45" s="108">
        <v>1212.6316479207201</v>
      </c>
      <c r="AB45" s="108">
        <v>0</v>
      </c>
      <c r="AC45" s="108">
        <v>0</v>
      </c>
      <c r="AD45" s="108">
        <v>35.4021792341834</v>
      </c>
      <c r="AE45" s="108">
        <v>0</v>
      </c>
      <c r="AF45" s="108">
        <v>3.2938079199423602</v>
      </c>
      <c r="AG45" s="108">
        <v>0</v>
      </c>
      <c r="AH45" s="108">
        <v>0</v>
      </c>
      <c r="AI45" s="108">
        <v>0</v>
      </c>
      <c r="AJ45" s="108">
        <v>0</v>
      </c>
      <c r="AK45" s="108">
        <v>0</v>
      </c>
      <c r="AL45" s="108">
        <v>203.16564772524501</v>
      </c>
      <c r="AM45" s="108">
        <v>0</v>
      </c>
      <c r="AN45" s="108">
        <v>0</v>
      </c>
      <c r="AO45" s="108">
        <v>0</v>
      </c>
      <c r="AP45" s="108">
        <v>0</v>
      </c>
      <c r="AQ45" s="109">
        <v>0</v>
      </c>
    </row>
    <row r="46" spans="2:43" ht="12" customHeight="1" x14ac:dyDescent="0.25">
      <c r="B46" s="107" t="s">
        <v>39</v>
      </c>
      <c r="C46" s="108" t="s">
        <v>37</v>
      </c>
      <c r="D46" s="108" t="s">
        <v>25</v>
      </c>
      <c r="E46" s="108" t="s">
        <v>25</v>
      </c>
      <c r="F46" s="108" t="s">
        <v>25</v>
      </c>
      <c r="G46" s="108" t="s">
        <v>36</v>
      </c>
      <c r="H46" s="108" t="s">
        <v>71</v>
      </c>
      <c r="I46" s="108" t="s">
        <v>25</v>
      </c>
      <c r="J46" s="108">
        <v>693.54</v>
      </c>
      <c r="K46" s="108">
        <v>203.17</v>
      </c>
      <c r="L46" s="108">
        <v>23.6763828174488</v>
      </c>
      <c r="M46" s="108">
        <v>3.0995814557361201</v>
      </c>
      <c r="N46" s="108">
        <v>0</v>
      </c>
      <c r="O46" s="108">
        <v>0</v>
      </c>
      <c r="P46" s="108">
        <v>0</v>
      </c>
      <c r="Q46" s="108">
        <v>88.361225866413506</v>
      </c>
      <c r="R46" s="108">
        <v>14.6577530776608</v>
      </c>
      <c r="S46" s="108">
        <v>0</v>
      </c>
      <c r="T46" s="108">
        <v>0</v>
      </c>
      <c r="U46" s="108">
        <v>0</v>
      </c>
      <c r="V46" s="108">
        <v>0</v>
      </c>
      <c r="W46" s="108">
        <v>0</v>
      </c>
      <c r="X46" s="108">
        <v>120.83638272851501</v>
      </c>
      <c r="Y46" s="108">
        <v>0</v>
      </c>
      <c r="Z46" s="108">
        <v>0</v>
      </c>
      <c r="AA46" s="108">
        <v>404.210460706231</v>
      </c>
      <c r="AB46" s="108">
        <v>0</v>
      </c>
      <c r="AC46" s="108">
        <v>0</v>
      </c>
      <c r="AD46" s="108">
        <v>35.4021792341834</v>
      </c>
      <c r="AE46" s="108">
        <v>0</v>
      </c>
      <c r="AF46" s="108">
        <v>3.2938079199423602</v>
      </c>
      <c r="AG46" s="108">
        <v>0</v>
      </c>
      <c r="AH46" s="108">
        <v>0</v>
      </c>
      <c r="AI46" s="108">
        <v>0</v>
      </c>
      <c r="AJ46" s="108">
        <v>0</v>
      </c>
      <c r="AK46" s="108">
        <v>0</v>
      </c>
      <c r="AL46" s="108">
        <v>203.16564772524501</v>
      </c>
      <c r="AM46" s="108">
        <v>0</v>
      </c>
      <c r="AN46" s="108">
        <v>0</v>
      </c>
      <c r="AO46" s="108">
        <v>0</v>
      </c>
      <c r="AP46" s="108">
        <v>0</v>
      </c>
      <c r="AQ46" s="109">
        <v>0</v>
      </c>
    </row>
    <row r="47" spans="2:43" ht="12" customHeight="1" x14ac:dyDescent="0.25">
      <c r="B47" s="107" t="s">
        <v>39</v>
      </c>
      <c r="C47" s="108" t="s">
        <v>23</v>
      </c>
      <c r="D47" s="108" t="s">
        <v>25</v>
      </c>
      <c r="E47" s="108" t="s">
        <v>25</v>
      </c>
      <c r="F47" s="108" t="s">
        <v>25</v>
      </c>
      <c r="G47" s="108" t="s">
        <v>25</v>
      </c>
      <c r="H47" s="108" t="s">
        <v>71</v>
      </c>
      <c r="I47" s="108" t="s">
        <v>25</v>
      </c>
      <c r="J47" s="108">
        <v>1029.22</v>
      </c>
      <c r="K47" s="108">
        <v>203.17</v>
      </c>
      <c r="L47" s="108">
        <v>23.6763828174488</v>
      </c>
      <c r="M47" s="108">
        <v>3.0995814557361201</v>
      </c>
      <c r="N47" s="108">
        <v>0</v>
      </c>
      <c r="O47" s="108">
        <v>0</v>
      </c>
      <c r="P47" s="108">
        <v>0</v>
      </c>
      <c r="Q47" s="108">
        <v>88.361225866413506</v>
      </c>
      <c r="R47" s="108">
        <v>14.6577530776608</v>
      </c>
      <c r="S47" s="108">
        <v>0</v>
      </c>
      <c r="T47" s="108">
        <v>0</v>
      </c>
      <c r="U47" s="108">
        <v>0</v>
      </c>
      <c r="V47" s="108">
        <v>0</v>
      </c>
      <c r="W47" s="108">
        <v>0</v>
      </c>
      <c r="X47" s="108">
        <v>198.091527063444</v>
      </c>
      <c r="Y47" s="108">
        <v>0</v>
      </c>
      <c r="Z47" s="108">
        <v>0</v>
      </c>
      <c r="AA47" s="108">
        <v>662.64046989828705</v>
      </c>
      <c r="AB47" s="108">
        <v>0</v>
      </c>
      <c r="AC47" s="108">
        <v>0</v>
      </c>
      <c r="AD47" s="108">
        <v>35.4021792341834</v>
      </c>
      <c r="AE47" s="108">
        <v>0</v>
      </c>
      <c r="AF47" s="108">
        <v>3.2938079199423602</v>
      </c>
      <c r="AG47" s="108">
        <v>0</v>
      </c>
      <c r="AH47" s="108">
        <v>0</v>
      </c>
      <c r="AI47" s="108">
        <v>0</v>
      </c>
      <c r="AJ47" s="108">
        <v>0</v>
      </c>
      <c r="AK47" s="108">
        <v>0</v>
      </c>
      <c r="AL47" s="108">
        <v>203.16564772524501</v>
      </c>
      <c r="AM47" s="108">
        <v>0</v>
      </c>
      <c r="AN47" s="108">
        <v>0</v>
      </c>
      <c r="AO47" s="108">
        <v>0</v>
      </c>
      <c r="AP47" s="108">
        <v>0</v>
      </c>
      <c r="AQ47" s="109">
        <v>0</v>
      </c>
    </row>
    <row r="48" spans="2:43" ht="12" customHeight="1" x14ac:dyDescent="0.25">
      <c r="B48" s="107" t="s">
        <v>39</v>
      </c>
      <c r="C48" s="108" t="s">
        <v>86</v>
      </c>
      <c r="D48" s="108" t="s">
        <v>25</v>
      </c>
      <c r="E48" s="108" t="s">
        <v>25</v>
      </c>
      <c r="F48" s="108" t="s">
        <v>25</v>
      </c>
      <c r="G48" s="108" t="s">
        <v>25</v>
      </c>
      <c r="H48" s="108" t="s">
        <v>71</v>
      </c>
      <c r="I48" s="108" t="s">
        <v>25</v>
      </c>
      <c r="J48" s="108">
        <v>1029.22</v>
      </c>
      <c r="K48" s="108">
        <v>203.17</v>
      </c>
      <c r="L48" s="108">
        <v>23.6763828174488</v>
      </c>
      <c r="M48" s="108">
        <v>3.0995814557361201</v>
      </c>
      <c r="N48" s="108">
        <v>0</v>
      </c>
      <c r="O48" s="108">
        <v>0</v>
      </c>
      <c r="P48" s="108">
        <v>0</v>
      </c>
      <c r="Q48" s="108">
        <v>88.361225866413506</v>
      </c>
      <c r="R48" s="108">
        <v>14.6577530776608</v>
      </c>
      <c r="S48" s="108">
        <v>0</v>
      </c>
      <c r="T48" s="108">
        <v>0</v>
      </c>
      <c r="U48" s="108">
        <v>0</v>
      </c>
      <c r="V48" s="108">
        <v>0</v>
      </c>
      <c r="W48" s="108">
        <v>0</v>
      </c>
      <c r="X48" s="108">
        <v>198.091527063444</v>
      </c>
      <c r="Y48" s="108">
        <v>0</v>
      </c>
      <c r="Z48" s="108">
        <v>0</v>
      </c>
      <c r="AA48" s="108">
        <v>662.64046989828705</v>
      </c>
      <c r="AB48" s="108">
        <v>0</v>
      </c>
      <c r="AC48" s="108">
        <v>0</v>
      </c>
      <c r="AD48" s="108">
        <v>35.4021792341834</v>
      </c>
      <c r="AE48" s="108">
        <v>0</v>
      </c>
      <c r="AF48" s="108">
        <v>3.2938079199423602</v>
      </c>
      <c r="AG48" s="108">
        <v>0</v>
      </c>
      <c r="AH48" s="108">
        <v>0</v>
      </c>
      <c r="AI48" s="108">
        <v>0</v>
      </c>
      <c r="AJ48" s="108">
        <v>0</v>
      </c>
      <c r="AK48" s="108">
        <v>0</v>
      </c>
      <c r="AL48" s="108">
        <v>203.16564772524501</v>
      </c>
      <c r="AM48" s="108">
        <v>0</v>
      </c>
      <c r="AN48" s="108">
        <v>0</v>
      </c>
      <c r="AO48" s="108">
        <v>0</v>
      </c>
      <c r="AP48" s="108">
        <v>0</v>
      </c>
      <c r="AQ48" s="109">
        <v>0</v>
      </c>
    </row>
    <row r="49" spans="2:43" ht="12" customHeight="1" x14ac:dyDescent="0.25">
      <c r="B49" s="107" t="s">
        <v>46</v>
      </c>
      <c r="C49" s="108" t="s">
        <v>23</v>
      </c>
      <c r="D49" s="108" t="s">
        <v>47</v>
      </c>
      <c r="E49" s="108" t="s">
        <v>48</v>
      </c>
      <c r="F49" s="108" t="s">
        <v>25</v>
      </c>
      <c r="G49" s="108" t="s">
        <v>25</v>
      </c>
      <c r="H49" s="108" t="s">
        <v>71</v>
      </c>
      <c r="I49" s="108" t="s">
        <v>25</v>
      </c>
      <c r="J49" s="108">
        <v>566.07000000000005</v>
      </c>
      <c r="K49" s="108">
        <v>111.74</v>
      </c>
      <c r="L49" s="108">
        <v>13.022010549596899</v>
      </c>
      <c r="M49" s="108">
        <v>1.7047698006548699</v>
      </c>
      <c r="N49" s="108">
        <v>0</v>
      </c>
      <c r="O49" s="108">
        <v>0</v>
      </c>
      <c r="P49" s="108">
        <v>0</v>
      </c>
      <c r="Q49" s="108">
        <v>48.5986742265275</v>
      </c>
      <c r="R49" s="108">
        <v>8.0617641927134596</v>
      </c>
      <c r="S49" s="108">
        <v>0</v>
      </c>
      <c r="T49" s="108">
        <v>0</v>
      </c>
      <c r="U49" s="108">
        <v>0</v>
      </c>
      <c r="V49" s="108">
        <v>0</v>
      </c>
      <c r="W49" s="108">
        <v>0</v>
      </c>
      <c r="X49" s="108">
        <v>108.95033988489401</v>
      </c>
      <c r="Y49" s="108">
        <v>0</v>
      </c>
      <c r="Z49" s="108">
        <v>0</v>
      </c>
      <c r="AA49" s="108">
        <v>364.45225844405797</v>
      </c>
      <c r="AB49" s="108">
        <v>0</v>
      </c>
      <c r="AC49" s="108">
        <v>0</v>
      </c>
      <c r="AD49" s="108">
        <v>19.471198578800902</v>
      </c>
      <c r="AE49" s="108">
        <v>0</v>
      </c>
      <c r="AF49" s="108">
        <v>1.8115943559683001</v>
      </c>
      <c r="AG49" s="108">
        <v>0</v>
      </c>
      <c r="AH49" s="108">
        <v>0</v>
      </c>
      <c r="AI49" s="108">
        <v>0</v>
      </c>
      <c r="AJ49" s="108">
        <v>0</v>
      </c>
      <c r="AK49" s="108">
        <v>0</v>
      </c>
      <c r="AL49" s="108">
        <v>111.74110624888399</v>
      </c>
      <c r="AM49" s="108">
        <v>0</v>
      </c>
      <c r="AN49" s="108">
        <v>0</v>
      </c>
      <c r="AO49" s="108">
        <v>0</v>
      </c>
      <c r="AP49" s="108">
        <v>0</v>
      </c>
      <c r="AQ49" s="109">
        <v>0</v>
      </c>
    </row>
    <row r="50" spans="2:43" ht="12" customHeight="1" x14ac:dyDescent="0.25">
      <c r="B50" s="110" t="s">
        <v>46</v>
      </c>
      <c r="C50" s="111" t="s">
        <v>23</v>
      </c>
      <c r="D50" s="111" t="s">
        <v>47</v>
      </c>
      <c r="E50" s="111" t="s">
        <v>89</v>
      </c>
      <c r="F50" s="111" t="s">
        <v>25</v>
      </c>
      <c r="G50" s="111" t="s">
        <v>25</v>
      </c>
      <c r="H50" s="111" t="s">
        <v>71</v>
      </c>
      <c r="I50" s="111" t="s">
        <v>25</v>
      </c>
      <c r="J50" s="111">
        <v>617.53</v>
      </c>
      <c r="K50" s="111">
        <v>121.9</v>
      </c>
      <c r="L50" s="111">
        <v>14.205829690469301</v>
      </c>
      <c r="M50" s="111">
        <v>1.8597488734416701</v>
      </c>
      <c r="N50" s="111">
        <v>0</v>
      </c>
      <c r="O50" s="111">
        <v>0</v>
      </c>
      <c r="P50" s="111">
        <v>0</v>
      </c>
      <c r="Q50" s="111">
        <v>53.016735519848098</v>
      </c>
      <c r="R50" s="111">
        <v>8.7946518465965102</v>
      </c>
      <c r="S50" s="111">
        <v>0</v>
      </c>
      <c r="T50" s="111">
        <v>0</v>
      </c>
      <c r="U50" s="111">
        <v>0</v>
      </c>
      <c r="V50" s="111">
        <v>0</v>
      </c>
      <c r="W50" s="111">
        <v>0</v>
      </c>
      <c r="X50" s="111">
        <v>118.854916238066</v>
      </c>
      <c r="Y50" s="111">
        <v>0</v>
      </c>
      <c r="Z50" s="111">
        <v>0</v>
      </c>
      <c r="AA50" s="111">
        <v>397.58428193897203</v>
      </c>
      <c r="AB50" s="111">
        <v>0</v>
      </c>
      <c r="AC50" s="111">
        <v>0</v>
      </c>
      <c r="AD50" s="111">
        <v>21.2413075405101</v>
      </c>
      <c r="AE50" s="111">
        <v>0</v>
      </c>
      <c r="AF50" s="111">
        <v>1.9762847519654201</v>
      </c>
      <c r="AG50" s="111">
        <v>0</v>
      </c>
      <c r="AH50" s="111">
        <v>0</v>
      </c>
      <c r="AI50" s="111">
        <v>0</v>
      </c>
      <c r="AJ50" s="111">
        <v>0</v>
      </c>
      <c r="AK50" s="111">
        <v>0</v>
      </c>
      <c r="AL50" s="111">
        <v>121.89938863514701</v>
      </c>
      <c r="AM50" s="111">
        <v>0</v>
      </c>
      <c r="AN50" s="111">
        <v>0</v>
      </c>
      <c r="AO50" s="111">
        <v>0</v>
      </c>
      <c r="AP50" s="111">
        <v>0</v>
      </c>
      <c r="AQ50" s="112">
        <v>0</v>
      </c>
    </row>
  </sheetData>
  <mergeCells count="8">
    <mergeCell ref="L1:AG1"/>
    <mergeCell ref="AH1:AQ1"/>
    <mergeCell ref="L2:S2"/>
    <mergeCell ref="T2:Z2"/>
    <mergeCell ref="AB2:AC2"/>
    <mergeCell ref="AD2:AG2"/>
    <mergeCell ref="AH2:AK2"/>
    <mergeCell ref="AM2:AP2"/>
  </mergeCells>
  <phoneticPr fontId="9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94CF1-2FD7-4CF6-A413-71F767EEAD65}">
  <dimension ref="A1:AX85"/>
  <sheetViews>
    <sheetView showGridLines="0" workbookViewId="0"/>
  </sheetViews>
  <sheetFormatPr defaultRowHeight="11.25" x14ac:dyDescent="0.25"/>
  <cols>
    <col min="1" max="1" width="4.7109375" style="46" bestFit="1" customWidth="1"/>
    <col min="2" max="2" width="8.85546875" style="46" bestFit="1" customWidth="1"/>
    <col min="3" max="3" width="8.7109375" style="46" bestFit="1" customWidth="1"/>
    <col min="4" max="4" width="27.140625" style="46" bestFit="1" customWidth="1"/>
    <col min="5" max="5" width="13.5703125" style="46" bestFit="1" customWidth="1"/>
    <col min="6" max="6" width="25.140625" style="46" bestFit="1" customWidth="1"/>
    <col min="7" max="9" width="10.28515625" style="46" bestFit="1" customWidth="1"/>
    <col min="10" max="10" width="6.85546875" style="46" bestFit="1" customWidth="1"/>
    <col min="11" max="11" width="4.5703125" style="46" bestFit="1" customWidth="1"/>
    <col min="12" max="12" width="4.42578125" style="46" bestFit="1" customWidth="1"/>
    <col min="13" max="13" width="6.7109375" style="46" bestFit="1" customWidth="1"/>
    <col min="14" max="14" width="6.28515625" style="46" bestFit="1" customWidth="1"/>
    <col min="15" max="15" width="11.140625" style="46" bestFit="1" customWidth="1"/>
    <col min="16" max="16" width="10.42578125" style="46" bestFit="1" customWidth="1"/>
    <col min="17" max="16384" width="9.140625" style="46"/>
  </cols>
  <sheetData>
    <row r="1" spans="1:50" ht="11.25" customHeight="1" x14ac:dyDescent="0.25">
      <c r="A1" s="47" t="s">
        <v>592</v>
      </c>
      <c r="B1" s="47" t="s">
        <v>583</v>
      </c>
      <c r="C1" s="47" t="s">
        <v>1</v>
      </c>
      <c r="D1" s="47" t="s">
        <v>2</v>
      </c>
      <c r="E1" s="47" t="s">
        <v>3</v>
      </c>
      <c r="F1" s="47" t="s">
        <v>4</v>
      </c>
      <c r="G1" s="47" t="s">
        <v>5</v>
      </c>
      <c r="H1" s="47" t="s">
        <v>6</v>
      </c>
      <c r="I1" s="47" t="s">
        <v>7</v>
      </c>
      <c r="J1" s="47" t="s">
        <v>584</v>
      </c>
      <c r="K1" s="47" t="s">
        <v>585</v>
      </c>
      <c r="L1" s="47" t="s">
        <v>586</v>
      </c>
      <c r="M1" s="47" t="s">
        <v>587</v>
      </c>
      <c r="N1" s="47" t="s">
        <v>588</v>
      </c>
      <c r="O1" s="47" t="s">
        <v>465</v>
      </c>
      <c r="P1" s="47" t="s">
        <v>451</v>
      </c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  <c r="AI1" s="45"/>
      <c r="AJ1" s="45"/>
      <c r="AK1" s="45"/>
      <c r="AL1" s="45"/>
      <c r="AM1" s="45"/>
      <c r="AN1" s="45"/>
      <c r="AO1" s="45"/>
      <c r="AP1" s="45"/>
      <c r="AQ1" s="45"/>
      <c r="AR1" s="45"/>
      <c r="AS1" s="45"/>
      <c r="AT1" s="45"/>
      <c r="AU1" s="45"/>
      <c r="AV1" s="45"/>
      <c r="AW1" s="45"/>
      <c r="AX1" s="45"/>
    </row>
    <row r="2" spans="1:50" ht="11.25" customHeight="1" x14ac:dyDescent="0.25">
      <c r="A2" s="48">
        <v>1</v>
      </c>
      <c r="B2" s="48" t="s">
        <v>445</v>
      </c>
      <c r="C2" s="48" t="s">
        <v>33</v>
      </c>
      <c r="D2" s="48" t="s">
        <v>41</v>
      </c>
      <c r="E2" s="48" t="s">
        <v>25</v>
      </c>
      <c r="F2" s="48" t="s">
        <v>25</v>
      </c>
      <c r="G2" s="48" t="s">
        <v>25</v>
      </c>
      <c r="H2" s="48" t="s">
        <v>25</v>
      </c>
      <c r="I2" s="48" t="s">
        <v>35</v>
      </c>
      <c r="J2" s="48" t="s">
        <v>589</v>
      </c>
      <c r="K2" s="48" t="s">
        <v>590</v>
      </c>
      <c r="L2" s="48" t="s">
        <v>76</v>
      </c>
      <c r="M2" s="48">
        <v>2021</v>
      </c>
      <c r="N2" s="48">
        <v>0</v>
      </c>
      <c r="O2" s="48">
        <v>164.06</v>
      </c>
      <c r="P2" s="48">
        <v>0</v>
      </c>
    </row>
    <row r="3" spans="1:50" ht="11.25" customHeight="1" x14ac:dyDescent="0.25">
      <c r="A3" s="48">
        <v>2</v>
      </c>
      <c r="B3" s="48" t="s">
        <v>445</v>
      </c>
      <c r="C3" s="48" t="s">
        <v>33</v>
      </c>
      <c r="D3" s="48" t="s">
        <v>41</v>
      </c>
      <c r="E3" s="48" t="s">
        <v>25</v>
      </c>
      <c r="F3" s="48" t="s">
        <v>25</v>
      </c>
      <c r="G3" s="48" t="s">
        <v>25</v>
      </c>
      <c r="H3" s="48" t="s">
        <v>25</v>
      </c>
      <c r="I3" s="48" t="s">
        <v>36</v>
      </c>
      <c r="J3" s="48" t="s">
        <v>589</v>
      </c>
      <c r="K3" s="48" t="s">
        <v>590</v>
      </c>
      <c r="L3" s="48" t="s">
        <v>76</v>
      </c>
      <c r="M3" s="48">
        <v>2021</v>
      </c>
      <c r="N3" s="48">
        <v>0</v>
      </c>
      <c r="O3" s="48">
        <v>63.83</v>
      </c>
      <c r="P3" s="48">
        <v>0</v>
      </c>
    </row>
    <row r="4" spans="1:50" ht="11.25" customHeight="1" x14ac:dyDescent="0.25">
      <c r="A4" s="48">
        <v>3</v>
      </c>
      <c r="B4" s="48" t="s">
        <v>445</v>
      </c>
      <c r="C4" s="48" t="s">
        <v>33</v>
      </c>
      <c r="D4" s="48" t="s">
        <v>41</v>
      </c>
      <c r="E4" s="48" t="s">
        <v>25</v>
      </c>
      <c r="F4" s="48" t="s">
        <v>25</v>
      </c>
      <c r="G4" s="48" t="s">
        <v>25</v>
      </c>
      <c r="H4" s="48" t="s">
        <v>25</v>
      </c>
      <c r="I4" s="48" t="s">
        <v>25</v>
      </c>
      <c r="J4" s="48" t="s">
        <v>591</v>
      </c>
      <c r="K4" s="48" t="s">
        <v>590</v>
      </c>
      <c r="L4" s="48" t="s">
        <v>71</v>
      </c>
      <c r="M4" s="48">
        <v>2021</v>
      </c>
      <c r="N4" s="48">
        <v>0</v>
      </c>
      <c r="O4" s="48">
        <v>103.26</v>
      </c>
      <c r="P4" s="48">
        <v>71.651119069004096</v>
      </c>
    </row>
    <row r="5" spans="1:50" ht="11.25" customHeight="1" x14ac:dyDescent="0.25">
      <c r="A5" s="48">
        <v>4</v>
      </c>
      <c r="B5" s="48" t="s">
        <v>445</v>
      </c>
      <c r="C5" s="48" t="s">
        <v>33</v>
      </c>
      <c r="D5" s="48" t="s">
        <v>41</v>
      </c>
      <c r="E5" s="48" t="s">
        <v>25</v>
      </c>
      <c r="F5" s="48" t="s">
        <v>25</v>
      </c>
      <c r="G5" s="48" t="s">
        <v>79</v>
      </c>
      <c r="H5" s="48" t="s">
        <v>25</v>
      </c>
      <c r="I5" s="48" t="s">
        <v>25</v>
      </c>
      <c r="J5" s="48" t="s">
        <v>591</v>
      </c>
      <c r="K5" s="48" t="s">
        <v>590</v>
      </c>
      <c r="L5" s="48" t="s">
        <v>71</v>
      </c>
      <c r="M5" s="48">
        <v>2021</v>
      </c>
      <c r="N5" s="48">
        <v>0</v>
      </c>
      <c r="O5" s="48">
        <v>21.57</v>
      </c>
      <c r="P5" s="48">
        <v>0</v>
      </c>
    </row>
    <row r="6" spans="1:50" ht="11.25" customHeight="1" x14ac:dyDescent="0.25">
      <c r="A6" s="48">
        <v>5</v>
      </c>
      <c r="B6" s="48" t="s">
        <v>445</v>
      </c>
      <c r="C6" s="48" t="s">
        <v>22</v>
      </c>
      <c r="D6" s="48" t="s">
        <v>86</v>
      </c>
      <c r="E6" s="48" t="s">
        <v>24</v>
      </c>
      <c r="F6" s="48" t="s">
        <v>30</v>
      </c>
      <c r="G6" s="48" t="s">
        <v>25</v>
      </c>
      <c r="H6" s="48" t="s">
        <v>25</v>
      </c>
      <c r="I6" s="48" t="s">
        <v>25</v>
      </c>
      <c r="J6" s="48" t="s">
        <v>591</v>
      </c>
      <c r="K6" s="48" t="s">
        <v>590</v>
      </c>
      <c r="L6" s="48" t="s">
        <v>71</v>
      </c>
      <c r="M6" s="48">
        <v>2021</v>
      </c>
      <c r="N6" s="48">
        <v>0</v>
      </c>
      <c r="O6" s="48">
        <v>419.95</v>
      </c>
      <c r="P6" s="48">
        <v>0</v>
      </c>
    </row>
    <row r="7" spans="1:50" ht="11.25" customHeight="1" x14ac:dyDescent="0.25">
      <c r="A7" s="48">
        <v>6</v>
      </c>
      <c r="B7" s="48" t="s">
        <v>445</v>
      </c>
      <c r="C7" s="48" t="s">
        <v>22</v>
      </c>
      <c r="D7" s="48" t="s">
        <v>86</v>
      </c>
      <c r="E7" s="48" t="s">
        <v>24</v>
      </c>
      <c r="F7" s="48" t="s">
        <v>31</v>
      </c>
      <c r="G7" s="48" t="s">
        <v>25</v>
      </c>
      <c r="H7" s="48" t="s">
        <v>25</v>
      </c>
      <c r="I7" s="48" t="s">
        <v>25</v>
      </c>
      <c r="J7" s="48" t="s">
        <v>591</v>
      </c>
      <c r="K7" s="48" t="s">
        <v>590</v>
      </c>
      <c r="L7" s="48" t="s">
        <v>71</v>
      </c>
      <c r="M7" s="48">
        <v>2021</v>
      </c>
      <c r="N7" s="48">
        <v>0</v>
      </c>
      <c r="O7" s="48">
        <v>629.91999999999996</v>
      </c>
      <c r="P7" s="48">
        <v>0</v>
      </c>
    </row>
    <row r="8" spans="1:50" ht="11.25" customHeight="1" x14ac:dyDescent="0.25">
      <c r="A8" s="48">
        <v>7</v>
      </c>
      <c r="B8" s="48" t="s">
        <v>445</v>
      </c>
      <c r="C8" s="48" t="s">
        <v>22</v>
      </c>
      <c r="D8" s="48" t="s">
        <v>86</v>
      </c>
      <c r="E8" s="48" t="s">
        <v>24</v>
      </c>
      <c r="F8" s="48" t="s">
        <v>32</v>
      </c>
      <c r="G8" s="48" t="s">
        <v>25</v>
      </c>
      <c r="H8" s="48" t="s">
        <v>25</v>
      </c>
      <c r="I8" s="48" t="s">
        <v>25</v>
      </c>
      <c r="J8" s="48" t="s">
        <v>591</v>
      </c>
      <c r="K8" s="48" t="s">
        <v>590</v>
      </c>
      <c r="L8" s="48" t="s">
        <v>71</v>
      </c>
      <c r="M8" s="48">
        <v>2021</v>
      </c>
      <c r="N8" s="48">
        <v>0</v>
      </c>
      <c r="O8" s="48">
        <v>699.91</v>
      </c>
      <c r="P8" s="48">
        <v>0</v>
      </c>
    </row>
    <row r="9" spans="1:50" ht="11.25" customHeight="1" x14ac:dyDescent="0.25">
      <c r="A9" s="48">
        <v>8</v>
      </c>
      <c r="B9" s="48" t="s">
        <v>445</v>
      </c>
      <c r="C9" s="48" t="s">
        <v>43</v>
      </c>
      <c r="D9" s="48" t="s">
        <v>37</v>
      </c>
      <c r="E9" s="48" t="s">
        <v>44</v>
      </c>
      <c r="F9" s="48" t="s">
        <v>25</v>
      </c>
      <c r="G9" s="48" t="s">
        <v>25</v>
      </c>
      <c r="H9" s="48" t="s">
        <v>25</v>
      </c>
      <c r="I9" s="48" t="s">
        <v>36</v>
      </c>
      <c r="J9" s="48" t="s">
        <v>591</v>
      </c>
      <c r="K9" s="48" t="s">
        <v>590</v>
      </c>
      <c r="L9" s="48" t="s">
        <v>71</v>
      </c>
      <c r="M9" s="48">
        <v>2021</v>
      </c>
      <c r="N9" s="48">
        <v>0</v>
      </c>
      <c r="O9" s="48">
        <v>421.51</v>
      </c>
      <c r="P9" s="48">
        <v>72.474695150257006</v>
      </c>
    </row>
    <row r="10" spans="1:50" ht="11.25" customHeight="1" x14ac:dyDescent="0.25">
      <c r="A10" s="48">
        <v>9</v>
      </c>
      <c r="B10" s="48" t="s">
        <v>445</v>
      </c>
      <c r="C10" s="48" t="s">
        <v>43</v>
      </c>
      <c r="D10" s="48" t="s">
        <v>23</v>
      </c>
      <c r="E10" s="48" t="s">
        <v>44</v>
      </c>
      <c r="F10" s="48" t="s">
        <v>25</v>
      </c>
      <c r="G10" s="48" t="s">
        <v>25</v>
      </c>
      <c r="H10" s="48" t="s">
        <v>25</v>
      </c>
      <c r="I10" s="48" t="s">
        <v>25</v>
      </c>
      <c r="J10" s="48" t="s">
        <v>591</v>
      </c>
      <c r="K10" s="48" t="s">
        <v>590</v>
      </c>
      <c r="L10" s="48" t="s">
        <v>71</v>
      </c>
      <c r="M10" s="48">
        <v>2021</v>
      </c>
      <c r="N10" s="48">
        <v>0</v>
      </c>
      <c r="O10" s="48">
        <v>697.32</v>
      </c>
      <c r="P10" s="48">
        <v>72.474695150257006</v>
      </c>
    </row>
    <row r="11" spans="1:50" ht="11.25" customHeight="1" x14ac:dyDescent="0.25">
      <c r="A11" s="48">
        <v>10</v>
      </c>
      <c r="B11" s="48" t="s">
        <v>445</v>
      </c>
      <c r="C11" s="48" t="s">
        <v>43</v>
      </c>
      <c r="D11" s="48" t="s">
        <v>37</v>
      </c>
      <c r="E11" s="48" t="s">
        <v>44</v>
      </c>
      <c r="F11" s="48" t="s">
        <v>87</v>
      </c>
      <c r="G11" s="48" t="s">
        <v>25</v>
      </c>
      <c r="H11" s="48" t="s">
        <v>25</v>
      </c>
      <c r="I11" s="48" t="s">
        <v>35</v>
      </c>
      <c r="J11" s="48" t="s">
        <v>591</v>
      </c>
      <c r="K11" s="48" t="s">
        <v>590</v>
      </c>
      <c r="L11" s="48" t="s">
        <v>71</v>
      </c>
      <c r="M11" s="48">
        <v>2021</v>
      </c>
      <c r="N11" s="48">
        <v>0</v>
      </c>
      <c r="O11" s="48">
        <v>1616.71</v>
      </c>
      <c r="P11" s="48">
        <v>72.474695150257006</v>
      </c>
    </row>
    <row r="12" spans="1:50" ht="11.25" customHeight="1" x14ac:dyDescent="0.25">
      <c r="A12" s="48">
        <v>11</v>
      </c>
      <c r="B12" s="48" t="s">
        <v>445</v>
      </c>
      <c r="C12" s="48" t="s">
        <v>43</v>
      </c>
      <c r="D12" s="48" t="s">
        <v>23</v>
      </c>
      <c r="E12" s="48" t="s">
        <v>44</v>
      </c>
      <c r="F12" s="48" t="s">
        <v>87</v>
      </c>
      <c r="G12" s="48" t="s">
        <v>25</v>
      </c>
      <c r="H12" s="48" t="s">
        <v>25</v>
      </c>
      <c r="I12" s="48" t="s">
        <v>25</v>
      </c>
      <c r="J12" s="48" t="s">
        <v>591</v>
      </c>
      <c r="K12" s="48" t="s">
        <v>590</v>
      </c>
      <c r="L12" s="48" t="s">
        <v>71</v>
      </c>
      <c r="M12" s="48">
        <v>2021</v>
      </c>
      <c r="N12" s="48">
        <v>0</v>
      </c>
      <c r="O12" s="48">
        <v>697.32</v>
      </c>
      <c r="P12" s="48">
        <v>72.474695150257006</v>
      </c>
    </row>
    <row r="13" spans="1:50" ht="11.25" customHeight="1" x14ac:dyDescent="0.25">
      <c r="A13" s="48">
        <v>12</v>
      </c>
      <c r="B13" s="48" t="s">
        <v>445</v>
      </c>
      <c r="C13" s="48" t="s">
        <v>43</v>
      </c>
      <c r="D13" s="48" t="s">
        <v>37</v>
      </c>
      <c r="E13" s="48" t="s">
        <v>44</v>
      </c>
      <c r="F13" s="48" t="s">
        <v>88</v>
      </c>
      <c r="G13" s="48" t="s">
        <v>25</v>
      </c>
      <c r="H13" s="48" t="s">
        <v>25</v>
      </c>
      <c r="I13" s="48" t="s">
        <v>35</v>
      </c>
      <c r="J13" s="48" t="s">
        <v>591</v>
      </c>
      <c r="K13" s="48" t="s">
        <v>590</v>
      </c>
      <c r="L13" s="48" t="s">
        <v>71</v>
      </c>
      <c r="M13" s="48">
        <v>2021</v>
      </c>
      <c r="N13" s="48">
        <v>0</v>
      </c>
      <c r="O13" s="48">
        <v>1543.22</v>
      </c>
      <c r="P13" s="48">
        <v>69.180390825245297</v>
      </c>
    </row>
    <row r="14" spans="1:50" ht="11.25" customHeight="1" x14ac:dyDescent="0.25">
      <c r="A14" s="48">
        <v>13</v>
      </c>
      <c r="B14" s="48" t="s">
        <v>445</v>
      </c>
      <c r="C14" s="48" t="s">
        <v>43</v>
      </c>
      <c r="D14" s="48" t="s">
        <v>37</v>
      </c>
      <c r="E14" s="48" t="s">
        <v>44</v>
      </c>
      <c r="F14" s="48" t="s">
        <v>88</v>
      </c>
      <c r="G14" s="48" t="s">
        <v>25</v>
      </c>
      <c r="H14" s="48" t="s">
        <v>25</v>
      </c>
      <c r="I14" s="48" t="s">
        <v>38</v>
      </c>
      <c r="J14" s="48" t="s">
        <v>591</v>
      </c>
      <c r="K14" s="48" t="s">
        <v>590</v>
      </c>
      <c r="L14" s="48" t="s">
        <v>71</v>
      </c>
      <c r="M14" s="48">
        <v>2021</v>
      </c>
      <c r="N14" s="48">
        <v>0</v>
      </c>
      <c r="O14" s="48">
        <v>972.79</v>
      </c>
      <c r="P14" s="48">
        <v>69.180390825245297</v>
      </c>
    </row>
    <row r="15" spans="1:50" ht="11.25" customHeight="1" x14ac:dyDescent="0.25">
      <c r="A15" s="48">
        <v>14</v>
      </c>
      <c r="B15" s="48" t="s">
        <v>445</v>
      </c>
      <c r="C15" s="48" t="s">
        <v>43</v>
      </c>
      <c r="D15" s="48" t="s">
        <v>37</v>
      </c>
      <c r="E15" s="48" t="s">
        <v>44</v>
      </c>
      <c r="F15" s="48" t="s">
        <v>88</v>
      </c>
      <c r="G15" s="48" t="s">
        <v>25</v>
      </c>
      <c r="H15" s="48" t="s">
        <v>25</v>
      </c>
      <c r="I15" s="48" t="s">
        <v>36</v>
      </c>
      <c r="J15" s="48" t="s">
        <v>591</v>
      </c>
      <c r="K15" s="48" t="s">
        <v>590</v>
      </c>
      <c r="L15" s="48" t="s">
        <v>71</v>
      </c>
      <c r="M15" s="48">
        <v>2021</v>
      </c>
      <c r="N15" s="48">
        <v>0</v>
      </c>
      <c r="O15" s="48">
        <v>402.35</v>
      </c>
      <c r="P15" s="48">
        <v>69.180390825245297</v>
      </c>
    </row>
    <row r="16" spans="1:50" ht="11.25" customHeight="1" x14ac:dyDescent="0.25">
      <c r="A16" s="48">
        <v>15</v>
      </c>
      <c r="B16" s="48" t="s">
        <v>445</v>
      </c>
      <c r="C16" s="48" t="s">
        <v>43</v>
      </c>
      <c r="D16" s="48" t="s">
        <v>37</v>
      </c>
      <c r="E16" s="48" t="s">
        <v>44</v>
      </c>
      <c r="F16" s="48" t="s">
        <v>25</v>
      </c>
      <c r="G16" s="48" t="s">
        <v>25</v>
      </c>
      <c r="H16" s="48" t="s">
        <v>25</v>
      </c>
      <c r="I16" s="48" t="s">
        <v>35</v>
      </c>
      <c r="J16" s="48" t="s">
        <v>591</v>
      </c>
      <c r="K16" s="48" t="s">
        <v>590</v>
      </c>
      <c r="L16" s="48" t="s">
        <v>71</v>
      </c>
      <c r="M16" s="48">
        <v>2021</v>
      </c>
      <c r="N16" s="48">
        <v>0</v>
      </c>
      <c r="O16" s="48">
        <v>1616.71</v>
      </c>
      <c r="P16" s="48">
        <v>72.474695150257006</v>
      </c>
    </row>
    <row r="17" spans="1:16" ht="11.25" customHeight="1" x14ac:dyDescent="0.25">
      <c r="A17" s="48">
        <v>16</v>
      </c>
      <c r="B17" s="48" t="s">
        <v>445</v>
      </c>
      <c r="C17" s="48" t="s">
        <v>43</v>
      </c>
      <c r="D17" s="48" t="s">
        <v>37</v>
      </c>
      <c r="E17" s="48" t="s">
        <v>44</v>
      </c>
      <c r="F17" s="48" t="s">
        <v>25</v>
      </c>
      <c r="G17" s="48" t="s">
        <v>25</v>
      </c>
      <c r="H17" s="48" t="s">
        <v>25</v>
      </c>
      <c r="I17" s="48" t="s">
        <v>38</v>
      </c>
      <c r="J17" s="48" t="s">
        <v>591</v>
      </c>
      <c r="K17" s="48" t="s">
        <v>590</v>
      </c>
      <c r="L17" s="48" t="s">
        <v>71</v>
      </c>
      <c r="M17" s="48">
        <v>2021</v>
      </c>
      <c r="N17" s="48">
        <v>0</v>
      </c>
      <c r="O17" s="48">
        <v>1019.11</v>
      </c>
      <c r="P17" s="48">
        <v>72.474695150257006</v>
      </c>
    </row>
    <row r="18" spans="1:16" ht="11.25" customHeight="1" x14ac:dyDescent="0.25">
      <c r="A18" s="48">
        <v>17</v>
      </c>
      <c r="B18" s="48" t="s">
        <v>445</v>
      </c>
      <c r="C18" s="48" t="s">
        <v>43</v>
      </c>
      <c r="D18" s="48" t="s">
        <v>37</v>
      </c>
      <c r="E18" s="48" t="s">
        <v>44</v>
      </c>
      <c r="F18" s="48" t="s">
        <v>87</v>
      </c>
      <c r="G18" s="48" t="s">
        <v>25</v>
      </c>
      <c r="H18" s="48" t="s">
        <v>25</v>
      </c>
      <c r="I18" s="48" t="s">
        <v>38</v>
      </c>
      <c r="J18" s="48" t="s">
        <v>591</v>
      </c>
      <c r="K18" s="48" t="s">
        <v>590</v>
      </c>
      <c r="L18" s="48" t="s">
        <v>71</v>
      </c>
      <c r="M18" s="48">
        <v>2021</v>
      </c>
      <c r="N18" s="48">
        <v>0</v>
      </c>
      <c r="O18" s="48">
        <v>1019.11</v>
      </c>
      <c r="P18" s="48">
        <v>72.474695150257006</v>
      </c>
    </row>
    <row r="19" spans="1:16" ht="11.25" customHeight="1" x14ac:dyDescent="0.25">
      <c r="A19" s="48">
        <v>18</v>
      </c>
      <c r="B19" s="48" t="s">
        <v>445</v>
      </c>
      <c r="C19" s="48" t="s">
        <v>43</v>
      </c>
      <c r="D19" s="48" t="s">
        <v>37</v>
      </c>
      <c r="E19" s="48" t="s">
        <v>44</v>
      </c>
      <c r="F19" s="48" t="s">
        <v>87</v>
      </c>
      <c r="G19" s="48" t="s">
        <v>25</v>
      </c>
      <c r="H19" s="48" t="s">
        <v>25</v>
      </c>
      <c r="I19" s="48" t="s">
        <v>36</v>
      </c>
      <c r="J19" s="48" t="s">
        <v>591</v>
      </c>
      <c r="K19" s="48" t="s">
        <v>590</v>
      </c>
      <c r="L19" s="48" t="s">
        <v>71</v>
      </c>
      <c r="M19" s="48">
        <v>2021</v>
      </c>
      <c r="N19" s="48">
        <v>0</v>
      </c>
      <c r="O19" s="48">
        <v>421.51</v>
      </c>
      <c r="P19" s="48">
        <v>72.474695150257006</v>
      </c>
    </row>
    <row r="20" spans="1:16" ht="11.25" customHeight="1" x14ac:dyDescent="0.25">
      <c r="A20" s="48">
        <v>19</v>
      </c>
      <c r="B20" s="48" t="s">
        <v>445</v>
      </c>
      <c r="C20" s="48" t="s">
        <v>43</v>
      </c>
      <c r="D20" s="48" t="s">
        <v>23</v>
      </c>
      <c r="E20" s="48" t="s">
        <v>44</v>
      </c>
      <c r="F20" s="48" t="s">
        <v>88</v>
      </c>
      <c r="G20" s="48" t="s">
        <v>25</v>
      </c>
      <c r="H20" s="48" t="s">
        <v>25</v>
      </c>
      <c r="I20" s="48" t="s">
        <v>25</v>
      </c>
      <c r="J20" s="48" t="s">
        <v>591</v>
      </c>
      <c r="K20" s="48" t="s">
        <v>590</v>
      </c>
      <c r="L20" s="48" t="s">
        <v>71</v>
      </c>
      <c r="M20" s="48">
        <v>2021</v>
      </c>
      <c r="N20" s="48">
        <v>0</v>
      </c>
      <c r="O20" s="48">
        <v>665.63</v>
      </c>
      <c r="P20" s="48">
        <v>69.180390825245297</v>
      </c>
    </row>
    <row r="21" spans="1:16" ht="11.25" customHeight="1" x14ac:dyDescent="0.25">
      <c r="A21" s="48">
        <v>20</v>
      </c>
      <c r="B21" s="48" t="s">
        <v>445</v>
      </c>
      <c r="C21" s="48" t="s">
        <v>43</v>
      </c>
      <c r="D21" s="48" t="s">
        <v>86</v>
      </c>
      <c r="E21" s="48" t="s">
        <v>44</v>
      </c>
      <c r="F21" s="48" t="s">
        <v>25</v>
      </c>
      <c r="G21" s="48" t="s">
        <v>25</v>
      </c>
      <c r="H21" s="48" t="s">
        <v>25</v>
      </c>
      <c r="I21" s="48" t="s">
        <v>25</v>
      </c>
      <c r="J21" s="48" t="s">
        <v>591</v>
      </c>
      <c r="K21" s="48" t="s">
        <v>590</v>
      </c>
      <c r="L21" s="48" t="s">
        <v>71</v>
      </c>
      <c r="M21" s="48">
        <v>2021</v>
      </c>
      <c r="N21" s="48">
        <v>0</v>
      </c>
      <c r="O21" s="48">
        <v>697.32</v>
      </c>
      <c r="P21" s="48">
        <v>72.474695150257006</v>
      </c>
    </row>
    <row r="22" spans="1:16" ht="11.25" customHeight="1" x14ac:dyDescent="0.25">
      <c r="A22" s="48">
        <v>21</v>
      </c>
      <c r="B22" s="48" t="s">
        <v>445</v>
      </c>
      <c r="C22" s="48" t="s">
        <v>33</v>
      </c>
      <c r="D22" s="48" t="s">
        <v>80</v>
      </c>
      <c r="E22" s="48" t="s">
        <v>25</v>
      </c>
      <c r="F22" s="48" t="s">
        <v>25</v>
      </c>
      <c r="G22" s="48" t="s">
        <v>25</v>
      </c>
      <c r="H22" s="48" t="s">
        <v>25</v>
      </c>
      <c r="I22" s="48" t="s">
        <v>25</v>
      </c>
      <c r="J22" s="48" t="s">
        <v>589</v>
      </c>
      <c r="K22" s="48" t="s">
        <v>590</v>
      </c>
      <c r="L22" s="48" t="s">
        <v>76</v>
      </c>
      <c r="M22" s="48">
        <v>2021</v>
      </c>
      <c r="N22" s="48">
        <v>0</v>
      </c>
      <c r="O22" s="48">
        <v>12.13</v>
      </c>
      <c r="P22" s="48">
        <v>0</v>
      </c>
    </row>
    <row r="23" spans="1:16" ht="11.25" customHeight="1" x14ac:dyDescent="0.25">
      <c r="A23" s="48">
        <v>22</v>
      </c>
      <c r="B23" s="48" t="s">
        <v>445</v>
      </c>
      <c r="C23" s="48" t="s">
        <v>33</v>
      </c>
      <c r="D23" s="48" t="s">
        <v>34</v>
      </c>
      <c r="E23" s="48" t="s">
        <v>25</v>
      </c>
      <c r="F23" s="48" t="s">
        <v>25</v>
      </c>
      <c r="G23" s="48" t="s">
        <v>25</v>
      </c>
      <c r="H23" s="48" t="s">
        <v>25</v>
      </c>
      <c r="I23" s="48" t="s">
        <v>25</v>
      </c>
      <c r="J23" s="48" t="s">
        <v>589</v>
      </c>
      <c r="K23" s="48" t="s">
        <v>590</v>
      </c>
      <c r="L23" s="48" t="s">
        <v>76</v>
      </c>
      <c r="M23" s="48">
        <v>2021</v>
      </c>
      <c r="N23" s="48">
        <v>0</v>
      </c>
      <c r="O23" s="48">
        <v>63.83</v>
      </c>
      <c r="P23" s="48">
        <v>0</v>
      </c>
    </row>
    <row r="24" spans="1:16" ht="11.25" customHeight="1" x14ac:dyDescent="0.25">
      <c r="A24" s="48">
        <v>23</v>
      </c>
      <c r="B24" s="48" t="s">
        <v>445</v>
      </c>
      <c r="C24" s="48" t="s">
        <v>33</v>
      </c>
      <c r="D24" s="48" t="s">
        <v>34</v>
      </c>
      <c r="E24" s="48" t="s">
        <v>25</v>
      </c>
      <c r="F24" s="48" t="s">
        <v>25</v>
      </c>
      <c r="G24" s="48" t="s">
        <v>25</v>
      </c>
      <c r="H24" s="48" t="s">
        <v>25</v>
      </c>
      <c r="I24" s="48" t="s">
        <v>35</v>
      </c>
      <c r="J24" s="48" t="s">
        <v>591</v>
      </c>
      <c r="K24" s="48" t="s">
        <v>590</v>
      </c>
      <c r="L24" s="48" t="s">
        <v>71</v>
      </c>
      <c r="M24" s="48">
        <v>2021</v>
      </c>
      <c r="N24" s="48">
        <v>0</v>
      </c>
      <c r="O24" s="48">
        <v>4048.87</v>
      </c>
      <c r="P24" s="48">
        <v>71.651119069004096</v>
      </c>
    </row>
    <row r="25" spans="1:16" ht="11.25" customHeight="1" x14ac:dyDescent="0.25">
      <c r="A25" s="48">
        <v>24</v>
      </c>
      <c r="B25" s="48" t="s">
        <v>445</v>
      </c>
      <c r="C25" s="48" t="s">
        <v>33</v>
      </c>
      <c r="D25" s="48" t="s">
        <v>34</v>
      </c>
      <c r="E25" s="48" t="s">
        <v>25</v>
      </c>
      <c r="F25" s="48" t="s">
        <v>25</v>
      </c>
      <c r="G25" s="48" t="s">
        <v>25</v>
      </c>
      <c r="H25" s="48" t="s">
        <v>25</v>
      </c>
      <c r="I25" s="48" t="s">
        <v>36</v>
      </c>
      <c r="J25" s="48" t="s">
        <v>591</v>
      </c>
      <c r="K25" s="48" t="s">
        <v>590</v>
      </c>
      <c r="L25" s="48" t="s">
        <v>71</v>
      </c>
      <c r="M25" s="48">
        <v>2021</v>
      </c>
      <c r="N25" s="48">
        <v>0</v>
      </c>
      <c r="O25" s="48">
        <v>103.26</v>
      </c>
      <c r="P25" s="48">
        <v>71.651119069004096</v>
      </c>
    </row>
    <row r="26" spans="1:16" ht="11.25" customHeight="1" x14ac:dyDescent="0.25">
      <c r="A26" s="48">
        <v>25</v>
      </c>
      <c r="B26" s="48" t="s">
        <v>445</v>
      </c>
      <c r="C26" s="48" t="s">
        <v>33</v>
      </c>
      <c r="D26" s="48" t="s">
        <v>34</v>
      </c>
      <c r="E26" s="48" t="s">
        <v>25</v>
      </c>
      <c r="F26" s="48" t="s">
        <v>25</v>
      </c>
      <c r="G26" s="48" t="s">
        <v>79</v>
      </c>
      <c r="H26" s="48" t="s">
        <v>25</v>
      </c>
      <c r="I26" s="48" t="s">
        <v>35</v>
      </c>
      <c r="J26" s="48" t="s">
        <v>591</v>
      </c>
      <c r="K26" s="48" t="s">
        <v>590</v>
      </c>
      <c r="L26" s="48" t="s">
        <v>71</v>
      </c>
      <c r="M26" s="48">
        <v>2021</v>
      </c>
      <c r="N26" s="48">
        <v>0</v>
      </c>
      <c r="O26" s="48">
        <v>3967.18</v>
      </c>
      <c r="P26" s="48">
        <v>0</v>
      </c>
    </row>
    <row r="27" spans="1:16" ht="11.25" customHeight="1" x14ac:dyDescent="0.25">
      <c r="A27" s="48">
        <v>26</v>
      </c>
      <c r="B27" s="48" t="s">
        <v>445</v>
      </c>
      <c r="C27" s="48" t="s">
        <v>81</v>
      </c>
      <c r="D27" s="48" t="s">
        <v>80</v>
      </c>
      <c r="E27" s="48" t="s">
        <v>25</v>
      </c>
      <c r="F27" s="48" t="s">
        <v>25</v>
      </c>
      <c r="G27" s="48" t="s">
        <v>83</v>
      </c>
      <c r="H27" s="48" t="s">
        <v>25</v>
      </c>
      <c r="I27" s="48" t="s">
        <v>25</v>
      </c>
      <c r="J27" s="48" t="s">
        <v>589</v>
      </c>
      <c r="K27" s="48" t="s">
        <v>590</v>
      </c>
      <c r="L27" s="48" t="s">
        <v>76</v>
      </c>
      <c r="M27" s="48">
        <v>2021</v>
      </c>
      <c r="N27" s="48">
        <v>0</v>
      </c>
      <c r="O27" s="48">
        <v>19.8</v>
      </c>
      <c r="P27" s="48">
        <v>0</v>
      </c>
    </row>
    <row r="28" spans="1:16" ht="11.25" customHeight="1" x14ac:dyDescent="0.25">
      <c r="A28" s="48">
        <v>27</v>
      </c>
      <c r="B28" s="48" t="s">
        <v>445</v>
      </c>
      <c r="C28" s="48" t="s">
        <v>22</v>
      </c>
      <c r="D28" s="48" t="s">
        <v>37</v>
      </c>
      <c r="E28" s="48" t="s">
        <v>24</v>
      </c>
      <c r="F28" s="48" t="s">
        <v>24</v>
      </c>
      <c r="G28" s="48" t="s">
        <v>25</v>
      </c>
      <c r="H28" s="48" t="s">
        <v>25</v>
      </c>
      <c r="I28" s="48" t="s">
        <v>35</v>
      </c>
      <c r="J28" s="48" t="s">
        <v>591</v>
      </c>
      <c r="K28" s="48" t="s">
        <v>590</v>
      </c>
      <c r="L28" s="48" t="s">
        <v>71</v>
      </c>
      <c r="M28" s="48">
        <v>2021</v>
      </c>
      <c r="N28" s="48">
        <v>0</v>
      </c>
      <c r="O28" s="48">
        <v>1902.47</v>
      </c>
      <c r="P28" s="48">
        <v>82.357608125292003</v>
      </c>
    </row>
    <row r="29" spans="1:16" ht="11.25" customHeight="1" x14ac:dyDescent="0.25">
      <c r="A29" s="48">
        <v>28</v>
      </c>
      <c r="B29" s="48" t="s">
        <v>445</v>
      </c>
      <c r="C29" s="48" t="s">
        <v>22</v>
      </c>
      <c r="D29" s="48" t="s">
        <v>37</v>
      </c>
      <c r="E29" s="48" t="s">
        <v>24</v>
      </c>
      <c r="F29" s="48" t="s">
        <v>24</v>
      </c>
      <c r="G29" s="48" t="s">
        <v>25</v>
      </c>
      <c r="H29" s="48" t="s">
        <v>25</v>
      </c>
      <c r="I29" s="48" t="s">
        <v>38</v>
      </c>
      <c r="J29" s="48" t="s">
        <v>591</v>
      </c>
      <c r="K29" s="48" t="s">
        <v>590</v>
      </c>
      <c r="L29" s="48" t="s">
        <v>71</v>
      </c>
      <c r="M29" s="48">
        <v>2021</v>
      </c>
      <c r="N29" s="48">
        <v>0</v>
      </c>
      <c r="O29" s="48">
        <v>1197.26</v>
      </c>
      <c r="P29" s="48">
        <v>82.357608125292003</v>
      </c>
    </row>
    <row r="30" spans="1:16" ht="11.25" customHeight="1" x14ac:dyDescent="0.25">
      <c r="A30" s="48">
        <v>29</v>
      </c>
      <c r="B30" s="48" t="s">
        <v>445</v>
      </c>
      <c r="C30" s="48" t="s">
        <v>22</v>
      </c>
      <c r="D30" s="48" t="s">
        <v>23</v>
      </c>
      <c r="E30" s="48" t="s">
        <v>24</v>
      </c>
      <c r="F30" s="48" t="s">
        <v>29</v>
      </c>
      <c r="G30" s="48" t="s">
        <v>25</v>
      </c>
      <c r="H30" s="48" t="s">
        <v>25</v>
      </c>
      <c r="I30" s="48" t="s">
        <v>25</v>
      </c>
      <c r="J30" s="48" t="s">
        <v>591</v>
      </c>
      <c r="K30" s="48" t="s">
        <v>590</v>
      </c>
      <c r="L30" s="48" t="s">
        <v>71</v>
      </c>
      <c r="M30" s="48">
        <v>2021</v>
      </c>
      <c r="N30" s="48">
        <v>0</v>
      </c>
      <c r="O30" s="48">
        <v>244.97</v>
      </c>
      <c r="P30" s="48">
        <v>0</v>
      </c>
    </row>
    <row r="31" spans="1:16" ht="11.25" customHeight="1" x14ac:dyDescent="0.25">
      <c r="A31" s="48">
        <v>30</v>
      </c>
      <c r="B31" s="48" t="s">
        <v>445</v>
      </c>
      <c r="C31" s="48" t="s">
        <v>22</v>
      </c>
      <c r="D31" s="48" t="s">
        <v>23</v>
      </c>
      <c r="E31" s="48" t="s">
        <v>24</v>
      </c>
      <c r="F31" s="48" t="s">
        <v>30</v>
      </c>
      <c r="G31" s="48" t="s">
        <v>25</v>
      </c>
      <c r="H31" s="48" t="s">
        <v>25</v>
      </c>
      <c r="I31" s="48" t="s">
        <v>25</v>
      </c>
      <c r="J31" s="48" t="s">
        <v>591</v>
      </c>
      <c r="K31" s="48" t="s">
        <v>590</v>
      </c>
      <c r="L31" s="48" t="s">
        <v>71</v>
      </c>
      <c r="M31" s="48">
        <v>2021</v>
      </c>
      <c r="N31" s="48">
        <v>0</v>
      </c>
      <c r="O31" s="48">
        <v>419.95</v>
      </c>
      <c r="P31" s="48">
        <v>0</v>
      </c>
    </row>
    <row r="32" spans="1:16" ht="11.25" customHeight="1" x14ac:dyDescent="0.25">
      <c r="A32" s="48">
        <v>31</v>
      </c>
      <c r="B32" s="48" t="s">
        <v>445</v>
      </c>
      <c r="C32" s="48" t="s">
        <v>22</v>
      </c>
      <c r="D32" s="48" t="s">
        <v>23</v>
      </c>
      <c r="E32" s="48" t="s">
        <v>24</v>
      </c>
      <c r="F32" s="48" t="s">
        <v>31</v>
      </c>
      <c r="G32" s="48" t="s">
        <v>25</v>
      </c>
      <c r="H32" s="48" t="s">
        <v>25</v>
      </c>
      <c r="I32" s="48" t="s">
        <v>25</v>
      </c>
      <c r="J32" s="48" t="s">
        <v>591</v>
      </c>
      <c r="K32" s="48" t="s">
        <v>590</v>
      </c>
      <c r="L32" s="48" t="s">
        <v>71</v>
      </c>
      <c r="M32" s="48">
        <v>2021</v>
      </c>
      <c r="N32" s="48">
        <v>0</v>
      </c>
      <c r="O32" s="48">
        <v>629.91999999999996</v>
      </c>
      <c r="P32" s="48">
        <v>0</v>
      </c>
    </row>
    <row r="33" spans="1:16" ht="11.25" customHeight="1" x14ac:dyDescent="0.25">
      <c r="A33" s="48">
        <v>32</v>
      </c>
      <c r="B33" s="48" t="s">
        <v>445</v>
      </c>
      <c r="C33" s="48" t="s">
        <v>22</v>
      </c>
      <c r="D33" s="48" t="s">
        <v>23</v>
      </c>
      <c r="E33" s="48" t="s">
        <v>24</v>
      </c>
      <c r="F33" s="48" t="s">
        <v>32</v>
      </c>
      <c r="G33" s="48" t="s">
        <v>25</v>
      </c>
      <c r="H33" s="48" t="s">
        <v>25</v>
      </c>
      <c r="I33" s="48" t="s">
        <v>25</v>
      </c>
      <c r="J33" s="48" t="s">
        <v>591</v>
      </c>
      <c r="K33" s="48" t="s">
        <v>590</v>
      </c>
      <c r="L33" s="48" t="s">
        <v>71</v>
      </c>
      <c r="M33" s="48">
        <v>2021</v>
      </c>
      <c r="N33" s="48">
        <v>0</v>
      </c>
      <c r="O33" s="48">
        <v>699.91</v>
      </c>
      <c r="P33" s="48">
        <v>0</v>
      </c>
    </row>
    <row r="34" spans="1:16" ht="11.25" customHeight="1" x14ac:dyDescent="0.25">
      <c r="A34" s="48">
        <v>33</v>
      </c>
      <c r="B34" s="48" t="s">
        <v>445</v>
      </c>
      <c r="C34" s="48" t="s">
        <v>33</v>
      </c>
      <c r="D34" s="48" t="s">
        <v>34</v>
      </c>
      <c r="E34" s="48" t="s">
        <v>25</v>
      </c>
      <c r="F34" s="48" t="s">
        <v>25</v>
      </c>
      <c r="G34" s="48" t="s">
        <v>79</v>
      </c>
      <c r="H34" s="48" t="s">
        <v>25</v>
      </c>
      <c r="I34" s="48" t="s">
        <v>36</v>
      </c>
      <c r="J34" s="48" t="s">
        <v>591</v>
      </c>
      <c r="K34" s="48" t="s">
        <v>590</v>
      </c>
      <c r="L34" s="48" t="s">
        <v>71</v>
      </c>
      <c r="M34" s="48">
        <v>2021</v>
      </c>
      <c r="N34" s="48">
        <v>0</v>
      </c>
      <c r="O34" s="48">
        <v>21.57</v>
      </c>
      <c r="P34" s="48">
        <v>0</v>
      </c>
    </row>
    <row r="35" spans="1:16" ht="11.25" customHeight="1" x14ac:dyDescent="0.25">
      <c r="A35" s="48">
        <v>34</v>
      </c>
      <c r="B35" s="48" t="s">
        <v>445</v>
      </c>
      <c r="C35" s="48" t="s">
        <v>81</v>
      </c>
      <c r="D35" s="48" t="s">
        <v>80</v>
      </c>
      <c r="E35" s="48" t="s">
        <v>25</v>
      </c>
      <c r="F35" s="48" t="s">
        <v>25</v>
      </c>
      <c r="G35" s="48" t="s">
        <v>82</v>
      </c>
      <c r="H35" s="48" t="s">
        <v>25</v>
      </c>
      <c r="I35" s="48" t="s">
        <v>25</v>
      </c>
      <c r="J35" s="48" t="s">
        <v>589</v>
      </c>
      <c r="K35" s="48" t="s">
        <v>590</v>
      </c>
      <c r="L35" s="48" t="s">
        <v>76</v>
      </c>
      <c r="M35" s="48">
        <v>2021</v>
      </c>
      <c r="N35" s="48">
        <v>0</v>
      </c>
      <c r="O35" s="48">
        <v>6.15</v>
      </c>
      <c r="P35" s="48">
        <v>0</v>
      </c>
    </row>
    <row r="36" spans="1:16" ht="11.25" customHeight="1" x14ac:dyDescent="0.25">
      <c r="A36" s="48">
        <v>35</v>
      </c>
      <c r="B36" s="48" t="s">
        <v>445</v>
      </c>
      <c r="C36" s="48" t="s">
        <v>22</v>
      </c>
      <c r="D36" s="48" t="s">
        <v>37</v>
      </c>
      <c r="E36" s="48" t="s">
        <v>24</v>
      </c>
      <c r="F36" s="48" t="s">
        <v>24</v>
      </c>
      <c r="G36" s="48" t="s">
        <v>25</v>
      </c>
      <c r="H36" s="48" t="s">
        <v>25</v>
      </c>
      <c r="I36" s="48" t="s">
        <v>36</v>
      </c>
      <c r="J36" s="48" t="s">
        <v>591</v>
      </c>
      <c r="K36" s="48" t="s">
        <v>590</v>
      </c>
      <c r="L36" s="48" t="s">
        <v>71</v>
      </c>
      <c r="M36" s="48">
        <v>2021</v>
      </c>
      <c r="N36" s="48">
        <v>0</v>
      </c>
      <c r="O36" s="48">
        <v>492.05</v>
      </c>
      <c r="P36" s="48">
        <v>82.357608125292003</v>
      </c>
    </row>
    <row r="37" spans="1:16" ht="11.25" customHeight="1" x14ac:dyDescent="0.25">
      <c r="A37" s="48">
        <v>36</v>
      </c>
      <c r="B37" s="48" t="s">
        <v>445</v>
      </c>
      <c r="C37" s="48" t="s">
        <v>22</v>
      </c>
      <c r="D37" s="48" t="s">
        <v>23</v>
      </c>
      <c r="E37" s="48" t="s">
        <v>24</v>
      </c>
      <c r="F37" s="48" t="s">
        <v>24</v>
      </c>
      <c r="G37" s="48" t="s">
        <v>25</v>
      </c>
      <c r="H37" s="48" t="s">
        <v>25</v>
      </c>
      <c r="I37" s="48" t="s">
        <v>25</v>
      </c>
      <c r="J37" s="48" t="s">
        <v>591</v>
      </c>
      <c r="K37" s="48" t="s">
        <v>590</v>
      </c>
      <c r="L37" s="48" t="s">
        <v>71</v>
      </c>
      <c r="M37" s="48">
        <v>2021</v>
      </c>
      <c r="N37" s="48">
        <v>0</v>
      </c>
      <c r="O37" s="48">
        <v>792.41</v>
      </c>
      <c r="P37" s="48">
        <v>82.357608125292003</v>
      </c>
    </row>
    <row r="38" spans="1:16" ht="11.25" customHeight="1" x14ac:dyDescent="0.25">
      <c r="A38" s="48">
        <v>37</v>
      </c>
      <c r="B38" s="48" t="s">
        <v>445</v>
      </c>
      <c r="C38" s="48" t="s">
        <v>22</v>
      </c>
      <c r="D38" s="48" t="s">
        <v>86</v>
      </c>
      <c r="E38" s="48" t="s">
        <v>24</v>
      </c>
      <c r="F38" s="48" t="s">
        <v>24</v>
      </c>
      <c r="G38" s="48" t="s">
        <v>25</v>
      </c>
      <c r="H38" s="48" t="s">
        <v>25</v>
      </c>
      <c r="I38" s="48" t="s">
        <v>25</v>
      </c>
      <c r="J38" s="48" t="s">
        <v>591</v>
      </c>
      <c r="K38" s="48" t="s">
        <v>590</v>
      </c>
      <c r="L38" s="48" t="s">
        <v>71</v>
      </c>
      <c r="M38" s="48">
        <v>2021</v>
      </c>
      <c r="N38" s="48">
        <v>0</v>
      </c>
      <c r="O38" s="48">
        <v>792.41</v>
      </c>
      <c r="P38" s="48">
        <v>82.357608125292003</v>
      </c>
    </row>
    <row r="39" spans="1:16" ht="11.25" customHeight="1" x14ac:dyDescent="0.25">
      <c r="A39" s="48">
        <v>38</v>
      </c>
      <c r="B39" s="48" t="s">
        <v>445</v>
      </c>
      <c r="C39" s="48" t="s">
        <v>22</v>
      </c>
      <c r="D39" s="48" t="s">
        <v>86</v>
      </c>
      <c r="E39" s="48" t="s">
        <v>24</v>
      </c>
      <c r="F39" s="48" t="s">
        <v>29</v>
      </c>
      <c r="G39" s="48" t="s">
        <v>25</v>
      </c>
      <c r="H39" s="48" t="s">
        <v>25</v>
      </c>
      <c r="I39" s="48" t="s">
        <v>25</v>
      </c>
      <c r="J39" s="48" t="s">
        <v>591</v>
      </c>
      <c r="K39" s="48" t="s">
        <v>590</v>
      </c>
      <c r="L39" s="48" t="s">
        <v>71</v>
      </c>
      <c r="M39" s="48">
        <v>2021</v>
      </c>
      <c r="N39" s="48">
        <v>0</v>
      </c>
      <c r="O39" s="48">
        <v>244.97</v>
      </c>
      <c r="P39" s="48">
        <v>0</v>
      </c>
    </row>
    <row r="40" spans="1:16" ht="11.25" customHeight="1" x14ac:dyDescent="0.25">
      <c r="A40" s="48">
        <v>39</v>
      </c>
      <c r="B40" s="48" t="s">
        <v>445</v>
      </c>
      <c r="C40" s="48" t="s">
        <v>39</v>
      </c>
      <c r="D40" s="48" t="s">
        <v>23</v>
      </c>
      <c r="E40" s="48" t="s">
        <v>25</v>
      </c>
      <c r="F40" s="48" t="s">
        <v>25</v>
      </c>
      <c r="G40" s="48" t="s">
        <v>25</v>
      </c>
      <c r="H40" s="48" t="s">
        <v>25</v>
      </c>
      <c r="I40" s="48" t="s">
        <v>25</v>
      </c>
      <c r="J40" s="48" t="s">
        <v>591</v>
      </c>
      <c r="K40" s="48" t="s">
        <v>590</v>
      </c>
      <c r="L40" s="48" t="s">
        <v>71</v>
      </c>
      <c r="M40" s="48">
        <v>2021</v>
      </c>
      <c r="N40" s="48">
        <v>0</v>
      </c>
      <c r="O40" s="48">
        <v>792.41</v>
      </c>
      <c r="P40" s="48">
        <v>82.357608125292003</v>
      </c>
    </row>
    <row r="41" spans="1:16" ht="11.25" customHeight="1" x14ac:dyDescent="0.25">
      <c r="A41" s="48">
        <v>40</v>
      </c>
      <c r="B41" s="48" t="s">
        <v>445</v>
      </c>
      <c r="C41" s="48" t="s">
        <v>39</v>
      </c>
      <c r="D41" s="48" t="s">
        <v>86</v>
      </c>
      <c r="E41" s="48" t="s">
        <v>25</v>
      </c>
      <c r="F41" s="48" t="s">
        <v>25</v>
      </c>
      <c r="G41" s="48" t="s">
        <v>25</v>
      </c>
      <c r="H41" s="48" t="s">
        <v>25</v>
      </c>
      <c r="I41" s="48" t="s">
        <v>25</v>
      </c>
      <c r="J41" s="48" t="s">
        <v>591</v>
      </c>
      <c r="K41" s="48" t="s">
        <v>590</v>
      </c>
      <c r="L41" s="48" t="s">
        <v>71</v>
      </c>
      <c r="M41" s="48">
        <v>2021</v>
      </c>
      <c r="N41" s="48">
        <v>0</v>
      </c>
      <c r="O41" s="48">
        <v>792.41</v>
      </c>
      <c r="P41" s="48">
        <v>82.357608125292003</v>
      </c>
    </row>
    <row r="42" spans="1:16" ht="11.25" customHeight="1" x14ac:dyDescent="0.25">
      <c r="A42" s="48">
        <v>41</v>
      </c>
      <c r="B42" s="48" t="s">
        <v>445</v>
      </c>
      <c r="C42" s="48" t="s">
        <v>46</v>
      </c>
      <c r="D42" s="48" t="s">
        <v>23</v>
      </c>
      <c r="E42" s="48" t="s">
        <v>47</v>
      </c>
      <c r="F42" s="48" t="s">
        <v>48</v>
      </c>
      <c r="G42" s="48" t="s">
        <v>25</v>
      </c>
      <c r="H42" s="48" t="s">
        <v>25</v>
      </c>
      <c r="I42" s="48" t="s">
        <v>25</v>
      </c>
      <c r="J42" s="48" t="s">
        <v>591</v>
      </c>
      <c r="K42" s="48" t="s">
        <v>590</v>
      </c>
      <c r="L42" s="48" t="s">
        <v>71</v>
      </c>
      <c r="M42" s="48">
        <v>2021</v>
      </c>
      <c r="N42" s="48">
        <v>0</v>
      </c>
      <c r="O42" s="48">
        <v>435.83</v>
      </c>
      <c r="P42" s="48">
        <v>45.296684468910598</v>
      </c>
    </row>
    <row r="43" spans="1:16" ht="11.25" customHeight="1" x14ac:dyDescent="0.25">
      <c r="A43" s="48">
        <v>42</v>
      </c>
      <c r="B43" s="48" t="s">
        <v>473</v>
      </c>
      <c r="C43" s="48" t="s">
        <v>22</v>
      </c>
      <c r="D43" s="48" t="s">
        <v>70</v>
      </c>
      <c r="E43" s="48" t="s">
        <v>24</v>
      </c>
      <c r="F43" s="48" t="s">
        <v>24</v>
      </c>
      <c r="G43" s="48" t="s">
        <v>25</v>
      </c>
      <c r="H43" s="48" t="s">
        <v>25</v>
      </c>
      <c r="I43" s="48" t="s">
        <v>35</v>
      </c>
      <c r="J43" s="48" t="s">
        <v>591</v>
      </c>
      <c r="K43" s="48" t="s">
        <v>590</v>
      </c>
      <c r="L43" s="48" t="s">
        <v>71</v>
      </c>
      <c r="M43" s="48">
        <v>2021</v>
      </c>
      <c r="N43" s="48">
        <v>0</v>
      </c>
      <c r="O43" s="48">
        <v>231.33</v>
      </c>
      <c r="P43" s="48"/>
    </row>
    <row r="44" spans="1:16" ht="11.25" customHeight="1" x14ac:dyDescent="0.25">
      <c r="A44" s="48">
        <v>43</v>
      </c>
      <c r="B44" s="48" t="s">
        <v>473</v>
      </c>
      <c r="C44" s="48" t="s">
        <v>22</v>
      </c>
      <c r="D44" s="48" t="s">
        <v>70</v>
      </c>
      <c r="E44" s="48" t="s">
        <v>24</v>
      </c>
      <c r="F44" s="48" t="s">
        <v>24</v>
      </c>
      <c r="G44" s="48" t="s">
        <v>25</v>
      </c>
      <c r="H44" s="48" t="s">
        <v>25</v>
      </c>
      <c r="I44" s="48" t="s">
        <v>38</v>
      </c>
      <c r="J44" s="48" t="s">
        <v>591</v>
      </c>
      <c r="K44" s="48" t="s">
        <v>590</v>
      </c>
      <c r="L44" s="48" t="s">
        <v>71</v>
      </c>
      <c r="M44" s="48">
        <v>2021</v>
      </c>
      <c r="N44" s="48">
        <v>0</v>
      </c>
      <c r="O44" s="48">
        <v>231.33</v>
      </c>
      <c r="P44" s="48"/>
    </row>
    <row r="45" spans="1:16" ht="11.25" customHeight="1" x14ac:dyDescent="0.25">
      <c r="A45" s="48">
        <v>44</v>
      </c>
      <c r="B45" s="48" t="s">
        <v>473</v>
      </c>
      <c r="C45" s="48" t="s">
        <v>22</v>
      </c>
      <c r="D45" s="48" t="s">
        <v>70</v>
      </c>
      <c r="E45" s="48" t="s">
        <v>24</v>
      </c>
      <c r="F45" s="48" t="s">
        <v>24</v>
      </c>
      <c r="G45" s="48" t="s">
        <v>25</v>
      </c>
      <c r="H45" s="48" t="s">
        <v>25</v>
      </c>
      <c r="I45" s="48" t="s">
        <v>36</v>
      </c>
      <c r="J45" s="48" t="s">
        <v>591</v>
      </c>
      <c r="K45" s="48" t="s">
        <v>590</v>
      </c>
      <c r="L45" s="48" t="s">
        <v>71</v>
      </c>
      <c r="M45" s="48">
        <v>2021</v>
      </c>
      <c r="N45" s="48">
        <v>0</v>
      </c>
      <c r="O45" s="48">
        <v>231.33</v>
      </c>
      <c r="P45" s="48"/>
    </row>
    <row r="46" spans="1:16" ht="11.25" customHeight="1" x14ac:dyDescent="0.25">
      <c r="A46" s="48">
        <v>45</v>
      </c>
      <c r="B46" s="48" t="s">
        <v>473</v>
      </c>
      <c r="C46" s="48" t="s">
        <v>22</v>
      </c>
      <c r="D46" s="48" t="s">
        <v>74</v>
      </c>
      <c r="E46" s="48" t="s">
        <v>24</v>
      </c>
      <c r="F46" s="48" t="s">
        <v>24</v>
      </c>
      <c r="G46" s="48" t="s">
        <v>25</v>
      </c>
      <c r="H46" s="48" t="s">
        <v>25</v>
      </c>
      <c r="I46" s="48" t="s">
        <v>25</v>
      </c>
      <c r="J46" s="48" t="s">
        <v>591</v>
      </c>
      <c r="K46" s="48" t="s">
        <v>590</v>
      </c>
      <c r="L46" s="48" t="s">
        <v>71</v>
      </c>
      <c r="M46" s="48">
        <v>2021</v>
      </c>
      <c r="N46" s="48">
        <v>0</v>
      </c>
      <c r="O46" s="48">
        <v>231.33</v>
      </c>
      <c r="P46" s="48"/>
    </row>
    <row r="47" spans="1:16" ht="11.25" customHeight="1" x14ac:dyDescent="0.25">
      <c r="A47" s="48">
        <v>46</v>
      </c>
      <c r="B47" s="48" t="s">
        <v>473</v>
      </c>
      <c r="C47" s="48" t="s">
        <v>22</v>
      </c>
      <c r="D47" s="48" t="s">
        <v>74</v>
      </c>
      <c r="E47" s="48" t="s">
        <v>24</v>
      </c>
      <c r="F47" s="48" t="s">
        <v>31</v>
      </c>
      <c r="G47" s="48" t="s">
        <v>25</v>
      </c>
      <c r="H47" s="48" t="s">
        <v>25</v>
      </c>
      <c r="I47" s="48" t="s">
        <v>25</v>
      </c>
      <c r="J47" s="48" t="s">
        <v>591</v>
      </c>
      <c r="K47" s="48" t="s">
        <v>590</v>
      </c>
      <c r="L47" s="48" t="s">
        <v>71</v>
      </c>
      <c r="M47" s="48">
        <v>2021</v>
      </c>
      <c r="N47" s="48">
        <v>0</v>
      </c>
      <c r="O47" s="48">
        <v>208.2</v>
      </c>
      <c r="P47" s="48"/>
    </row>
    <row r="48" spans="1:16" ht="11.25" customHeight="1" x14ac:dyDescent="0.25">
      <c r="A48" s="48">
        <v>47</v>
      </c>
      <c r="B48" s="48" t="s">
        <v>473</v>
      </c>
      <c r="C48" s="48" t="s">
        <v>22</v>
      </c>
      <c r="D48" s="48" t="s">
        <v>74</v>
      </c>
      <c r="E48" s="48" t="s">
        <v>24</v>
      </c>
      <c r="F48" s="48" t="s">
        <v>32</v>
      </c>
      <c r="G48" s="48" t="s">
        <v>25</v>
      </c>
      <c r="H48" s="48" t="s">
        <v>25</v>
      </c>
      <c r="I48" s="48" t="s">
        <v>25</v>
      </c>
      <c r="J48" s="48" t="s">
        <v>591</v>
      </c>
      <c r="K48" s="48" t="s">
        <v>590</v>
      </c>
      <c r="L48" s="48" t="s">
        <v>71</v>
      </c>
      <c r="M48" s="48">
        <v>2021</v>
      </c>
      <c r="N48" s="48">
        <v>0</v>
      </c>
      <c r="O48" s="48">
        <v>231.33</v>
      </c>
      <c r="P48" s="48"/>
    </row>
    <row r="49" spans="1:16" ht="11.25" customHeight="1" x14ac:dyDescent="0.25">
      <c r="A49" s="48">
        <v>48</v>
      </c>
      <c r="B49" s="48" t="s">
        <v>473</v>
      </c>
      <c r="C49" s="48" t="s">
        <v>22</v>
      </c>
      <c r="D49" s="48" t="s">
        <v>85</v>
      </c>
      <c r="E49" s="48" t="s">
        <v>24</v>
      </c>
      <c r="F49" s="48" t="s">
        <v>24</v>
      </c>
      <c r="G49" s="48" t="s">
        <v>25</v>
      </c>
      <c r="H49" s="48" t="s">
        <v>25</v>
      </c>
      <c r="I49" s="48" t="s">
        <v>25</v>
      </c>
      <c r="J49" s="48" t="s">
        <v>591</v>
      </c>
      <c r="K49" s="48" t="s">
        <v>590</v>
      </c>
      <c r="L49" s="48" t="s">
        <v>71</v>
      </c>
      <c r="M49" s="48">
        <v>2021</v>
      </c>
      <c r="N49" s="48">
        <v>0</v>
      </c>
      <c r="O49" s="48">
        <v>231.33</v>
      </c>
      <c r="P49" s="48"/>
    </row>
    <row r="50" spans="1:16" ht="11.25" customHeight="1" x14ac:dyDescent="0.25">
      <c r="A50" s="48">
        <v>49</v>
      </c>
      <c r="B50" s="48" t="s">
        <v>473</v>
      </c>
      <c r="C50" s="48" t="s">
        <v>22</v>
      </c>
      <c r="D50" s="48" t="s">
        <v>85</v>
      </c>
      <c r="E50" s="48" t="s">
        <v>24</v>
      </c>
      <c r="F50" s="48" t="s">
        <v>29</v>
      </c>
      <c r="G50" s="48" t="s">
        <v>25</v>
      </c>
      <c r="H50" s="48" t="s">
        <v>25</v>
      </c>
      <c r="I50" s="48" t="s">
        <v>25</v>
      </c>
      <c r="J50" s="48" t="s">
        <v>591</v>
      </c>
      <c r="K50" s="48" t="s">
        <v>590</v>
      </c>
      <c r="L50" s="48" t="s">
        <v>71</v>
      </c>
      <c r="M50" s="48">
        <v>2021</v>
      </c>
      <c r="N50" s="48">
        <v>0</v>
      </c>
      <c r="O50" s="48">
        <v>80.97</v>
      </c>
      <c r="P50" s="48"/>
    </row>
    <row r="51" spans="1:16" ht="11.25" customHeight="1" x14ac:dyDescent="0.25">
      <c r="A51" s="48">
        <v>50</v>
      </c>
      <c r="B51" s="48" t="s">
        <v>473</v>
      </c>
      <c r="C51" s="48" t="s">
        <v>22</v>
      </c>
      <c r="D51" s="48" t="s">
        <v>74</v>
      </c>
      <c r="E51" s="48" t="s">
        <v>24</v>
      </c>
      <c r="F51" s="48" t="s">
        <v>29</v>
      </c>
      <c r="G51" s="48" t="s">
        <v>25</v>
      </c>
      <c r="H51" s="48" t="s">
        <v>25</v>
      </c>
      <c r="I51" s="48" t="s">
        <v>25</v>
      </c>
      <c r="J51" s="48" t="s">
        <v>591</v>
      </c>
      <c r="K51" s="48" t="s">
        <v>590</v>
      </c>
      <c r="L51" s="48" t="s">
        <v>71</v>
      </c>
      <c r="M51" s="48">
        <v>2021</v>
      </c>
      <c r="N51" s="48">
        <v>0</v>
      </c>
      <c r="O51" s="48">
        <v>80.97</v>
      </c>
      <c r="P51" s="48"/>
    </row>
    <row r="52" spans="1:16" ht="11.25" customHeight="1" x14ac:dyDescent="0.25">
      <c r="A52" s="48">
        <v>51</v>
      </c>
      <c r="B52" s="48" t="s">
        <v>473</v>
      </c>
      <c r="C52" s="48" t="s">
        <v>22</v>
      </c>
      <c r="D52" s="48" t="s">
        <v>74</v>
      </c>
      <c r="E52" s="48" t="s">
        <v>24</v>
      </c>
      <c r="F52" s="48" t="s">
        <v>30</v>
      </c>
      <c r="G52" s="48" t="s">
        <v>25</v>
      </c>
      <c r="H52" s="48" t="s">
        <v>25</v>
      </c>
      <c r="I52" s="48" t="s">
        <v>25</v>
      </c>
      <c r="J52" s="48" t="s">
        <v>591</v>
      </c>
      <c r="K52" s="48" t="s">
        <v>590</v>
      </c>
      <c r="L52" s="48" t="s">
        <v>71</v>
      </c>
      <c r="M52" s="48">
        <v>2021</v>
      </c>
      <c r="N52" s="48">
        <v>0</v>
      </c>
      <c r="O52" s="48">
        <v>138.80000000000001</v>
      </c>
      <c r="P52" s="48"/>
    </row>
    <row r="53" spans="1:16" ht="11.25" customHeight="1" x14ac:dyDescent="0.25">
      <c r="A53" s="48">
        <v>52</v>
      </c>
      <c r="B53" s="48" t="s">
        <v>473</v>
      </c>
      <c r="C53" s="48" t="s">
        <v>22</v>
      </c>
      <c r="D53" s="48" t="s">
        <v>85</v>
      </c>
      <c r="E53" s="48" t="s">
        <v>24</v>
      </c>
      <c r="F53" s="48" t="s">
        <v>30</v>
      </c>
      <c r="G53" s="48" t="s">
        <v>25</v>
      </c>
      <c r="H53" s="48" t="s">
        <v>25</v>
      </c>
      <c r="I53" s="48" t="s">
        <v>25</v>
      </c>
      <c r="J53" s="48" t="s">
        <v>591</v>
      </c>
      <c r="K53" s="48" t="s">
        <v>590</v>
      </c>
      <c r="L53" s="48" t="s">
        <v>71</v>
      </c>
      <c r="M53" s="48">
        <v>2021</v>
      </c>
      <c r="N53" s="48">
        <v>0</v>
      </c>
      <c r="O53" s="48">
        <v>138.80000000000001</v>
      </c>
      <c r="P53" s="48"/>
    </row>
    <row r="54" spans="1:16" ht="11.25" customHeight="1" x14ac:dyDescent="0.25">
      <c r="A54" s="48">
        <v>53</v>
      </c>
      <c r="B54" s="48" t="s">
        <v>473</v>
      </c>
      <c r="C54" s="48" t="s">
        <v>22</v>
      </c>
      <c r="D54" s="48" t="s">
        <v>85</v>
      </c>
      <c r="E54" s="48" t="s">
        <v>24</v>
      </c>
      <c r="F54" s="48" t="s">
        <v>31</v>
      </c>
      <c r="G54" s="48" t="s">
        <v>25</v>
      </c>
      <c r="H54" s="48" t="s">
        <v>25</v>
      </c>
      <c r="I54" s="48" t="s">
        <v>25</v>
      </c>
      <c r="J54" s="48" t="s">
        <v>591</v>
      </c>
      <c r="K54" s="48" t="s">
        <v>590</v>
      </c>
      <c r="L54" s="48" t="s">
        <v>71</v>
      </c>
      <c r="M54" s="48">
        <v>2021</v>
      </c>
      <c r="N54" s="48">
        <v>0</v>
      </c>
      <c r="O54" s="48">
        <v>208.2</v>
      </c>
      <c r="P54" s="48"/>
    </row>
    <row r="55" spans="1:16" ht="11.25" customHeight="1" x14ac:dyDescent="0.25">
      <c r="A55" s="48">
        <v>54</v>
      </c>
      <c r="B55" s="48" t="s">
        <v>473</v>
      </c>
      <c r="C55" s="48" t="s">
        <v>22</v>
      </c>
      <c r="D55" s="48" t="s">
        <v>85</v>
      </c>
      <c r="E55" s="48" t="s">
        <v>24</v>
      </c>
      <c r="F55" s="48" t="s">
        <v>32</v>
      </c>
      <c r="G55" s="48" t="s">
        <v>25</v>
      </c>
      <c r="H55" s="48" t="s">
        <v>25</v>
      </c>
      <c r="I55" s="48" t="s">
        <v>25</v>
      </c>
      <c r="J55" s="48" t="s">
        <v>591</v>
      </c>
      <c r="K55" s="48" t="s">
        <v>590</v>
      </c>
      <c r="L55" s="48" t="s">
        <v>71</v>
      </c>
      <c r="M55" s="48">
        <v>2021</v>
      </c>
      <c r="N55" s="48">
        <v>0</v>
      </c>
      <c r="O55" s="48">
        <v>231.33</v>
      </c>
      <c r="P55" s="48"/>
    </row>
    <row r="56" spans="1:16" ht="11.25" customHeight="1" x14ac:dyDescent="0.25">
      <c r="A56" s="48">
        <v>55</v>
      </c>
      <c r="B56" s="48" t="s">
        <v>473</v>
      </c>
      <c r="C56" s="48" t="s">
        <v>43</v>
      </c>
      <c r="D56" s="48" t="s">
        <v>70</v>
      </c>
      <c r="E56" s="48" t="s">
        <v>44</v>
      </c>
      <c r="F56" s="48" t="s">
        <v>25</v>
      </c>
      <c r="G56" s="48" t="s">
        <v>25</v>
      </c>
      <c r="H56" s="48" t="s">
        <v>25</v>
      </c>
      <c r="I56" s="48" t="s">
        <v>35</v>
      </c>
      <c r="J56" s="48" t="s">
        <v>591</v>
      </c>
      <c r="K56" s="48" t="s">
        <v>590</v>
      </c>
      <c r="L56" s="48" t="s">
        <v>71</v>
      </c>
      <c r="M56" s="48">
        <v>2021</v>
      </c>
      <c r="N56" s="48">
        <v>0</v>
      </c>
      <c r="O56" s="48">
        <v>203.57</v>
      </c>
      <c r="P56" s="48"/>
    </row>
    <row r="57" spans="1:16" ht="11.25" customHeight="1" x14ac:dyDescent="0.25">
      <c r="A57" s="48">
        <v>56</v>
      </c>
      <c r="B57" s="48" t="s">
        <v>473</v>
      </c>
      <c r="C57" s="48" t="s">
        <v>43</v>
      </c>
      <c r="D57" s="48" t="s">
        <v>74</v>
      </c>
      <c r="E57" s="48" t="s">
        <v>44</v>
      </c>
      <c r="F57" s="48" t="s">
        <v>25</v>
      </c>
      <c r="G57" s="48" t="s">
        <v>25</v>
      </c>
      <c r="H57" s="48" t="s">
        <v>25</v>
      </c>
      <c r="I57" s="48" t="s">
        <v>25</v>
      </c>
      <c r="J57" s="48" t="s">
        <v>591</v>
      </c>
      <c r="K57" s="48" t="s">
        <v>590</v>
      </c>
      <c r="L57" s="48" t="s">
        <v>71</v>
      </c>
      <c r="M57" s="48">
        <v>2021</v>
      </c>
      <c r="N57" s="48">
        <v>0</v>
      </c>
      <c r="O57" s="48">
        <v>203.57</v>
      </c>
      <c r="P57" s="48"/>
    </row>
    <row r="58" spans="1:16" ht="11.25" customHeight="1" x14ac:dyDescent="0.25">
      <c r="A58" s="48">
        <v>57</v>
      </c>
      <c r="B58" s="48" t="s">
        <v>473</v>
      </c>
      <c r="C58" s="48" t="s">
        <v>43</v>
      </c>
      <c r="D58" s="48" t="s">
        <v>70</v>
      </c>
      <c r="E58" s="48" t="s">
        <v>44</v>
      </c>
      <c r="F58" s="48" t="s">
        <v>87</v>
      </c>
      <c r="G58" s="48" t="s">
        <v>25</v>
      </c>
      <c r="H58" s="48" t="s">
        <v>25</v>
      </c>
      <c r="I58" s="48" t="s">
        <v>35</v>
      </c>
      <c r="J58" s="48" t="s">
        <v>591</v>
      </c>
      <c r="K58" s="48" t="s">
        <v>590</v>
      </c>
      <c r="L58" s="48" t="s">
        <v>71</v>
      </c>
      <c r="M58" s="48">
        <v>2021</v>
      </c>
      <c r="N58" s="48">
        <v>0</v>
      </c>
      <c r="O58" s="48">
        <v>203.57</v>
      </c>
      <c r="P58" s="48"/>
    </row>
    <row r="59" spans="1:16" ht="11.25" customHeight="1" x14ac:dyDescent="0.25">
      <c r="A59" s="48">
        <v>58</v>
      </c>
      <c r="B59" s="48" t="s">
        <v>473</v>
      </c>
      <c r="C59" s="48" t="s">
        <v>43</v>
      </c>
      <c r="D59" s="48" t="s">
        <v>70</v>
      </c>
      <c r="E59" s="48" t="s">
        <v>44</v>
      </c>
      <c r="F59" s="48" t="s">
        <v>87</v>
      </c>
      <c r="G59" s="48" t="s">
        <v>25</v>
      </c>
      <c r="H59" s="48" t="s">
        <v>25</v>
      </c>
      <c r="I59" s="48" t="s">
        <v>38</v>
      </c>
      <c r="J59" s="48" t="s">
        <v>591</v>
      </c>
      <c r="K59" s="48" t="s">
        <v>590</v>
      </c>
      <c r="L59" s="48" t="s">
        <v>71</v>
      </c>
      <c r="M59" s="48">
        <v>2021</v>
      </c>
      <c r="N59" s="48">
        <v>0</v>
      </c>
      <c r="O59" s="48">
        <v>203.57</v>
      </c>
      <c r="P59" s="48"/>
    </row>
    <row r="60" spans="1:16" ht="11.25" customHeight="1" x14ac:dyDescent="0.25">
      <c r="A60" s="48">
        <v>59</v>
      </c>
      <c r="B60" s="48" t="s">
        <v>473</v>
      </c>
      <c r="C60" s="48" t="s">
        <v>43</v>
      </c>
      <c r="D60" s="48" t="s">
        <v>70</v>
      </c>
      <c r="E60" s="48" t="s">
        <v>44</v>
      </c>
      <c r="F60" s="48" t="s">
        <v>87</v>
      </c>
      <c r="G60" s="48" t="s">
        <v>25</v>
      </c>
      <c r="H60" s="48" t="s">
        <v>25</v>
      </c>
      <c r="I60" s="48" t="s">
        <v>36</v>
      </c>
      <c r="J60" s="48" t="s">
        <v>591</v>
      </c>
      <c r="K60" s="48" t="s">
        <v>590</v>
      </c>
      <c r="L60" s="48" t="s">
        <v>71</v>
      </c>
      <c r="M60" s="48">
        <v>2021</v>
      </c>
      <c r="N60" s="48">
        <v>0</v>
      </c>
      <c r="O60" s="48">
        <v>203.57</v>
      </c>
      <c r="P60" s="48"/>
    </row>
    <row r="61" spans="1:16" ht="11.25" customHeight="1" x14ac:dyDescent="0.25">
      <c r="A61" s="48">
        <v>60</v>
      </c>
      <c r="B61" s="48" t="s">
        <v>473</v>
      </c>
      <c r="C61" s="48" t="s">
        <v>43</v>
      </c>
      <c r="D61" s="48" t="s">
        <v>70</v>
      </c>
      <c r="E61" s="48" t="s">
        <v>44</v>
      </c>
      <c r="F61" s="48" t="s">
        <v>25</v>
      </c>
      <c r="G61" s="48" t="s">
        <v>25</v>
      </c>
      <c r="H61" s="48" t="s">
        <v>25</v>
      </c>
      <c r="I61" s="48" t="s">
        <v>38</v>
      </c>
      <c r="J61" s="48" t="s">
        <v>591</v>
      </c>
      <c r="K61" s="48" t="s">
        <v>590</v>
      </c>
      <c r="L61" s="48" t="s">
        <v>71</v>
      </c>
      <c r="M61" s="48">
        <v>2021</v>
      </c>
      <c r="N61" s="48">
        <v>0</v>
      </c>
      <c r="O61" s="48">
        <v>203.57</v>
      </c>
      <c r="P61" s="48"/>
    </row>
    <row r="62" spans="1:16" ht="11.25" customHeight="1" x14ac:dyDescent="0.25">
      <c r="A62" s="48">
        <v>61</v>
      </c>
      <c r="B62" s="48" t="s">
        <v>473</v>
      </c>
      <c r="C62" s="48" t="s">
        <v>43</v>
      </c>
      <c r="D62" s="48" t="s">
        <v>70</v>
      </c>
      <c r="E62" s="48" t="s">
        <v>44</v>
      </c>
      <c r="F62" s="48" t="s">
        <v>25</v>
      </c>
      <c r="G62" s="48" t="s">
        <v>25</v>
      </c>
      <c r="H62" s="48" t="s">
        <v>25</v>
      </c>
      <c r="I62" s="48" t="s">
        <v>36</v>
      </c>
      <c r="J62" s="48" t="s">
        <v>591</v>
      </c>
      <c r="K62" s="48" t="s">
        <v>590</v>
      </c>
      <c r="L62" s="48" t="s">
        <v>71</v>
      </c>
      <c r="M62" s="48">
        <v>2021</v>
      </c>
      <c r="N62" s="48">
        <v>0</v>
      </c>
      <c r="O62" s="48">
        <v>203.57</v>
      </c>
      <c r="P62" s="48"/>
    </row>
    <row r="63" spans="1:16" ht="11.25" customHeight="1" x14ac:dyDescent="0.25">
      <c r="A63" s="48">
        <v>62</v>
      </c>
      <c r="B63" s="48" t="s">
        <v>473</v>
      </c>
      <c r="C63" s="48" t="s">
        <v>43</v>
      </c>
      <c r="D63" s="48" t="s">
        <v>74</v>
      </c>
      <c r="E63" s="48" t="s">
        <v>44</v>
      </c>
      <c r="F63" s="48" t="s">
        <v>87</v>
      </c>
      <c r="G63" s="48" t="s">
        <v>25</v>
      </c>
      <c r="H63" s="48" t="s">
        <v>25</v>
      </c>
      <c r="I63" s="48" t="s">
        <v>25</v>
      </c>
      <c r="J63" s="48" t="s">
        <v>591</v>
      </c>
      <c r="K63" s="48" t="s">
        <v>590</v>
      </c>
      <c r="L63" s="48" t="s">
        <v>71</v>
      </c>
      <c r="M63" s="48">
        <v>2021</v>
      </c>
      <c r="N63" s="48">
        <v>0</v>
      </c>
      <c r="O63" s="48">
        <v>203.57</v>
      </c>
      <c r="P63" s="48"/>
    </row>
    <row r="64" spans="1:16" ht="11.25" customHeight="1" x14ac:dyDescent="0.25">
      <c r="A64" s="48">
        <v>63</v>
      </c>
      <c r="B64" s="48" t="s">
        <v>473</v>
      </c>
      <c r="C64" s="48" t="s">
        <v>43</v>
      </c>
      <c r="D64" s="48" t="s">
        <v>70</v>
      </c>
      <c r="E64" s="48" t="s">
        <v>44</v>
      </c>
      <c r="F64" s="48" t="s">
        <v>88</v>
      </c>
      <c r="G64" s="48" t="s">
        <v>25</v>
      </c>
      <c r="H64" s="48" t="s">
        <v>25</v>
      </c>
      <c r="I64" s="48" t="s">
        <v>35</v>
      </c>
      <c r="J64" s="48" t="s">
        <v>591</v>
      </c>
      <c r="K64" s="48" t="s">
        <v>590</v>
      </c>
      <c r="L64" s="48" t="s">
        <v>71</v>
      </c>
      <c r="M64" s="48">
        <v>2021</v>
      </c>
      <c r="N64" s="48">
        <v>0</v>
      </c>
      <c r="O64" s="48">
        <v>194.32</v>
      </c>
      <c r="P64" s="48"/>
    </row>
    <row r="65" spans="1:16" ht="11.25" customHeight="1" x14ac:dyDescent="0.25">
      <c r="A65" s="48">
        <v>64</v>
      </c>
      <c r="B65" s="48" t="s">
        <v>473</v>
      </c>
      <c r="C65" s="48" t="s">
        <v>43</v>
      </c>
      <c r="D65" s="48" t="s">
        <v>70</v>
      </c>
      <c r="E65" s="48" t="s">
        <v>44</v>
      </c>
      <c r="F65" s="48" t="s">
        <v>88</v>
      </c>
      <c r="G65" s="48" t="s">
        <v>25</v>
      </c>
      <c r="H65" s="48" t="s">
        <v>25</v>
      </c>
      <c r="I65" s="48" t="s">
        <v>38</v>
      </c>
      <c r="J65" s="48" t="s">
        <v>591</v>
      </c>
      <c r="K65" s="48" t="s">
        <v>590</v>
      </c>
      <c r="L65" s="48" t="s">
        <v>71</v>
      </c>
      <c r="M65" s="48">
        <v>2021</v>
      </c>
      <c r="N65" s="48">
        <v>0</v>
      </c>
      <c r="O65" s="48">
        <v>194.32</v>
      </c>
      <c r="P65" s="48"/>
    </row>
    <row r="66" spans="1:16" ht="11.25" customHeight="1" x14ac:dyDescent="0.25">
      <c r="A66" s="48">
        <v>65</v>
      </c>
      <c r="B66" s="48" t="s">
        <v>473</v>
      </c>
      <c r="C66" s="48" t="s">
        <v>43</v>
      </c>
      <c r="D66" s="48" t="s">
        <v>70</v>
      </c>
      <c r="E66" s="48" t="s">
        <v>44</v>
      </c>
      <c r="F66" s="48" t="s">
        <v>88</v>
      </c>
      <c r="G66" s="48" t="s">
        <v>25</v>
      </c>
      <c r="H66" s="48" t="s">
        <v>25</v>
      </c>
      <c r="I66" s="48" t="s">
        <v>36</v>
      </c>
      <c r="J66" s="48" t="s">
        <v>591</v>
      </c>
      <c r="K66" s="48" t="s">
        <v>590</v>
      </c>
      <c r="L66" s="48" t="s">
        <v>71</v>
      </c>
      <c r="M66" s="48">
        <v>2021</v>
      </c>
      <c r="N66" s="48">
        <v>0</v>
      </c>
      <c r="O66" s="48">
        <v>194.32</v>
      </c>
      <c r="P66" s="48"/>
    </row>
    <row r="67" spans="1:16" ht="11.25" customHeight="1" x14ac:dyDescent="0.25">
      <c r="A67" s="48">
        <v>66</v>
      </c>
      <c r="B67" s="48" t="s">
        <v>473</v>
      </c>
      <c r="C67" s="48" t="s">
        <v>43</v>
      </c>
      <c r="D67" s="48" t="s">
        <v>85</v>
      </c>
      <c r="E67" s="48" t="s">
        <v>44</v>
      </c>
      <c r="F67" s="48" t="s">
        <v>87</v>
      </c>
      <c r="G67" s="48" t="s">
        <v>25</v>
      </c>
      <c r="H67" s="48" t="s">
        <v>25</v>
      </c>
      <c r="I67" s="48" t="s">
        <v>25</v>
      </c>
      <c r="J67" s="48" t="s">
        <v>591</v>
      </c>
      <c r="K67" s="48" t="s">
        <v>590</v>
      </c>
      <c r="L67" s="48" t="s">
        <v>71</v>
      </c>
      <c r="M67" s="48">
        <v>2021</v>
      </c>
      <c r="N67" s="48">
        <v>0</v>
      </c>
      <c r="O67" s="48">
        <v>203.57</v>
      </c>
      <c r="P67" s="48"/>
    </row>
    <row r="68" spans="1:16" ht="11.25" customHeight="1" x14ac:dyDescent="0.25">
      <c r="A68" s="48">
        <v>67</v>
      </c>
      <c r="B68" s="48" t="s">
        <v>473</v>
      </c>
      <c r="C68" s="48" t="s">
        <v>43</v>
      </c>
      <c r="D68" s="48" t="s">
        <v>85</v>
      </c>
      <c r="E68" s="48" t="s">
        <v>44</v>
      </c>
      <c r="F68" s="48" t="s">
        <v>88</v>
      </c>
      <c r="G68" s="48" t="s">
        <v>25</v>
      </c>
      <c r="H68" s="48" t="s">
        <v>25</v>
      </c>
      <c r="I68" s="48" t="s">
        <v>25</v>
      </c>
      <c r="J68" s="48" t="s">
        <v>591</v>
      </c>
      <c r="K68" s="48" t="s">
        <v>590</v>
      </c>
      <c r="L68" s="48" t="s">
        <v>71</v>
      </c>
      <c r="M68" s="48">
        <v>2021</v>
      </c>
      <c r="N68" s="48">
        <v>0</v>
      </c>
      <c r="O68" s="48">
        <v>194.32</v>
      </c>
      <c r="P68" s="48"/>
    </row>
    <row r="69" spans="1:16" ht="11.25" customHeight="1" x14ac:dyDescent="0.25">
      <c r="A69" s="48">
        <v>68</v>
      </c>
      <c r="B69" s="48" t="s">
        <v>473</v>
      </c>
      <c r="C69" s="48" t="s">
        <v>39</v>
      </c>
      <c r="D69" s="48" t="s">
        <v>70</v>
      </c>
      <c r="E69" s="48" t="s">
        <v>25</v>
      </c>
      <c r="F69" s="48" t="s">
        <v>25</v>
      </c>
      <c r="G69" s="48" t="s">
        <v>25</v>
      </c>
      <c r="H69" s="48" t="s">
        <v>25</v>
      </c>
      <c r="I69" s="48" t="s">
        <v>35</v>
      </c>
      <c r="J69" s="48" t="s">
        <v>591</v>
      </c>
      <c r="K69" s="48" t="s">
        <v>590</v>
      </c>
      <c r="L69" s="48" t="s">
        <v>71</v>
      </c>
      <c r="M69" s="48">
        <v>2021</v>
      </c>
      <c r="N69" s="48">
        <v>0</v>
      </c>
      <c r="O69" s="48">
        <v>231.33</v>
      </c>
      <c r="P69" s="48"/>
    </row>
    <row r="70" spans="1:16" ht="11.25" customHeight="1" x14ac:dyDescent="0.25">
      <c r="A70" s="48">
        <v>69</v>
      </c>
      <c r="B70" s="48" t="s">
        <v>473</v>
      </c>
      <c r="C70" s="48" t="s">
        <v>39</v>
      </c>
      <c r="D70" s="48" t="s">
        <v>70</v>
      </c>
      <c r="E70" s="48" t="s">
        <v>25</v>
      </c>
      <c r="F70" s="48" t="s">
        <v>25</v>
      </c>
      <c r="G70" s="48" t="s">
        <v>25</v>
      </c>
      <c r="H70" s="48" t="s">
        <v>25</v>
      </c>
      <c r="I70" s="48" t="s">
        <v>38</v>
      </c>
      <c r="J70" s="48" t="s">
        <v>591</v>
      </c>
      <c r="K70" s="48" t="s">
        <v>590</v>
      </c>
      <c r="L70" s="48" t="s">
        <v>71</v>
      </c>
      <c r="M70" s="48">
        <v>2021</v>
      </c>
      <c r="N70" s="48">
        <v>0</v>
      </c>
      <c r="O70" s="48">
        <v>231.33</v>
      </c>
      <c r="P70" s="48"/>
    </row>
    <row r="71" spans="1:16" ht="11.25" customHeight="1" x14ac:dyDescent="0.25">
      <c r="A71" s="48">
        <v>70</v>
      </c>
      <c r="B71" s="48" t="s">
        <v>473</v>
      </c>
      <c r="C71" s="48" t="s">
        <v>43</v>
      </c>
      <c r="D71" s="48" t="s">
        <v>74</v>
      </c>
      <c r="E71" s="48" t="s">
        <v>44</v>
      </c>
      <c r="F71" s="48" t="s">
        <v>88</v>
      </c>
      <c r="G71" s="48" t="s">
        <v>25</v>
      </c>
      <c r="H71" s="48" t="s">
        <v>25</v>
      </c>
      <c r="I71" s="48" t="s">
        <v>25</v>
      </c>
      <c r="J71" s="48" t="s">
        <v>591</v>
      </c>
      <c r="K71" s="48" t="s">
        <v>590</v>
      </c>
      <c r="L71" s="48" t="s">
        <v>71</v>
      </c>
      <c r="M71" s="48">
        <v>2021</v>
      </c>
      <c r="N71" s="48">
        <v>0</v>
      </c>
      <c r="O71" s="48">
        <v>194.32</v>
      </c>
      <c r="P71" s="48"/>
    </row>
    <row r="72" spans="1:16" ht="11.25" customHeight="1" x14ac:dyDescent="0.25">
      <c r="A72" s="48">
        <v>71</v>
      </c>
      <c r="B72" s="48" t="s">
        <v>473</v>
      </c>
      <c r="C72" s="48" t="s">
        <v>43</v>
      </c>
      <c r="D72" s="48" t="s">
        <v>85</v>
      </c>
      <c r="E72" s="48" t="s">
        <v>44</v>
      </c>
      <c r="F72" s="48" t="s">
        <v>25</v>
      </c>
      <c r="G72" s="48" t="s">
        <v>25</v>
      </c>
      <c r="H72" s="48" t="s">
        <v>25</v>
      </c>
      <c r="I72" s="48" t="s">
        <v>25</v>
      </c>
      <c r="J72" s="48" t="s">
        <v>591</v>
      </c>
      <c r="K72" s="48" t="s">
        <v>590</v>
      </c>
      <c r="L72" s="48" t="s">
        <v>71</v>
      </c>
      <c r="M72" s="48">
        <v>2021</v>
      </c>
      <c r="N72" s="48">
        <v>0</v>
      </c>
      <c r="O72" s="48">
        <v>203.57</v>
      </c>
      <c r="P72" s="48"/>
    </row>
    <row r="73" spans="1:16" ht="11.25" customHeight="1" x14ac:dyDescent="0.25">
      <c r="A73" s="48">
        <v>72</v>
      </c>
      <c r="B73" s="48" t="s">
        <v>473</v>
      </c>
      <c r="C73" s="48" t="s">
        <v>39</v>
      </c>
      <c r="D73" s="48" t="s">
        <v>70</v>
      </c>
      <c r="E73" s="48" t="s">
        <v>25</v>
      </c>
      <c r="F73" s="48" t="s">
        <v>25</v>
      </c>
      <c r="G73" s="48" t="s">
        <v>25</v>
      </c>
      <c r="H73" s="48" t="s">
        <v>25</v>
      </c>
      <c r="I73" s="48" t="s">
        <v>36</v>
      </c>
      <c r="J73" s="48" t="s">
        <v>591</v>
      </c>
      <c r="K73" s="48" t="s">
        <v>590</v>
      </c>
      <c r="L73" s="48" t="s">
        <v>71</v>
      </c>
      <c r="M73" s="48">
        <v>2021</v>
      </c>
      <c r="N73" s="48">
        <v>0</v>
      </c>
      <c r="O73" s="48">
        <v>231.33</v>
      </c>
      <c r="P73" s="48"/>
    </row>
    <row r="74" spans="1:16" ht="11.25" customHeight="1" x14ac:dyDescent="0.25">
      <c r="A74" s="48">
        <v>73</v>
      </c>
      <c r="B74" s="48" t="s">
        <v>473</v>
      </c>
      <c r="C74" s="48" t="s">
        <v>39</v>
      </c>
      <c r="D74" s="48" t="s">
        <v>74</v>
      </c>
      <c r="E74" s="48" t="s">
        <v>25</v>
      </c>
      <c r="F74" s="48" t="s">
        <v>25</v>
      </c>
      <c r="G74" s="48" t="s">
        <v>25</v>
      </c>
      <c r="H74" s="48" t="s">
        <v>25</v>
      </c>
      <c r="I74" s="48" t="s">
        <v>25</v>
      </c>
      <c r="J74" s="48" t="s">
        <v>591</v>
      </c>
      <c r="K74" s="48" t="s">
        <v>590</v>
      </c>
      <c r="L74" s="48" t="s">
        <v>71</v>
      </c>
      <c r="M74" s="48">
        <v>2021</v>
      </c>
      <c r="N74" s="48">
        <v>0</v>
      </c>
      <c r="O74" s="48">
        <v>231.33</v>
      </c>
      <c r="P74" s="48"/>
    </row>
    <row r="75" spans="1:16" ht="11.25" customHeight="1" x14ac:dyDescent="0.25">
      <c r="A75" s="48">
        <v>74</v>
      </c>
      <c r="B75" s="48" t="s">
        <v>473</v>
      </c>
      <c r="C75" s="48" t="s">
        <v>39</v>
      </c>
      <c r="D75" s="48" t="s">
        <v>85</v>
      </c>
      <c r="E75" s="48" t="s">
        <v>25</v>
      </c>
      <c r="F75" s="48" t="s">
        <v>25</v>
      </c>
      <c r="G75" s="48" t="s">
        <v>25</v>
      </c>
      <c r="H75" s="48" t="s">
        <v>25</v>
      </c>
      <c r="I75" s="48" t="s">
        <v>25</v>
      </c>
      <c r="J75" s="48" t="s">
        <v>591</v>
      </c>
      <c r="K75" s="48" t="s">
        <v>590</v>
      </c>
      <c r="L75" s="48" t="s">
        <v>71</v>
      </c>
      <c r="M75" s="48">
        <v>2021</v>
      </c>
      <c r="N75" s="48">
        <v>0</v>
      </c>
      <c r="O75" s="48">
        <v>231.33</v>
      </c>
      <c r="P75" s="48"/>
    </row>
    <row r="76" spans="1:16" ht="11.25" customHeight="1" x14ac:dyDescent="0.25">
      <c r="A76" s="48">
        <v>75</v>
      </c>
      <c r="B76" s="48" t="s">
        <v>473</v>
      </c>
      <c r="C76" s="48" t="s">
        <v>46</v>
      </c>
      <c r="D76" s="48" t="s">
        <v>74</v>
      </c>
      <c r="E76" s="48" t="s">
        <v>47</v>
      </c>
      <c r="F76" s="48" t="s">
        <v>48</v>
      </c>
      <c r="G76" s="48" t="s">
        <v>25</v>
      </c>
      <c r="H76" s="48" t="s">
        <v>25</v>
      </c>
      <c r="I76" s="48" t="s">
        <v>25</v>
      </c>
      <c r="J76" s="48" t="s">
        <v>591</v>
      </c>
      <c r="K76" s="48" t="s">
        <v>590</v>
      </c>
      <c r="L76" s="48" t="s">
        <v>71</v>
      </c>
      <c r="M76" s="48">
        <v>2021</v>
      </c>
      <c r="N76" s="48">
        <v>0</v>
      </c>
      <c r="O76" s="48">
        <v>127.23</v>
      </c>
      <c r="P76" s="48"/>
    </row>
    <row r="77" spans="1:16" ht="11.25" customHeight="1" x14ac:dyDescent="0.25">
      <c r="A77" s="48">
        <v>76</v>
      </c>
      <c r="B77" s="48" t="s">
        <v>445</v>
      </c>
      <c r="C77" s="48" t="s">
        <v>43</v>
      </c>
      <c r="D77" s="48" t="s">
        <v>86</v>
      </c>
      <c r="E77" s="48" t="s">
        <v>44</v>
      </c>
      <c r="F77" s="48" t="s">
        <v>87</v>
      </c>
      <c r="G77" s="48" t="s">
        <v>25</v>
      </c>
      <c r="H77" s="48" t="s">
        <v>25</v>
      </c>
      <c r="I77" s="48" t="s">
        <v>25</v>
      </c>
      <c r="J77" s="48" t="s">
        <v>591</v>
      </c>
      <c r="K77" s="48" t="s">
        <v>590</v>
      </c>
      <c r="L77" s="48" t="s">
        <v>71</v>
      </c>
      <c r="M77" s="48">
        <v>2021</v>
      </c>
      <c r="N77" s="48">
        <v>0</v>
      </c>
      <c r="O77" s="48">
        <v>697.32</v>
      </c>
      <c r="P77" s="48">
        <v>72.474695150257006</v>
      </c>
    </row>
    <row r="78" spans="1:16" ht="11.25" customHeight="1" x14ac:dyDescent="0.25">
      <c r="A78" s="48">
        <v>77</v>
      </c>
      <c r="B78" s="48" t="s">
        <v>445</v>
      </c>
      <c r="C78" s="48" t="s">
        <v>43</v>
      </c>
      <c r="D78" s="48" t="s">
        <v>86</v>
      </c>
      <c r="E78" s="48" t="s">
        <v>44</v>
      </c>
      <c r="F78" s="48" t="s">
        <v>88</v>
      </c>
      <c r="G78" s="48" t="s">
        <v>25</v>
      </c>
      <c r="H78" s="48" t="s">
        <v>25</v>
      </c>
      <c r="I78" s="48" t="s">
        <v>25</v>
      </c>
      <c r="J78" s="48" t="s">
        <v>591</v>
      </c>
      <c r="K78" s="48" t="s">
        <v>590</v>
      </c>
      <c r="L78" s="48" t="s">
        <v>71</v>
      </c>
      <c r="M78" s="48">
        <v>2021</v>
      </c>
      <c r="N78" s="48">
        <v>0</v>
      </c>
      <c r="O78" s="48">
        <v>665.63</v>
      </c>
      <c r="P78" s="48">
        <v>69.180390825245297</v>
      </c>
    </row>
    <row r="79" spans="1:16" ht="11.25" customHeight="1" x14ac:dyDescent="0.25">
      <c r="A79" s="48">
        <v>78</v>
      </c>
      <c r="B79" s="48" t="s">
        <v>445</v>
      </c>
      <c r="C79" s="48" t="s">
        <v>39</v>
      </c>
      <c r="D79" s="48" t="s">
        <v>37</v>
      </c>
      <c r="E79" s="48" t="s">
        <v>25</v>
      </c>
      <c r="F79" s="48" t="s">
        <v>25</v>
      </c>
      <c r="G79" s="48" t="s">
        <v>25</v>
      </c>
      <c r="H79" s="48" t="s">
        <v>25</v>
      </c>
      <c r="I79" s="48" t="s">
        <v>35</v>
      </c>
      <c r="J79" s="48" t="s">
        <v>591</v>
      </c>
      <c r="K79" s="48" t="s">
        <v>590</v>
      </c>
      <c r="L79" s="48" t="s">
        <v>71</v>
      </c>
      <c r="M79" s="48">
        <v>2021</v>
      </c>
      <c r="N79" s="48">
        <v>0</v>
      </c>
      <c r="O79" s="48">
        <v>2131.0100000000002</v>
      </c>
      <c r="P79" s="48">
        <v>82.357608125292003</v>
      </c>
    </row>
    <row r="80" spans="1:16" ht="11.25" customHeight="1" x14ac:dyDescent="0.25">
      <c r="A80" s="48">
        <v>79</v>
      </c>
      <c r="B80" s="48" t="s">
        <v>445</v>
      </c>
      <c r="C80" s="48" t="s">
        <v>39</v>
      </c>
      <c r="D80" s="48" t="s">
        <v>37</v>
      </c>
      <c r="E80" s="48" t="s">
        <v>25</v>
      </c>
      <c r="F80" s="48" t="s">
        <v>25</v>
      </c>
      <c r="G80" s="48" t="s">
        <v>25</v>
      </c>
      <c r="H80" s="48" t="s">
        <v>25</v>
      </c>
      <c r="I80" s="48" t="s">
        <v>38</v>
      </c>
      <c r="J80" s="48" t="s">
        <v>591</v>
      </c>
      <c r="K80" s="48" t="s">
        <v>590</v>
      </c>
      <c r="L80" s="48" t="s">
        <v>71</v>
      </c>
      <c r="M80" s="48">
        <v>2021</v>
      </c>
      <c r="N80" s="48">
        <v>0</v>
      </c>
      <c r="O80" s="48">
        <v>1334.38</v>
      </c>
      <c r="P80" s="48">
        <v>82.357608125292003</v>
      </c>
    </row>
    <row r="81" spans="1:16" ht="11.25" customHeight="1" x14ac:dyDescent="0.25">
      <c r="A81" s="48">
        <v>80</v>
      </c>
      <c r="B81" s="48" t="s">
        <v>445</v>
      </c>
      <c r="C81" s="48" t="s">
        <v>39</v>
      </c>
      <c r="D81" s="48" t="s">
        <v>37</v>
      </c>
      <c r="E81" s="48" t="s">
        <v>25</v>
      </c>
      <c r="F81" s="48" t="s">
        <v>25</v>
      </c>
      <c r="G81" s="48" t="s">
        <v>25</v>
      </c>
      <c r="H81" s="48" t="s">
        <v>25</v>
      </c>
      <c r="I81" s="48" t="s">
        <v>36</v>
      </c>
      <c r="J81" s="48" t="s">
        <v>591</v>
      </c>
      <c r="K81" s="48" t="s">
        <v>590</v>
      </c>
      <c r="L81" s="48" t="s">
        <v>71</v>
      </c>
      <c r="M81" s="48">
        <v>2021</v>
      </c>
      <c r="N81" s="48">
        <v>0</v>
      </c>
      <c r="O81" s="48">
        <v>537.75</v>
      </c>
      <c r="P81" s="48">
        <v>82.357608125292003</v>
      </c>
    </row>
    <row r="82" spans="1:16" ht="11.25" customHeight="1" x14ac:dyDescent="0.25">
      <c r="A82" s="48">
        <v>81</v>
      </c>
      <c r="B82" s="48" t="s">
        <v>445</v>
      </c>
      <c r="C82" s="48" t="s">
        <v>46</v>
      </c>
      <c r="D82" s="48" t="s">
        <v>23</v>
      </c>
      <c r="E82" s="48" t="s">
        <v>47</v>
      </c>
      <c r="F82" s="48" t="s">
        <v>89</v>
      </c>
      <c r="G82" s="48" t="s">
        <v>25</v>
      </c>
      <c r="H82" s="48" t="s">
        <v>25</v>
      </c>
      <c r="I82" s="48" t="s">
        <v>25</v>
      </c>
      <c r="J82" s="48" t="s">
        <v>591</v>
      </c>
      <c r="K82" s="48" t="s">
        <v>590</v>
      </c>
      <c r="L82" s="48" t="s">
        <v>71</v>
      </c>
      <c r="M82" s="48">
        <v>2021</v>
      </c>
      <c r="N82" s="48">
        <v>0</v>
      </c>
      <c r="O82" s="48">
        <v>475.45</v>
      </c>
      <c r="P82" s="48">
        <v>49.414564875175202</v>
      </c>
    </row>
    <row r="83" spans="1:16" ht="11.25" customHeight="1" x14ac:dyDescent="0.25">
      <c r="A83" s="48">
        <v>82</v>
      </c>
      <c r="B83" s="48" t="s">
        <v>473</v>
      </c>
      <c r="C83" s="48" t="s">
        <v>33</v>
      </c>
      <c r="D83" s="48" t="s">
        <v>70</v>
      </c>
      <c r="E83" s="48" t="s">
        <v>25</v>
      </c>
      <c r="F83" s="48" t="s">
        <v>25</v>
      </c>
      <c r="G83" s="48" t="s">
        <v>25</v>
      </c>
      <c r="H83" s="48" t="s">
        <v>25</v>
      </c>
      <c r="I83" s="48" t="s">
        <v>35</v>
      </c>
      <c r="J83" s="48" t="s">
        <v>591</v>
      </c>
      <c r="K83" s="48" t="s">
        <v>590</v>
      </c>
      <c r="L83" s="48" t="s">
        <v>71</v>
      </c>
      <c r="M83" s="48">
        <v>2021</v>
      </c>
      <c r="N83" s="48">
        <v>0</v>
      </c>
      <c r="O83" s="48">
        <v>231.33</v>
      </c>
      <c r="P83" s="48"/>
    </row>
    <row r="84" spans="1:16" ht="11.25" customHeight="1" x14ac:dyDescent="0.25">
      <c r="A84" s="48">
        <v>83</v>
      </c>
      <c r="B84" s="48" t="s">
        <v>473</v>
      </c>
      <c r="C84" s="48" t="s">
        <v>33</v>
      </c>
      <c r="D84" s="48" t="s">
        <v>70</v>
      </c>
      <c r="E84" s="48" t="s">
        <v>25</v>
      </c>
      <c r="F84" s="48" t="s">
        <v>25</v>
      </c>
      <c r="G84" s="48" t="s">
        <v>25</v>
      </c>
      <c r="H84" s="48" t="s">
        <v>25</v>
      </c>
      <c r="I84" s="48" t="s">
        <v>36</v>
      </c>
      <c r="J84" s="48" t="s">
        <v>591</v>
      </c>
      <c r="K84" s="48" t="s">
        <v>590</v>
      </c>
      <c r="L84" s="48" t="s">
        <v>71</v>
      </c>
      <c r="M84" s="48">
        <v>2021</v>
      </c>
      <c r="N84" s="48">
        <v>0</v>
      </c>
      <c r="O84" s="48">
        <v>231.33</v>
      </c>
      <c r="P84" s="48"/>
    </row>
    <row r="85" spans="1:16" ht="11.25" customHeight="1" x14ac:dyDescent="0.25">
      <c r="A85" s="48">
        <v>84</v>
      </c>
      <c r="B85" s="48" t="s">
        <v>473</v>
      </c>
      <c r="C85" s="48" t="s">
        <v>46</v>
      </c>
      <c r="D85" s="48" t="s">
        <v>74</v>
      </c>
      <c r="E85" s="48" t="s">
        <v>47</v>
      </c>
      <c r="F85" s="48" t="s">
        <v>89</v>
      </c>
      <c r="G85" s="48" t="s">
        <v>25</v>
      </c>
      <c r="H85" s="48" t="s">
        <v>25</v>
      </c>
      <c r="I85" s="48" t="s">
        <v>25</v>
      </c>
      <c r="J85" s="48" t="s">
        <v>591</v>
      </c>
      <c r="K85" s="48" t="s">
        <v>590</v>
      </c>
      <c r="L85" s="48" t="s">
        <v>71</v>
      </c>
      <c r="M85" s="48">
        <v>2021</v>
      </c>
      <c r="N85" s="48">
        <v>0</v>
      </c>
      <c r="O85" s="48">
        <v>138.80000000000001</v>
      </c>
      <c r="P85" s="48"/>
    </row>
  </sheetData>
  <pageMargins left="0.511811024" right="0.511811024" top="0.78740157499999996" bottom="0.78740157499999996" header="0.31496062000000002" footer="0.3149606200000000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1C72E-2044-4551-AD44-C9A1CBE09E28}">
  <dimension ref="B1:AQ50"/>
  <sheetViews>
    <sheetView showGridLines="0" tabSelected="1" workbookViewId="0">
      <selection activeCell="E10" sqref="E10"/>
    </sheetView>
  </sheetViews>
  <sheetFormatPr defaultRowHeight="15" x14ac:dyDescent="0.25"/>
  <cols>
    <col min="2" max="2" width="13.42578125" bestFit="1" customWidth="1"/>
    <col min="3" max="3" width="27.7109375" bestFit="1" customWidth="1"/>
    <col min="4" max="4" width="17.85546875" bestFit="1" customWidth="1"/>
    <col min="5" max="5" width="31.140625" bestFit="1" customWidth="1"/>
    <col min="6" max="6" width="12.5703125" bestFit="1" customWidth="1"/>
    <col min="7" max="7" width="13.42578125" bestFit="1" customWidth="1"/>
    <col min="8" max="8" width="11.5703125" bestFit="1" customWidth="1"/>
    <col min="9" max="9" width="13.42578125" bestFit="1" customWidth="1"/>
    <col min="10" max="10" width="12.85546875" bestFit="1" customWidth="1"/>
    <col min="11" max="11" width="10.140625" bestFit="1" customWidth="1"/>
    <col min="12" max="12" width="19.28515625" bestFit="1" customWidth="1"/>
    <col min="13" max="13" width="14" bestFit="1" customWidth="1"/>
    <col min="14" max="14" width="12.5703125" bestFit="1" customWidth="1"/>
    <col min="15" max="15" width="12.85546875" bestFit="1" customWidth="1"/>
    <col min="16" max="17" width="12.42578125" bestFit="1" customWidth="1"/>
    <col min="18" max="18" width="17.140625" bestFit="1" customWidth="1"/>
    <col min="19" max="19" width="10.85546875" bestFit="1" customWidth="1"/>
    <col min="20" max="20" width="11.28515625" bestFit="1" customWidth="1"/>
    <col min="21" max="21" width="11.140625" bestFit="1" customWidth="1"/>
    <col min="22" max="22" width="12.28515625" bestFit="1" customWidth="1"/>
    <col min="23" max="23" width="12.5703125" bestFit="1" customWidth="1"/>
    <col min="24" max="24" width="13.85546875" bestFit="1" customWidth="1"/>
    <col min="25" max="25" width="11.42578125" bestFit="1" customWidth="1"/>
    <col min="26" max="26" width="14.28515625" bestFit="1" customWidth="1"/>
    <col min="27" max="27" width="12.85546875" bestFit="1" customWidth="1"/>
    <col min="28" max="28" width="16.140625" bestFit="1" customWidth="1"/>
    <col min="29" max="29" width="14.42578125" bestFit="1" customWidth="1"/>
    <col min="30" max="30" width="11.140625" bestFit="1" customWidth="1"/>
    <col min="31" max="31" width="17.7109375" bestFit="1" customWidth="1"/>
    <col min="32" max="32" width="12.5703125" bestFit="1" customWidth="1"/>
    <col min="33" max="33" width="10.7109375" bestFit="1" customWidth="1"/>
    <col min="34" max="34" width="16.5703125" bestFit="1" customWidth="1"/>
    <col min="35" max="35" width="9.85546875" bestFit="1" customWidth="1"/>
    <col min="36" max="36" width="12.5703125" bestFit="1" customWidth="1"/>
    <col min="37" max="37" width="12.28515625" bestFit="1" customWidth="1"/>
    <col min="38" max="38" width="14.140625" bestFit="1" customWidth="1"/>
    <col min="39" max="39" width="25.28515625" bestFit="1" customWidth="1"/>
    <col min="40" max="40" width="17.85546875" bestFit="1" customWidth="1"/>
    <col min="41" max="41" width="13.42578125" bestFit="1" customWidth="1"/>
    <col min="42" max="42" width="13.28515625" bestFit="1" customWidth="1"/>
    <col min="43" max="43" width="12.5703125" bestFit="1" customWidth="1"/>
  </cols>
  <sheetData>
    <row r="1" spans="2:43" ht="12" customHeight="1" x14ac:dyDescent="0.25">
      <c r="L1" s="149" t="s">
        <v>1123</v>
      </c>
      <c r="M1" s="149"/>
      <c r="N1" s="149"/>
      <c r="O1" s="149"/>
      <c r="P1" s="149"/>
      <c r="Q1" s="149"/>
      <c r="R1" s="149"/>
      <c r="S1" s="149"/>
      <c r="T1" s="149"/>
      <c r="U1" s="149"/>
      <c r="V1" s="149"/>
      <c r="W1" s="149"/>
      <c r="X1" s="149"/>
      <c r="Y1" s="149"/>
      <c r="Z1" s="149"/>
      <c r="AA1" s="149"/>
      <c r="AB1" s="149"/>
      <c r="AC1" s="149"/>
      <c r="AD1" s="149"/>
      <c r="AE1" s="149"/>
      <c r="AF1" s="149"/>
      <c r="AG1" s="150"/>
      <c r="AH1" s="149" t="s">
        <v>1124</v>
      </c>
      <c r="AI1" s="149"/>
      <c r="AJ1" s="149"/>
      <c r="AK1" s="149"/>
      <c r="AL1" s="149"/>
      <c r="AM1" s="149"/>
      <c r="AN1" s="149"/>
      <c r="AO1" s="149"/>
      <c r="AP1" s="149"/>
      <c r="AQ1" s="149"/>
    </row>
    <row r="2" spans="2:43" ht="12" customHeight="1" x14ac:dyDescent="0.25">
      <c r="L2" s="151" t="s">
        <v>446</v>
      </c>
      <c r="M2" s="151"/>
      <c r="N2" s="151"/>
      <c r="O2" s="151"/>
      <c r="P2" s="151"/>
      <c r="Q2" s="151"/>
      <c r="R2" s="151"/>
      <c r="S2" s="152"/>
      <c r="T2" s="151" t="s">
        <v>455</v>
      </c>
      <c r="U2" s="151"/>
      <c r="V2" s="151"/>
      <c r="W2" s="151"/>
      <c r="X2" s="151"/>
      <c r="Y2" s="151"/>
      <c r="Z2" s="152"/>
      <c r="AA2" s="113" t="s">
        <v>463</v>
      </c>
      <c r="AB2" s="151" t="s">
        <v>25</v>
      </c>
      <c r="AC2" s="152"/>
      <c r="AD2" s="151" t="s">
        <v>1122</v>
      </c>
      <c r="AE2" s="151"/>
      <c r="AF2" s="151"/>
      <c r="AG2" s="152"/>
      <c r="AH2" s="151" t="s">
        <v>446</v>
      </c>
      <c r="AI2" s="151"/>
      <c r="AJ2" s="151"/>
      <c r="AK2" s="152"/>
      <c r="AL2" s="113" t="s">
        <v>476</v>
      </c>
      <c r="AM2" s="151" t="s">
        <v>455</v>
      </c>
      <c r="AN2" s="151"/>
      <c r="AO2" s="151"/>
      <c r="AP2" s="152"/>
      <c r="AQ2" s="114" t="s">
        <v>1122</v>
      </c>
    </row>
    <row r="3" spans="2:43" ht="12" customHeight="1" x14ac:dyDescent="0.25">
      <c r="B3" s="104" t="s">
        <v>61</v>
      </c>
      <c r="C3" s="105" t="s">
        <v>62</v>
      </c>
      <c r="D3" s="105" t="s">
        <v>63</v>
      </c>
      <c r="E3" s="105" t="s">
        <v>64</v>
      </c>
      <c r="F3" s="105" t="s">
        <v>65</v>
      </c>
      <c r="G3" s="105" t="s">
        <v>67</v>
      </c>
      <c r="H3" s="105" t="s">
        <v>68</v>
      </c>
      <c r="I3" s="105" t="s">
        <v>722</v>
      </c>
      <c r="J3" s="105" t="s">
        <v>1087</v>
      </c>
      <c r="K3" s="105" t="s">
        <v>1088</v>
      </c>
      <c r="L3" s="105" t="s">
        <v>1089</v>
      </c>
      <c r="M3" s="105" t="s">
        <v>1090</v>
      </c>
      <c r="N3" s="105" t="s">
        <v>1091</v>
      </c>
      <c r="O3" s="105" t="s">
        <v>1092</v>
      </c>
      <c r="P3" s="105" t="s">
        <v>1093</v>
      </c>
      <c r="Q3" s="105" t="s">
        <v>1094</v>
      </c>
      <c r="R3" s="105" t="s">
        <v>1095</v>
      </c>
      <c r="S3" s="105" t="s">
        <v>1096</v>
      </c>
      <c r="T3" s="105" t="s">
        <v>1097</v>
      </c>
      <c r="U3" s="105" t="s">
        <v>1098</v>
      </c>
      <c r="V3" s="105" t="s">
        <v>1099</v>
      </c>
      <c r="W3" s="105" t="s">
        <v>1100</v>
      </c>
      <c r="X3" s="105" t="s">
        <v>1101</v>
      </c>
      <c r="Y3" s="105" t="s">
        <v>1102</v>
      </c>
      <c r="Z3" s="105" t="s">
        <v>1103</v>
      </c>
      <c r="AA3" s="105" t="s">
        <v>1104</v>
      </c>
      <c r="AB3" s="105" t="s">
        <v>1105</v>
      </c>
      <c r="AC3" s="105" t="s">
        <v>1106</v>
      </c>
      <c r="AD3" s="105" t="s">
        <v>1107</v>
      </c>
      <c r="AE3" s="105" t="s">
        <v>1108</v>
      </c>
      <c r="AF3" s="105" t="s">
        <v>1109</v>
      </c>
      <c r="AG3" s="105" t="s">
        <v>1110</v>
      </c>
      <c r="AH3" s="105" t="s">
        <v>1111</v>
      </c>
      <c r="AI3" s="105" t="s">
        <v>1112</v>
      </c>
      <c r="AJ3" s="105" t="s">
        <v>1113</v>
      </c>
      <c r="AK3" s="105" t="s">
        <v>1114</v>
      </c>
      <c r="AL3" s="105" t="s">
        <v>1115</v>
      </c>
      <c r="AM3" s="105" t="s">
        <v>1116</v>
      </c>
      <c r="AN3" s="105" t="s">
        <v>1117</v>
      </c>
      <c r="AO3" s="105" t="s">
        <v>1118</v>
      </c>
      <c r="AP3" s="105" t="s">
        <v>1119</v>
      </c>
      <c r="AQ3" s="106" t="s">
        <v>1120</v>
      </c>
    </row>
    <row r="4" spans="2:43" ht="12" customHeight="1" x14ac:dyDescent="0.25">
      <c r="B4" s="107" t="s">
        <v>33</v>
      </c>
      <c r="C4" s="108" t="s">
        <v>41</v>
      </c>
      <c r="D4" s="108" t="s">
        <v>25</v>
      </c>
      <c r="E4" s="108" t="s">
        <v>25</v>
      </c>
      <c r="F4" s="108" t="s">
        <v>79</v>
      </c>
      <c r="G4" s="108" t="s">
        <v>35</v>
      </c>
      <c r="H4" s="108" t="s">
        <v>71</v>
      </c>
      <c r="I4" s="108" t="s">
        <v>25</v>
      </c>
      <c r="J4" s="108">
        <v>0</v>
      </c>
      <c r="K4" s="108">
        <v>0</v>
      </c>
      <c r="L4" s="108">
        <v>0</v>
      </c>
      <c r="M4" s="108">
        <v>0</v>
      </c>
      <c r="N4" s="108">
        <v>0</v>
      </c>
      <c r="O4" s="108">
        <v>0</v>
      </c>
      <c r="P4" s="108">
        <v>0</v>
      </c>
      <c r="Q4" s="108">
        <v>0</v>
      </c>
      <c r="R4" s="108">
        <v>0</v>
      </c>
      <c r="S4" s="108">
        <v>0</v>
      </c>
      <c r="T4" s="108">
        <v>0</v>
      </c>
      <c r="U4" s="108">
        <v>0</v>
      </c>
      <c r="V4" s="108">
        <v>0</v>
      </c>
      <c r="W4" s="108">
        <v>0</v>
      </c>
      <c r="X4" s="108">
        <v>0</v>
      </c>
      <c r="Y4" s="108">
        <v>0</v>
      </c>
      <c r="Z4" s="108">
        <v>0</v>
      </c>
      <c r="AA4" s="108">
        <v>0</v>
      </c>
      <c r="AB4" s="108">
        <v>0</v>
      </c>
      <c r="AC4" s="108">
        <v>0</v>
      </c>
      <c r="AD4" s="108">
        <v>0</v>
      </c>
      <c r="AE4" s="108">
        <v>0</v>
      </c>
      <c r="AF4" s="108">
        <v>0</v>
      </c>
      <c r="AG4" s="108">
        <v>0</v>
      </c>
      <c r="AH4" s="108">
        <v>0</v>
      </c>
      <c r="AI4" s="108">
        <v>0</v>
      </c>
      <c r="AJ4" s="108">
        <v>0</v>
      </c>
      <c r="AK4" s="108">
        <v>0</v>
      </c>
      <c r="AL4" s="108">
        <v>0</v>
      </c>
      <c r="AM4" s="108">
        <v>0</v>
      </c>
      <c r="AN4" s="108">
        <v>0</v>
      </c>
      <c r="AO4" s="108">
        <v>0</v>
      </c>
      <c r="AP4" s="108">
        <v>0</v>
      </c>
      <c r="AQ4" s="109">
        <v>0</v>
      </c>
    </row>
    <row r="5" spans="2:43" ht="12" customHeight="1" x14ac:dyDescent="0.25">
      <c r="B5" s="107" t="s">
        <v>33</v>
      </c>
      <c r="C5" s="108" t="s">
        <v>41</v>
      </c>
      <c r="D5" s="108" t="s">
        <v>25</v>
      </c>
      <c r="E5" s="108" t="s">
        <v>25</v>
      </c>
      <c r="F5" s="108" t="s">
        <v>79</v>
      </c>
      <c r="G5" s="108" t="s">
        <v>35</v>
      </c>
      <c r="H5" s="108" t="s">
        <v>76</v>
      </c>
      <c r="I5" s="108" t="s">
        <v>25</v>
      </c>
      <c r="J5" s="108">
        <v>0</v>
      </c>
      <c r="K5" s="108">
        <v>0</v>
      </c>
      <c r="L5" s="108">
        <v>0</v>
      </c>
      <c r="M5" s="108">
        <v>0</v>
      </c>
      <c r="N5" s="108">
        <v>0</v>
      </c>
      <c r="O5" s="108">
        <v>0</v>
      </c>
      <c r="P5" s="108">
        <v>0</v>
      </c>
      <c r="Q5" s="108">
        <v>0</v>
      </c>
      <c r="R5" s="108">
        <v>0</v>
      </c>
      <c r="S5" s="108">
        <v>0</v>
      </c>
      <c r="T5" s="108">
        <v>0</v>
      </c>
      <c r="U5" s="108">
        <v>0</v>
      </c>
      <c r="V5" s="108">
        <v>0</v>
      </c>
      <c r="W5" s="108">
        <v>0</v>
      </c>
      <c r="X5" s="108">
        <v>0</v>
      </c>
      <c r="Y5" s="108">
        <v>0</v>
      </c>
      <c r="Z5" s="108">
        <v>0</v>
      </c>
      <c r="AA5" s="108">
        <v>0</v>
      </c>
      <c r="AB5" s="108">
        <v>0</v>
      </c>
      <c r="AC5" s="108">
        <v>0</v>
      </c>
      <c r="AD5" s="108">
        <v>0</v>
      </c>
      <c r="AE5" s="108">
        <v>0</v>
      </c>
      <c r="AF5" s="108">
        <v>0</v>
      </c>
      <c r="AG5" s="108">
        <v>0</v>
      </c>
      <c r="AH5" s="108">
        <v>0</v>
      </c>
      <c r="AI5" s="108">
        <v>0</v>
      </c>
      <c r="AJ5" s="108">
        <v>0</v>
      </c>
      <c r="AK5" s="108">
        <v>0</v>
      </c>
      <c r="AL5" s="108">
        <v>0</v>
      </c>
      <c r="AM5" s="108">
        <v>0</v>
      </c>
      <c r="AN5" s="108">
        <v>0</v>
      </c>
      <c r="AO5" s="108">
        <v>0</v>
      </c>
      <c r="AP5" s="108">
        <v>0</v>
      </c>
      <c r="AQ5" s="109">
        <v>0</v>
      </c>
    </row>
    <row r="6" spans="2:43" ht="12" customHeight="1" x14ac:dyDescent="0.25">
      <c r="B6" s="107" t="s">
        <v>33</v>
      </c>
      <c r="C6" s="108" t="s">
        <v>41</v>
      </c>
      <c r="D6" s="108" t="s">
        <v>25</v>
      </c>
      <c r="E6" s="108" t="s">
        <v>25</v>
      </c>
      <c r="F6" s="108" t="s">
        <v>79</v>
      </c>
      <c r="G6" s="108" t="s">
        <v>36</v>
      </c>
      <c r="H6" s="108" t="s">
        <v>71</v>
      </c>
      <c r="I6" s="108" t="s">
        <v>25</v>
      </c>
      <c r="J6" s="108">
        <v>0</v>
      </c>
      <c r="K6" s="108">
        <v>0</v>
      </c>
      <c r="L6" s="108">
        <v>0</v>
      </c>
      <c r="M6" s="108">
        <v>0</v>
      </c>
      <c r="N6" s="108">
        <v>0</v>
      </c>
      <c r="O6" s="108">
        <v>0</v>
      </c>
      <c r="P6" s="108">
        <v>0</v>
      </c>
      <c r="Q6" s="108">
        <v>0</v>
      </c>
      <c r="R6" s="108">
        <v>0</v>
      </c>
      <c r="S6" s="108">
        <v>0</v>
      </c>
      <c r="T6" s="108">
        <v>0</v>
      </c>
      <c r="U6" s="108">
        <v>0</v>
      </c>
      <c r="V6" s="108">
        <v>0</v>
      </c>
      <c r="W6" s="108">
        <v>0</v>
      </c>
      <c r="X6" s="108">
        <v>0</v>
      </c>
      <c r="Y6" s="108">
        <v>0</v>
      </c>
      <c r="Z6" s="108">
        <v>0</v>
      </c>
      <c r="AA6" s="108">
        <v>0</v>
      </c>
      <c r="AB6" s="108">
        <v>0</v>
      </c>
      <c r="AC6" s="108">
        <v>0</v>
      </c>
      <c r="AD6" s="108">
        <v>0</v>
      </c>
      <c r="AE6" s="108">
        <v>0</v>
      </c>
      <c r="AF6" s="108">
        <v>0</v>
      </c>
      <c r="AG6" s="108">
        <v>0</v>
      </c>
      <c r="AH6" s="108">
        <v>0</v>
      </c>
      <c r="AI6" s="108">
        <v>0</v>
      </c>
      <c r="AJ6" s="108">
        <v>0</v>
      </c>
      <c r="AK6" s="108">
        <v>0</v>
      </c>
      <c r="AL6" s="108">
        <v>0</v>
      </c>
      <c r="AM6" s="108">
        <v>0</v>
      </c>
      <c r="AN6" s="108">
        <v>0</v>
      </c>
      <c r="AO6" s="108">
        <v>0</v>
      </c>
      <c r="AP6" s="108">
        <v>0</v>
      </c>
      <c r="AQ6" s="109">
        <v>0</v>
      </c>
    </row>
    <row r="7" spans="2:43" ht="12" customHeight="1" x14ac:dyDescent="0.25">
      <c r="B7" s="107" t="s">
        <v>33</v>
      </c>
      <c r="C7" s="108" t="s">
        <v>41</v>
      </c>
      <c r="D7" s="108" t="s">
        <v>25</v>
      </c>
      <c r="E7" s="108" t="s">
        <v>25</v>
      </c>
      <c r="F7" s="108" t="s">
        <v>79</v>
      </c>
      <c r="G7" s="108" t="s">
        <v>36</v>
      </c>
      <c r="H7" s="108" t="s">
        <v>76</v>
      </c>
      <c r="I7" s="108" t="s">
        <v>25</v>
      </c>
      <c r="J7" s="108">
        <v>0</v>
      </c>
      <c r="K7" s="108">
        <v>0</v>
      </c>
      <c r="L7" s="108">
        <v>0</v>
      </c>
      <c r="M7" s="108">
        <v>0</v>
      </c>
      <c r="N7" s="108">
        <v>0</v>
      </c>
      <c r="O7" s="108">
        <v>0</v>
      </c>
      <c r="P7" s="108">
        <v>0</v>
      </c>
      <c r="Q7" s="108">
        <v>0</v>
      </c>
      <c r="R7" s="108">
        <v>0</v>
      </c>
      <c r="S7" s="108">
        <v>0</v>
      </c>
      <c r="T7" s="108">
        <v>0</v>
      </c>
      <c r="U7" s="108">
        <v>0</v>
      </c>
      <c r="V7" s="108">
        <v>0</v>
      </c>
      <c r="W7" s="108">
        <v>0</v>
      </c>
      <c r="X7" s="108">
        <v>0</v>
      </c>
      <c r="Y7" s="108">
        <v>0</v>
      </c>
      <c r="Z7" s="108">
        <v>0</v>
      </c>
      <c r="AA7" s="108">
        <v>0</v>
      </c>
      <c r="AB7" s="108">
        <v>0</v>
      </c>
      <c r="AC7" s="108">
        <v>0</v>
      </c>
      <c r="AD7" s="108">
        <v>0</v>
      </c>
      <c r="AE7" s="108">
        <v>0</v>
      </c>
      <c r="AF7" s="108">
        <v>0</v>
      </c>
      <c r="AG7" s="108">
        <v>0</v>
      </c>
      <c r="AH7" s="108">
        <v>0</v>
      </c>
      <c r="AI7" s="108">
        <v>0</v>
      </c>
      <c r="AJ7" s="108">
        <v>0</v>
      </c>
      <c r="AK7" s="108">
        <v>0</v>
      </c>
      <c r="AL7" s="108">
        <v>0</v>
      </c>
      <c r="AM7" s="108">
        <v>0</v>
      </c>
      <c r="AN7" s="108">
        <v>0</v>
      </c>
      <c r="AO7" s="108">
        <v>0</v>
      </c>
      <c r="AP7" s="108">
        <v>0</v>
      </c>
      <c r="AQ7" s="109">
        <v>0</v>
      </c>
    </row>
    <row r="8" spans="2:43" ht="12" customHeight="1" x14ac:dyDescent="0.25">
      <c r="B8" s="107" t="s">
        <v>33</v>
      </c>
      <c r="C8" s="108" t="s">
        <v>41</v>
      </c>
      <c r="D8" s="108" t="s">
        <v>25</v>
      </c>
      <c r="E8" s="108" t="s">
        <v>25</v>
      </c>
      <c r="F8" s="108" t="s">
        <v>25</v>
      </c>
      <c r="G8" s="108" t="s">
        <v>35</v>
      </c>
      <c r="H8" s="108" t="s">
        <v>71</v>
      </c>
      <c r="I8" s="108" t="s">
        <v>25</v>
      </c>
      <c r="J8" s="108">
        <v>0</v>
      </c>
      <c r="K8" s="108">
        <v>0</v>
      </c>
      <c r="L8" s="108">
        <v>0</v>
      </c>
      <c r="M8" s="108">
        <v>0</v>
      </c>
      <c r="N8" s="108">
        <v>0</v>
      </c>
      <c r="O8" s="108">
        <v>0</v>
      </c>
      <c r="P8" s="108">
        <v>0</v>
      </c>
      <c r="Q8" s="108">
        <v>0</v>
      </c>
      <c r="R8" s="108">
        <v>0</v>
      </c>
      <c r="S8" s="108">
        <v>0</v>
      </c>
      <c r="T8" s="108">
        <v>0</v>
      </c>
      <c r="U8" s="108">
        <v>0</v>
      </c>
      <c r="V8" s="108">
        <v>0</v>
      </c>
      <c r="W8" s="108">
        <v>0</v>
      </c>
      <c r="X8" s="108">
        <v>0</v>
      </c>
      <c r="Y8" s="108">
        <v>0</v>
      </c>
      <c r="Z8" s="108">
        <v>0</v>
      </c>
      <c r="AA8" s="108">
        <v>0</v>
      </c>
      <c r="AB8" s="108">
        <v>0</v>
      </c>
      <c r="AC8" s="108">
        <v>0</v>
      </c>
      <c r="AD8" s="108">
        <v>0</v>
      </c>
      <c r="AE8" s="108">
        <v>0</v>
      </c>
      <c r="AF8" s="108">
        <v>0</v>
      </c>
      <c r="AG8" s="108">
        <v>0</v>
      </c>
      <c r="AH8" s="108">
        <v>0</v>
      </c>
      <c r="AI8" s="108">
        <v>0</v>
      </c>
      <c r="AJ8" s="108">
        <v>0</v>
      </c>
      <c r="AK8" s="108">
        <v>0</v>
      </c>
      <c r="AL8" s="108">
        <v>0</v>
      </c>
      <c r="AM8" s="108">
        <v>0</v>
      </c>
      <c r="AN8" s="108">
        <v>0</v>
      </c>
      <c r="AO8" s="108">
        <v>0</v>
      </c>
      <c r="AP8" s="108">
        <v>0</v>
      </c>
      <c r="AQ8" s="109">
        <v>0</v>
      </c>
    </row>
    <row r="9" spans="2:43" ht="12" customHeight="1" x14ac:dyDescent="0.25">
      <c r="B9" s="107" t="s">
        <v>33</v>
      </c>
      <c r="C9" s="108" t="s">
        <v>41</v>
      </c>
      <c r="D9" s="108" t="s">
        <v>25</v>
      </c>
      <c r="E9" s="108" t="s">
        <v>25</v>
      </c>
      <c r="F9" s="108" t="s">
        <v>25</v>
      </c>
      <c r="G9" s="108" t="s">
        <v>35</v>
      </c>
      <c r="H9" s="108" t="s">
        <v>76</v>
      </c>
      <c r="I9" s="108" t="s">
        <v>25</v>
      </c>
      <c r="J9" s="108">
        <v>0</v>
      </c>
      <c r="K9" s="108">
        <v>0</v>
      </c>
      <c r="L9" s="108">
        <v>0</v>
      </c>
      <c r="M9" s="108">
        <v>0</v>
      </c>
      <c r="N9" s="108">
        <v>0</v>
      </c>
      <c r="O9" s="108">
        <v>0</v>
      </c>
      <c r="P9" s="108">
        <v>0</v>
      </c>
      <c r="Q9" s="108">
        <v>0</v>
      </c>
      <c r="R9" s="108">
        <v>0</v>
      </c>
      <c r="S9" s="108">
        <v>0</v>
      </c>
      <c r="T9" s="108">
        <v>0</v>
      </c>
      <c r="U9" s="108">
        <v>0</v>
      </c>
      <c r="V9" s="108">
        <v>0</v>
      </c>
      <c r="W9" s="108">
        <v>0</v>
      </c>
      <c r="X9" s="108">
        <v>0</v>
      </c>
      <c r="Y9" s="108">
        <v>0</v>
      </c>
      <c r="Z9" s="108">
        <v>0</v>
      </c>
      <c r="AA9" s="108">
        <v>0</v>
      </c>
      <c r="AB9" s="108">
        <v>0</v>
      </c>
      <c r="AC9" s="108">
        <v>0</v>
      </c>
      <c r="AD9" s="108">
        <v>0</v>
      </c>
      <c r="AE9" s="108">
        <v>0</v>
      </c>
      <c r="AF9" s="108">
        <v>0</v>
      </c>
      <c r="AG9" s="108">
        <v>0</v>
      </c>
      <c r="AH9" s="108">
        <v>0</v>
      </c>
      <c r="AI9" s="108">
        <v>0</v>
      </c>
      <c r="AJ9" s="108">
        <v>0</v>
      </c>
      <c r="AK9" s="108">
        <v>0</v>
      </c>
      <c r="AL9" s="108">
        <v>0</v>
      </c>
      <c r="AM9" s="108">
        <v>0</v>
      </c>
      <c r="AN9" s="108">
        <v>0</v>
      </c>
      <c r="AO9" s="108">
        <v>0</v>
      </c>
      <c r="AP9" s="108">
        <v>0</v>
      </c>
      <c r="AQ9" s="109">
        <v>0</v>
      </c>
    </row>
    <row r="10" spans="2:43" ht="12" customHeight="1" x14ac:dyDescent="0.25">
      <c r="B10" s="107" t="s">
        <v>33</v>
      </c>
      <c r="C10" s="108" t="s">
        <v>41</v>
      </c>
      <c r="D10" s="108" t="s">
        <v>25</v>
      </c>
      <c r="E10" s="108" t="s">
        <v>25</v>
      </c>
      <c r="F10" s="108" t="s">
        <v>25</v>
      </c>
      <c r="G10" s="108" t="s">
        <v>36</v>
      </c>
      <c r="H10" s="108" t="s">
        <v>71</v>
      </c>
      <c r="I10" s="108" t="s">
        <v>25</v>
      </c>
      <c r="J10" s="108">
        <v>0</v>
      </c>
      <c r="K10" s="108">
        <v>0</v>
      </c>
      <c r="L10" s="108">
        <v>0</v>
      </c>
      <c r="M10" s="108">
        <v>0</v>
      </c>
      <c r="N10" s="108">
        <v>0</v>
      </c>
      <c r="O10" s="108">
        <v>0</v>
      </c>
      <c r="P10" s="108">
        <v>0</v>
      </c>
      <c r="Q10" s="108">
        <v>0</v>
      </c>
      <c r="R10" s="108">
        <v>0</v>
      </c>
      <c r="S10" s="108">
        <v>0</v>
      </c>
      <c r="T10" s="108">
        <v>0</v>
      </c>
      <c r="U10" s="108">
        <v>0</v>
      </c>
      <c r="V10" s="108">
        <v>0</v>
      </c>
      <c r="W10" s="108">
        <v>0</v>
      </c>
      <c r="X10" s="108">
        <v>0</v>
      </c>
      <c r="Y10" s="108">
        <v>0</v>
      </c>
      <c r="Z10" s="108">
        <v>0</v>
      </c>
      <c r="AA10" s="108">
        <v>0</v>
      </c>
      <c r="AB10" s="108">
        <v>0</v>
      </c>
      <c r="AC10" s="108">
        <v>0</v>
      </c>
      <c r="AD10" s="108">
        <v>0</v>
      </c>
      <c r="AE10" s="108">
        <v>0</v>
      </c>
      <c r="AF10" s="108">
        <v>0</v>
      </c>
      <c r="AG10" s="108">
        <v>0</v>
      </c>
      <c r="AH10" s="108">
        <v>0</v>
      </c>
      <c r="AI10" s="108">
        <v>0</v>
      </c>
      <c r="AJ10" s="108">
        <v>0</v>
      </c>
      <c r="AK10" s="108">
        <v>0</v>
      </c>
      <c r="AL10" s="108">
        <v>0</v>
      </c>
      <c r="AM10" s="108">
        <v>0</v>
      </c>
      <c r="AN10" s="108">
        <v>0</v>
      </c>
      <c r="AO10" s="108">
        <v>0</v>
      </c>
      <c r="AP10" s="108">
        <v>0</v>
      </c>
      <c r="AQ10" s="109">
        <v>0</v>
      </c>
    </row>
    <row r="11" spans="2:43" ht="12" customHeight="1" x14ac:dyDescent="0.25">
      <c r="B11" s="107" t="s">
        <v>33</v>
      </c>
      <c r="C11" s="108" t="s">
        <v>41</v>
      </c>
      <c r="D11" s="108" t="s">
        <v>25</v>
      </c>
      <c r="E11" s="108" t="s">
        <v>25</v>
      </c>
      <c r="F11" s="108" t="s">
        <v>25</v>
      </c>
      <c r="G11" s="108" t="s">
        <v>36</v>
      </c>
      <c r="H11" s="108" t="s">
        <v>76</v>
      </c>
      <c r="I11" s="108" t="s">
        <v>25</v>
      </c>
      <c r="J11" s="108">
        <v>0</v>
      </c>
      <c r="K11" s="108">
        <v>0</v>
      </c>
      <c r="L11" s="108">
        <v>0</v>
      </c>
      <c r="M11" s="108">
        <v>0</v>
      </c>
      <c r="N11" s="108">
        <v>0</v>
      </c>
      <c r="O11" s="108">
        <v>0</v>
      </c>
      <c r="P11" s="108">
        <v>0</v>
      </c>
      <c r="Q11" s="108">
        <v>0</v>
      </c>
      <c r="R11" s="108">
        <v>0</v>
      </c>
      <c r="S11" s="108">
        <v>0</v>
      </c>
      <c r="T11" s="108">
        <v>0</v>
      </c>
      <c r="U11" s="108">
        <v>0</v>
      </c>
      <c r="V11" s="108">
        <v>0</v>
      </c>
      <c r="W11" s="108">
        <v>0</v>
      </c>
      <c r="X11" s="108">
        <v>0</v>
      </c>
      <c r="Y11" s="108">
        <v>0</v>
      </c>
      <c r="Z11" s="108">
        <v>0</v>
      </c>
      <c r="AA11" s="108">
        <v>0</v>
      </c>
      <c r="AB11" s="108">
        <v>0</v>
      </c>
      <c r="AC11" s="108">
        <v>0</v>
      </c>
      <c r="AD11" s="108">
        <v>0</v>
      </c>
      <c r="AE11" s="108">
        <v>0</v>
      </c>
      <c r="AF11" s="108">
        <v>0</v>
      </c>
      <c r="AG11" s="108">
        <v>0</v>
      </c>
      <c r="AH11" s="108">
        <v>0</v>
      </c>
      <c r="AI11" s="108">
        <v>0</v>
      </c>
      <c r="AJ11" s="108">
        <v>0</v>
      </c>
      <c r="AK11" s="108">
        <v>0</v>
      </c>
      <c r="AL11" s="108">
        <v>0</v>
      </c>
      <c r="AM11" s="108">
        <v>0</v>
      </c>
      <c r="AN11" s="108">
        <v>0</v>
      </c>
      <c r="AO11" s="108">
        <v>0</v>
      </c>
      <c r="AP11" s="108">
        <v>0</v>
      </c>
      <c r="AQ11" s="109">
        <v>0</v>
      </c>
    </row>
    <row r="12" spans="2:43" ht="12" customHeight="1" x14ac:dyDescent="0.25">
      <c r="B12" s="107" t="s">
        <v>33</v>
      </c>
      <c r="C12" s="108" t="s">
        <v>23</v>
      </c>
      <c r="D12" s="108" t="s">
        <v>25</v>
      </c>
      <c r="E12" s="108" t="s">
        <v>25</v>
      </c>
      <c r="F12" s="108" t="s">
        <v>25</v>
      </c>
      <c r="G12" s="108" t="s">
        <v>25</v>
      </c>
      <c r="H12" s="108" t="s">
        <v>71</v>
      </c>
      <c r="I12" s="108" t="s">
        <v>25</v>
      </c>
      <c r="J12" s="108">
        <v>0</v>
      </c>
      <c r="K12" s="108">
        <v>0</v>
      </c>
      <c r="L12" s="108">
        <v>0</v>
      </c>
      <c r="M12" s="108">
        <v>0</v>
      </c>
      <c r="N12" s="108">
        <v>0</v>
      </c>
      <c r="O12" s="108">
        <v>0</v>
      </c>
      <c r="P12" s="108">
        <v>0</v>
      </c>
      <c r="Q12" s="108">
        <v>0</v>
      </c>
      <c r="R12" s="108">
        <v>0</v>
      </c>
      <c r="S12" s="108">
        <v>0</v>
      </c>
      <c r="T12" s="108">
        <v>0</v>
      </c>
      <c r="U12" s="108">
        <v>0</v>
      </c>
      <c r="V12" s="108">
        <v>0</v>
      </c>
      <c r="W12" s="108">
        <v>0</v>
      </c>
      <c r="X12" s="108">
        <v>0</v>
      </c>
      <c r="Y12" s="108">
        <v>0</v>
      </c>
      <c r="Z12" s="108">
        <v>0</v>
      </c>
      <c r="AA12" s="108">
        <v>0</v>
      </c>
      <c r="AB12" s="108">
        <v>0</v>
      </c>
      <c r="AC12" s="108">
        <v>0</v>
      </c>
      <c r="AD12" s="108">
        <v>0</v>
      </c>
      <c r="AE12" s="108">
        <v>0</v>
      </c>
      <c r="AF12" s="108">
        <v>0</v>
      </c>
      <c r="AG12" s="108">
        <v>0</v>
      </c>
      <c r="AH12" s="108">
        <v>0</v>
      </c>
      <c r="AI12" s="108">
        <v>0</v>
      </c>
      <c r="AJ12" s="108">
        <v>0</v>
      </c>
      <c r="AK12" s="108">
        <v>0</v>
      </c>
      <c r="AL12" s="108">
        <v>0</v>
      </c>
      <c r="AM12" s="108">
        <v>0</v>
      </c>
      <c r="AN12" s="108">
        <v>0</v>
      </c>
      <c r="AO12" s="108">
        <v>0</v>
      </c>
      <c r="AP12" s="108">
        <v>0</v>
      </c>
      <c r="AQ12" s="109">
        <v>0</v>
      </c>
    </row>
    <row r="13" spans="2:43" ht="12" customHeight="1" x14ac:dyDescent="0.25">
      <c r="B13" s="107" t="s">
        <v>33</v>
      </c>
      <c r="C13" s="108" t="s">
        <v>80</v>
      </c>
      <c r="D13" s="108" t="s">
        <v>25</v>
      </c>
      <c r="E13" s="108" t="s">
        <v>25</v>
      </c>
      <c r="F13" s="108" t="s">
        <v>25</v>
      </c>
      <c r="G13" s="108" t="s">
        <v>25</v>
      </c>
      <c r="H13" s="108" t="s">
        <v>76</v>
      </c>
      <c r="I13" s="108" t="s">
        <v>25</v>
      </c>
      <c r="J13" s="108">
        <v>0</v>
      </c>
      <c r="K13" s="108">
        <v>0</v>
      </c>
      <c r="L13" s="108">
        <v>0</v>
      </c>
      <c r="M13" s="108">
        <v>0</v>
      </c>
      <c r="N13" s="108">
        <v>0</v>
      </c>
      <c r="O13" s="108">
        <v>0</v>
      </c>
      <c r="P13" s="108">
        <v>0</v>
      </c>
      <c r="Q13" s="108">
        <v>0</v>
      </c>
      <c r="R13" s="108">
        <v>0</v>
      </c>
      <c r="S13" s="108">
        <v>0</v>
      </c>
      <c r="T13" s="108">
        <v>0</v>
      </c>
      <c r="U13" s="108">
        <v>0</v>
      </c>
      <c r="V13" s="108">
        <v>0</v>
      </c>
      <c r="W13" s="108">
        <v>0</v>
      </c>
      <c r="X13" s="108">
        <v>0</v>
      </c>
      <c r="Y13" s="108">
        <v>0</v>
      </c>
      <c r="Z13" s="108">
        <v>0</v>
      </c>
      <c r="AA13" s="108">
        <v>0</v>
      </c>
      <c r="AB13" s="108">
        <v>0</v>
      </c>
      <c r="AC13" s="108">
        <v>0</v>
      </c>
      <c r="AD13" s="108">
        <v>0</v>
      </c>
      <c r="AE13" s="108">
        <v>0</v>
      </c>
      <c r="AF13" s="108">
        <v>0</v>
      </c>
      <c r="AG13" s="108">
        <v>0</v>
      </c>
      <c r="AH13" s="108">
        <v>0</v>
      </c>
      <c r="AI13" s="108">
        <v>0</v>
      </c>
      <c r="AJ13" s="108">
        <v>0</v>
      </c>
      <c r="AK13" s="108">
        <v>0</v>
      </c>
      <c r="AL13" s="108">
        <v>0</v>
      </c>
      <c r="AM13" s="108">
        <v>0</v>
      </c>
      <c r="AN13" s="108">
        <v>0</v>
      </c>
      <c r="AO13" s="108">
        <v>0</v>
      </c>
      <c r="AP13" s="108">
        <v>0</v>
      </c>
      <c r="AQ13" s="109">
        <v>0</v>
      </c>
    </row>
    <row r="14" spans="2:43" ht="12" customHeight="1" x14ac:dyDescent="0.25">
      <c r="B14" s="107" t="s">
        <v>33</v>
      </c>
      <c r="C14" s="108" t="s">
        <v>34</v>
      </c>
      <c r="D14" s="108" t="s">
        <v>25</v>
      </c>
      <c r="E14" s="108" t="s">
        <v>25</v>
      </c>
      <c r="F14" s="108" t="s">
        <v>79</v>
      </c>
      <c r="G14" s="108" t="s">
        <v>35</v>
      </c>
      <c r="H14" s="108" t="s">
        <v>71</v>
      </c>
      <c r="I14" s="108" t="s">
        <v>25</v>
      </c>
      <c r="J14" s="108">
        <v>0</v>
      </c>
      <c r="K14" s="108">
        <v>0</v>
      </c>
      <c r="L14" s="108">
        <v>0</v>
      </c>
      <c r="M14" s="108">
        <v>0</v>
      </c>
      <c r="N14" s="108">
        <v>0</v>
      </c>
      <c r="O14" s="108">
        <v>0</v>
      </c>
      <c r="P14" s="108">
        <v>0</v>
      </c>
      <c r="Q14" s="108">
        <v>0</v>
      </c>
      <c r="R14" s="108">
        <v>0</v>
      </c>
      <c r="S14" s="108">
        <v>0</v>
      </c>
      <c r="T14" s="108">
        <v>0</v>
      </c>
      <c r="U14" s="108">
        <v>0</v>
      </c>
      <c r="V14" s="108">
        <v>0</v>
      </c>
      <c r="W14" s="108">
        <v>0</v>
      </c>
      <c r="X14" s="108">
        <v>0</v>
      </c>
      <c r="Y14" s="108">
        <v>0</v>
      </c>
      <c r="Z14" s="108">
        <v>0</v>
      </c>
      <c r="AA14" s="108">
        <v>0</v>
      </c>
      <c r="AB14" s="108">
        <v>0</v>
      </c>
      <c r="AC14" s="108">
        <v>0</v>
      </c>
      <c r="AD14" s="108">
        <v>0</v>
      </c>
      <c r="AE14" s="108">
        <v>0</v>
      </c>
      <c r="AF14" s="108">
        <v>0</v>
      </c>
      <c r="AG14" s="108">
        <v>0</v>
      </c>
      <c r="AH14" s="108">
        <v>0</v>
      </c>
      <c r="AI14" s="108">
        <v>0</v>
      </c>
      <c r="AJ14" s="108">
        <v>0</v>
      </c>
      <c r="AK14" s="108">
        <v>0</v>
      </c>
      <c r="AL14" s="108">
        <v>0</v>
      </c>
      <c r="AM14" s="108">
        <v>0</v>
      </c>
      <c r="AN14" s="108">
        <v>0</v>
      </c>
      <c r="AO14" s="108">
        <v>0</v>
      </c>
      <c r="AP14" s="108">
        <v>0</v>
      </c>
      <c r="AQ14" s="109">
        <v>0</v>
      </c>
    </row>
    <row r="15" spans="2:43" ht="12" customHeight="1" x14ac:dyDescent="0.25">
      <c r="B15" s="107" t="s">
        <v>33</v>
      </c>
      <c r="C15" s="108" t="s">
        <v>34</v>
      </c>
      <c r="D15" s="108" t="s">
        <v>25</v>
      </c>
      <c r="E15" s="108" t="s">
        <v>25</v>
      </c>
      <c r="F15" s="108" t="s">
        <v>79</v>
      </c>
      <c r="G15" s="108" t="s">
        <v>25</v>
      </c>
      <c r="H15" s="108" t="s">
        <v>76</v>
      </c>
      <c r="I15" s="108" t="s">
        <v>25</v>
      </c>
      <c r="J15" s="108">
        <v>0</v>
      </c>
      <c r="K15" s="108">
        <v>0</v>
      </c>
      <c r="L15" s="108">
        <v>0</v>
      </c>
      <c r="M15" s="108">
        <v>0</v>
      </c>
      <c r="N15" s="108">
        <v>0</v>
      </c>
      <c r="O15" s="108">
        <v>0</v>
      </c>
      <c r="P15" s="108">
        <v>0</v>
      </c>
      <c r="Q15" s="108">
        <v>0</v>
      </c>
      <c r="R15" s="108">
        <v>0</v>
      </c>
      <c r="S15" s="108">
        <v>0</v>
      </c>
      <c r="T15" s="108">
        <v>0</v>
      </c>
      <c r="U15" s="108">
        <v>0</v>
      </c>
      <c r="V15" s="108">
        <v>0</v>
      </c>
      <c r="W15" s="108">
        <v>0</v>
      </c>
      <c r="X15" s="108">
        <v>0</v>
      </c>
      <c r="Y15" s="108">
        <v>0</v>
      </c>
      <c r="Z15" s="108">
        <v>0</v>
      </c>
      <c r="AA15" s="108">
        <v>0</v>
      </c>
      <c r="AB15" s="108">
        <v>0</v>
      </c>
      <c r="AC15" s="108">
        <v>0</v>
      </c>
      <c r="AD15" s="108">
        <v>0</v>
      </c>
      <c r="AE15" s="108">
        <v>0</v>
      </c>
      <c r="AF15" s="108">
        <v>0</v>
      </c>
      <c r="AG15" s="108">
        <v>0</v>
      </c>
      <c r="AH15" s="108">
        <v>0</v>
      </c>
      <c r="AI15" s="108">
        <v>0</v>
      </c>
      <c r="AJ15" s="108">
        <v>0</v>
      </c>
      <c r="AK15" s="108">
        <v>0</v>
      </c>
      <c r="AL15" s="108">
        <v>0</v>
      </c>
      <c r="AM15" s="108">
        <v>0</v>
      </c>
      <c r="AN15" s="108">
        <v>0</v>
      </c>
      <c r="AO15" s="108">
        <v>0</v>
      </c>
      <c r="AP15" s="108">
        <v>0</v>
      </c>
      <c r="AQ15" s="109">
        <v>0</v>
      </c>
    </row>
    <row r="16" spans="2:43" ht="12" customHeight="1" x14ac:dyDescent="0.25">
      <c r="B16" s="107" t="s">
        <v>33</v>
      </c>
      <c r="C16" s="108" t="s">
        <v>34</v>
      </c>
      <c r="D16" s="108" t="s">
        <v>25</v>
      </c>
      <c r="E16" s="108" t="s">
        <v>25</v>
      </c>
      <c r="F16" s="108" t="s">
        <v>79</v>
      </c>
      <c r="G16" s="108" t="s">
        <v>36</v>
      </c>
      <c r="H16" s="108" t="s">
        <v>71</v>
      </c>
      <c r="I16" s="108" t="s">
        <v>25</v>
      </c>
      <c r="J16" s="108">
        <v>0</v>
      </c>
      <c r="K16" s="108">
        <v>0</v>
      </c>
      <c r="L16" s="108">
        <v>0</v>
      </c>
      <c r="M16" s="108">
        <v>0</v>
      </c>
      <c r="N16" s="108">
        <v>0</v>
      </c>
      <c r="O16" s="108">
        <v>0</v>
      </c>
      <c r="P16" s="108">
        <v>0</v>
      </c>
      <c r="Q16" s="108">
        <v>0</v>
      </c>
      <c r="R16" s="108">
        <v>0</v>
      </c>
      <c r="S16" s="108">
        <v>0</v>
      </c>
      <c r="T16" s="108">
        <v>0</v>
      </c>
      <c r="U16" s="108">
        <v>0</v>
      </c>
      <c r="V16" s="108">
        <v>0</v>
      </c>
      <c r="W16" s="108">
        <v>0</v>
      </c>
      <c r="X16" s="108">
        <v>0</v>
      </c>
      <c r="Y16" s="108">
        <v>0</v>
      </c>
      <c r="Z16" s="108">
        <v>0</v>
      </c>
      <c r="AA16" s="108">
        <v>0</v>
      </c>
      <c r="AB16" s="108">
        <v>0</v>
      </c>
      <c r="AC16" s="108">
        <v>0</v>
      </c>
      <c r="AD16" s="108">
        <v>0</v>
      </c>
      <c r="AE16" s="108">
        <v>0</v>
      </c>
      <c r="AF16" s="108">
        <v>0</v>
      </c>
      <c r="AG16" s="108">
        <v>0</v>
      </c>
      <c r="AH16" s="108">
        <v>0</v>
      </c>
      <c r="AI16" s="108">
        <v>0</v>
      </c>
      <c r="AJ16" s="108">
        <v>0</v>
      </c>
      <c r="AK16" s="108">
        <v>0</v>
      </c>
      <c r="AL16" s="108">
        <v>0</v>
      </c>
      <c r="AM16" s="108">
        <v>0</v>
      </c>
      <c r="AN16" s="108">
        <v>0</v>
      </c>
      <c r="AO16" s="108">
        <v>0</v>
      </c>
      <c r="AP16" s="108">
        <v>0</v>
      </c>
      <c r="AQ16" s="109">
        <v>0</v>
      </c>
    </row>
    <row r="17" spans="2:43" ht="12" customHeight="1" x14ac:dyDescent="0.25">
      <c r="B17" s="107" t="s">
        <v>33</v>
      </c>
      <c r="C17" s="108" t="s">
        <v>34</v>
      </c>
      <c r="D17" s="108" t="s">
        <v>25</v>
      </c>
      <c r="E17" s="108" t="s">
        <v>25</v>
      </c>
      <c r="F17" s="108" t="s">
        <v>25</v>
      </c>
      <c r="G17" s="108" t="s">
        <v>35</v>
      </c>
      <c r="H17" s="108" t="s">
        <v>71</v>
      </c>
      <c r="I17" s="108" t="s">
        <v>25</v>
      </c>
      <c r="J17" s="108">
        <v>0</v>
      </c>
      <c r="K17" s="108">
        <v>0</v>
      </c>
      <c r="L17" s="108">
        <v>0</v>
      </c>
      <c r="M17" s="108">
        <v>0</v>
      </c>
      <c r="N17" s="108">
        <v>0</v>
      </c>
      <c r="O17" s="108">
        <v>0</v>
      </c>
      <c r="P17" s="108">
        <v>0</v>
      </c>
      <c r="Q17" s="108">
        <v>0</v>
      </c>
      <c r="R17" s="108">
        <v>0</v>
      </c>
      <c r="S17" s="108">
        <v>0</v>
      </c>
      <c r="T17" s="108">
        <v>0</v>
      </c>
      <c r="U17" s="108">
        <v>0</v>
      </c>
      <c r="V17" s="108">
        <v>0</v>
      </c>
      <c r="W17" s="108">
        <v>0</v>
      </c>
      <c r="X17" s="108">
        <v>0</v>
      </c>
      <c r="Y17" s="108">
        <v>0</v>
      </c>
      <c r="Z17" s="108">
        <v>0</v>
      </c>
      <c r="AA17" s="108">
        <v>0</v>
      </c>
      <c r="AB17" s="108">
        <v>0</v>
      </c>
      <c r="AC17" s="108">
        <v>0</v>
      </c>
      <c r="AD17" s="108">
        <v>0</v>
      </c>
      <c r="AE17" s="108">
        <v>0</v>
      </c>
      <c r="AF17" s="108">
        <v>0</v>
      </c>
      <c r="AG17" s="108">
        <v>0</v>
      </c>
      <c r="AH17" s="108">
        <v>0</v>
      </c>
      <c r="AI17" s="108">
        <v>0</v>
      </c>
      <c r="AJ17" s="108">
        <v>0</v>
      </c>
      <c r="AK17" s="108">
        <v>0</v>
      </c>
      <c r="AL17" s="108">
        <v>0</v>
      </c>
      <c r="AM17" s="108">
        <v>0</v>
      </c>
      <c r="AN17" s="108">
        <v>0</v>
      </c>
      <c r="AO17" s="108">
        <v>0</v>
      </c>
      <c r="AP17" s="108">
        <v>0</v>
      </c>
      <c r="AQ17" s="109">
        <v>0</v>
      </c>
    </row>
    <row r="18" spans="2:43" ht="12" customHeight="1" x14ac:dyDescent="0.25">
      <c r="B18" s="107" t="s">
        <v>33</v>
      </c>
      <c r="C18" s="108" t="s">
        <v>34</v>
      </c>
      <c r="D18" s="108" t="s">
        <v>25</v>
      </c>
      <c r="E18" s="108" t="s">
        <v>25</v>
      </c>
      <c r="F18" s="108" t="s">
        <v>25</v>
      </c>
      <c r="G18" s="108" t="s">
        <v>25</v>
      </c>
      <c r="H18" s="108" t="s">
        <v>76</v>
      </c>
      <c r="I18" s="108" t="s">
        <v>25</v>
      </c>
      <c r="J18" s="108">
        <v>0</v>
      </c>
      <c r="K18" s="108">
        <v>0</v>
      </c>
      <c r="L18" s="108">
        <v>0</v>
      </c>
      <c r="M18" s="108">
        <v>0</v>
      </c>
      <c r="N18" s="108">
        <v>0</v>
      </c>
      <c r="O18" s="108">
        <v>0</v>
      </c>
      <c r="P18" s="108">
        <v>0</v>
      </c>
      <c r="Q18" s="108">
        <v>0</v>
      </c>
      <c r="R18" s="108">
        <v>0</v>
      </c>
      <c r="S18" s="108">
        <v>0</v>
      </c>
      <c r="T18" s="108">
        <v>0</v>
      </c>
      <c r="U18" s="108">
        <v>0</v>
      </c>
      <c r="V18" s="108">
        <v>0</v>
      </c>
      <c r="W18" s="108">
        <v>0</v>
      </c>
      <c r="X18" s="108">
        <v>0</v>
      </c>
      <c r="Y18" s="108">
        <v>0</v>
      </c>
      <c r="Z18" s="108">
        <v>0</v>
      </c>
      <c r="AA18" s="108">
        <v>0</v>
      </c>
      <c r="AB18" s="108">
        <v>0</v>
      </c>
      <c r="AC18" s="108">
        <v>0</v>
      </c>
      <c r="AD18" s="108">
        <v>0</v>
      </c>
      <c r="AE18" s="108">
        <v>0</v>
      </c>
      <c r="AF18" s="108">
        <v>0</v>
      </c>
      <c r="AG18" s="108">
        <v>0</v>
      </c>
      <c r="AH18" s="108">
        <v>0</v>
      </c>
      <c r="AI18" s="108">
        <v>0</v>
      </c>
      <c r="AJ18" s="108">
        <v>0</v>
      </c>
      <c r="AK18" s="108">
        <v>0</v>
      </c>
      <c r="AL18" s="108">
        <v>0</v>
      </c>
      <c r="AM18" s="108">
        <v>0</v>
      </c>
      <c r="AN18" s="108">
        <v>0</v>
      </c>
      <c r="AO18" s="108">
        <v>0</v>
      </c>
      <c r="AP18" s="108">
        <v>0</v>
      </c>
      <c r="AQ18" s="109">
        <v>0</v>
      </c>
    </row>
    <row r="19" spans="2:43" ht="12" customHeight="1" x14ac:dyDescent="0.25">
      <c r="B19" s="107" t="s">
        <v>33</v>
      </c>
      <c r="C19" s="108" t="s">
        <v>34</v>
      </c>
      <c r="D19" s="108" t="s">
        <v>25</v>
      </c>
      <c r="E19" s="108" t="s">
        <v>25</v>
      </c>
      <c r="F19" s="108" t="s">
        <v>25</v>
      </c>
      <c r="G19" s="108" t="s">
        <v>36</v>
      </c>
      <c r="H19" s="108" t="s">
        <v>71</v>
      </c>
      <c r="I19" s="108" t="s">
        <v>25</v>
      </c>
      <c r="J19" s="108">
        <v>0</v>
      </c>
      <c r="K19" s="108">
        <v>0</v>
      </c>
      <c r="L19" s="108">
        <v>0</v>
      </c>
      <c r="M19" s="108">
        <v>0</v>
      </c>
      <c r="N19" s="108">
        <v>0</v>
      </c>
      <c r="O19" s="108">
        <v>0</v>
      </c>
      <c r="P19" s="108">
        <v>0</v>
      </c>
      <c r="Q19" s="108">
        <v>0</v>
      </c>
      <c r="R19" s="108">
        <v>0</v>
      </c>
      <c r="S19" s="108">
        <v>0</v>
      </c>
      <c r="T19" s="108">
        <v>0</v>
      </c>
      <c r="U19" s="108">
        <v>0</v>
      </c>
      <c r="V19" s="108">
        <v>0</v>
      </c>
      <c r="W19" s="108">
        <v>0</v>
      </c>
      <c r="X19" s="108">
        <v>0</v>
      </c>
      <c r="Y19" s="108">
        <v>0</v>
      </c>
      <c r="Z19" s="108">
        <v>0</v>
      </c>
      <c r="AA19" s="108">
        <v>0</v>
      </c>
      <c r="AB19" s="108">
        <v>0</v>
      </c>
      <c r="AC19" s="108">
        <v>0</v>
      </c>
      <c r="AD19" s="108">
        <v>0</v>
      </c>
      <c r="AE19" s="108">
        <v>0</v>
      </c>
      <c r="AF19" s="108">
        <v>0</v>
      </c>
      <c r="AG19" s="108">
        <v>0</v>
      </c>
      <c r="AH19" s="108">
        <v>0</v>
      </c>
      <c r="AI19" s="108">
        <v>0</v>
      </c>
      <c r="AJ19" s="108">
        <v>0</v>
      </c>
      <c r="AK19" s="108">
        <v>0</v>
      </c>
      <c r="AL19" s="108">
        <v>0</v>
      </c>
      <c r="AM19" s="108">
        <v>0</v>
      </c>
      <c r="AN19" s="108">
        <v>0</v>
      </c>
      <c r="AO19" s="108">
        <v>0</v>
      </c>
      <c r="AP19" s="108">
        <v>0</v>
      </c>
      <c r="AQ19" s="109">
        <v>0</v>
      </c>
    </row>
    <row r="20" spans="2:43" ht="12" customHeight="1" x14ac:dyDescent="0.25">
      <c r="B20" s="107" t="s">
        <v>81</v>
      </c>
      <c r="C20" s="108" t="s">
        <v>80</v>
      </c>
      <c r="D20" s="108" t="s">
        <v>25</v>
      </c>
      <c r="E20" s="108" t="s">
        <v>25</v>
      </c>
      <c r="F20" s="108" t="s">
        <v>82</v>
      </c>
      <c r="G20" s="108" t="s">
        <v>25</v>
      </c>
      <c r="H20" s="108" t="s">
        <v>76</v>
      </c>
      <c r="I20" s="108" t="s">
        <v>25</v>
      </c>
      <c r="J20" s="108">
        <v>0</v>
      </c>
      <c r="K20" s="108">
        <v>0</v>
      </c>
      <c r="L20" s="108">
        <v>0</v>
      </c>
      <c r="M20" s="108">
        <v>0</v>
      </c>
      <c r="N20" s="108">
        <v>0</v>
      </c>
      <c r="O20" s="108">
        <v>0</v>
      </c>
      <c r="P20" s="108">
        <v>0</v>
      </c>
      <c r="Q20" s="108">
        <v>0</v>
      </c>
      <c r="R20" s="108">
        <v>0</v>
      </c>
      <c r="S20" s="108">
        <v>0</v>
      </c>
      <c r="T20" s="108">
        <v>0</v>
      </c>
      <c r="U20" s="108">
        <v>0</v>
      </c>
      <c r="V20" s="108">
        <v>0</v>
      </c>
      <c r="W20" s="108">
        <v>0</v>
      </c>
      <c r="X20" s="108">
        <v>0</v>
      </c>
      <c r="Y20" s="108">
        <v>0</v>
      </c>
      <c r="Z20" s="108">
        <v>0</v>
      </c>
      <c r="AA20" s="108">
        <v>0</v>
      </c>
      <c r="AB20" s="108">
        <v>0</v>
      </c>
      <c r="AC20" s="108">
        <v>0</v>
      </c>
      <c r="AD20" s="108">
        <v>0</v>
      </c>
      <c r="AE20" s="108">
        <v>0</v>
      </c>
      <c r="AF20" s="108">
        <v>0</v>
      </c>
      <c r="AG20" s="108">
        <v>0</v>
      </c>
      <c r="AH20" s="108">
        <v>0</v>
      </c>
      <c r="AI20" s="108">
        <v>0</v>
      </c>
      <c r="AJ20" s="108">
        <v>0</v>
      </c>
      <c r="AK20" s="108">
        <v>0</v>
      </c>
      <c r="AL20" s="108">
        <v>0</v>
      </c>
      <c r="AM20" s="108">
        <v>0</v>
      </c>
      <c r="AN20" s="108">
        <v>0</v>
      </c>
      <c r="AO20" s="108">
        <v>0</v>
      </c>
      <c r="AP20" s="108">
        <v>0</v>
      </c>
      <c r="AQ20" s="109">
        <v>0</v>
      </c>
    </row>
    <row r="21" spans="2:43" ht="12" customHeight="1" x14ac:dyDescent="0.25">
      <c r="B21" s="107" t="s">
        <v>81</v>
      </c>
      <c r="C21" s="108" t="s">
        <v>80</v>
      </c>
      <c r="D21" s="108" t="s">
        <v>25</v>
      </c>
      <c r="E21" s="108" t="s">
        <v>25</v>
      </c>
      <c r="F21" s="108" t="s">
        <v>83</v>
      </c>
      <c r="G21" s="108" t="s">
        <v>25</v>
      </c>
      <c r="H21" s="108" t="s">
        <v>76</v>
      </c>
      <c r="I21" s="108" t="s">
        <v>25</v>
      </c>
      <c r="J21" s="108">
        <v>0</v>
      </c>
      <c r="K21" s="108">
        <v>0</v>
      </c>
      <c r="L21" s="108">
        <v>0</v>
      </c>
      <c r="M21" s="108">
        <v>0</v>
      </c>
      <c r="N21" s="108">
        <v>0</v>
      </c>
      <c r="O21" s="108">
        <v>0</v>
      </c>
      <c r="P21" s="108">
        <v>0</v>
      </c>
      <c r="Q21" s="108">
        <v>0</v>
      </c>
      <c r="R21" s="108">
        <v>0</v>
      </c>
      <c r="S21" s="108">
        <v>0</v>
      </c>
      <c r="T21" s="108">
        <v>0</v>
      </c>
      <c r="U21" s="108">
        <v>0</v>
      </c>
      <c r="V21" s="108">
        <v>0</v>
      </c>
      <c r="W21" s="108">
        <v>0</v>
      </c>
      <c r="X21" s="108">
        <v>0</v>
      </c>
      <c r="Y21" s="108">
        <v>0</v>
      </c>
      <c r="Z21" s="108">
        <v>0</v>
      </c>
      <c r="AA21" s="108">
        <v>0</v>
      </c>
      <c r="AB21" s="108">
        <v>0</v>
      </c>
      <c r="AC21" s="108">
        <v>0</v>
      </c>
      <c r="AD21" s="108">
        <v>0</v>
      </c>
      <c r="AE21" s="108">
        <v>0</v>
      </c>
      <c r="AF21" s="108">
        <v>0</v>
      </c>
      <c r="AG21" s="108">
        <v>0</v>
      </c>
      <c r="AH21" s="108">
        <v>0</v>
      </c>
      <c r="AI21" s="108">
        <v>0</v>
      </c>
      <c r="AJ21" s="108">
        <v>0</v>
      </c>
      <c r="AK21" s="108">
        <v>0</v>
      </c>
      <c r="AL21" s="108">
        <v>0</v>
      </c>
      <c r="AM21" s="108">
        <v>0</v>
      </c>
      <c r="AN21" s="108">
        <v>0</v>
      </c>
      <c r="AO21" s="108">
        <v>0</v>
      </c>
      <c r="AP21" s="108">
        <v>0</v>
      </c>
      <c r="AQ21" s="109">
        <v>0</v>
      </c>
    </row>
    <row r="22" spans="2:43" ht="12" customHeight="1" x14ac:dyDescent="0.25">
      <c r="B22" s="107" t="s">
        <v>22</v>
      </c>
      <c r="C22" s="108" t="s">
        <v>37</v>
      </c>
      <c r="D22" s="108" t="s">
        <v>24</v>
      </c>
      <c r="E22" s="108" t="s">
        <v>24</v>
      </c>
      <c r="F22" s="108" t="s">
        <v>25</v>
      </c>
      <c r="G22" s="108" t="s">
        <v>35</v>
      </c>
      <c r="H22" s="108" t="s">
        <v>71</v>
      </c>
      <c r="I22" s="108" t="s">
        <v>25</v>
      </c>
      <c r="J22" s="108">
        <v>0</v>
      </c>
      <c r="K22" s="108">
        <v>0</v>
      </c>
      <c r="L22" s="108">
        <v>0</v>
      </c>
      <c r="M22" s="108">
        <v>0</v>
      </c>
      <c r="N22" s="108">
        <v>0</v>
      </c>
      <c r="O22" s="108">
        <v>0</v>
      </c>
      <c r="P22" s="108">
        <v>0</v>
      </c>
      <c r="Q22" s="108">
        <v>0</v>
      </c>
      <c r="R22" s="108">
        <v>0</v>
      </c>
      <c r="S22" s="108">
        <v>0</v>
      </c>
      <c r="T22" s="108">
        <v>0</v>
      </c>
      <c r="U22" s="108">
        <v>0</v>
      </c>
      <c r="V22" s="108">
        <v>0</v>
      </c>
      <c r="W22" s="108">
        <v>0</v>
      </c>
      <c r="X22" s="108">
        <v>0</v>
      </c>
      <c r="Y22" s="108">
        <v>0</v>
      </c>
      <c r="Z22" s="108">
        <v>0</v>
      </c>
      <c r="AA22" s="108">
        <v>0</v>
      </c>
      <c r="AB22" s="108">
        <v>0</v>
      </c>
      <c r="AC22" s="108">
        <v>0</v>
      </c>
      <c r="AD22" s="108">
        <v>0</v>
      </c>
      <c r="AE22" s="108">
        <v>0</v>
      </c>
      <c r="AF22" s="108">
        <v>0</v>
      </c>
      <c r="AG22" s="108">
        <v>0</v>
      </c>
      <c r="AH22" s="108">
        <v>0</v>
      </c>
      <c r="AI22" s="108">
        <v>0</v>
      </c>
      <c r="AJ22" s="108">
        <v>0</v>
      </c>
      <c r="AK22" s="108">
        <v>0</v>
      </c>
      <c r="AL22" s="108">
        <v>0</v>
      </c>
      <c r="AM22" s="108">
        <v>0</v>
      </c>
      <c r="AN22" s="108">
        <v>0</v>
      </c>
      <c r="AO22" s="108">
        <v>0</v>
      </c>
      <c r="AP22" s="108">
        <v>0</v>
      </c>
      <c r="AQ22" s="109">
        <v>0</v>
      </c>
    </row>
    <row r="23" spans="2:43" ht="12" customHeight="1" x14ac:dyDescent="0.25">
      <c r="B23" s="107" t="s">
        <v>22</v>
      </c>
      <c r="C23" s="108" t="s">
        <v>37</v>
      </c>
      <c r="D23" s="108" t="s">
        <v>24</v>
      </c>
      <c r="E23" s="108" t="s">
        <v>24</v>
      </c>
      <c r="F23" s="108" t="s">
        <v>25</v>
      </c>
      <c r="G23" s="108" t="s">
        <v>38</v>
      </c>
      <c r="H23" s="108" t="s">
        <v>71</v>
      </c>
      <c r="I23" s="108" t="s">
        <v>25</v>
      </c>
      <c r="J23" s="108">
        <v>0</v>
      </c>
      <c r="K23" s="108">
        <v>0</v>
      </c>
      <c r="L23" s="108">
        <v>0</v>
      </c>
      <c r="M23" s="108">
        <v>0</v>
      </c>
      <c r="N23" s="108">
        <v>0</v>
      </c>
      <c r="O23" s="108">
        <v>0</v>
      </c>
      <c r="P23" s="108">
        <v>0</v>
      </c>
      <c r="Q23" s="108">
        <v>0</v>
      </c>
      <c r="R23" s="108">
        <v>0</v>
      </c>
      <c r="S23" s="108">
        <v>0</v>
      </c>
      <c r="T23" s="108">
        <v>0</v>
      </c>
      <c r="U23" s="108">
        <v>0</v>
      </c>
      <c r="V23" s="108">
        <v>0</v>
      </c>
      <c r="W23" s="108">
        <v>0</v>
      </c>
      <c r="X23" s="108">
        <v>0</v>
      </c>
      <c r="Y23" s="108">
        <v>0</v>
      </c>
      <c r="Z23" s="108">
        <v>0</v>
      </c>
      <c r="AA23" s="108">
        <v>0</v>
      </c>
      <c r="AB23" s="108">
        <v>0</v>
      </c>
      <c r="AC23" s="108">
        <v>0</v>
      </c>
      <c r="AD23" s="108">
        <v>0</v>
      </c>
      <c r="AE23" s="108">
        <v>0</v>
      </c>
      <c r="AF23" s="108">
        <v>0</v>
      </c>
      <c r="AG23" s="108">
        <v>0</v>
      </c>
      <c r="AH23" s="108">
        <v>0</v>
      </c>
      <c r="AI23" s="108">
        <v>0</v>
      </c>
      <c r="AJ23" s="108">
        <v>0</v>
      </c>
      <c r="AK23" s="108">
        <v>0</v>
      </c>
      <c r="AL23" s="108">
        <v>0</v>
      </c>
      <c r="AM23" s="108">
        <v>0</v>
      </c>
      <c r="AN23" s="108">
        <v>0</v>
      </c>
      <c r="AO23" s="108">
        <v>0</v>
      </c>
      <c r="AP23" s="108">
        <v>0</v>
      </c>
      <c r="AQ23" s="109">
        <v>0</v>
      </c>
    </row>
    <row r="24" spans="2:43" ht="12" customHeight="1" x14ac:dyDescent="0.25">
      <c r="B24" s="107" t="s">
        <v>22</v>
      </c>
      <c r="C24" s="108" t="s">
        <v>37</v>
      </c>
      <c r="D24" s="108" t="s">
        <v>24</v>
      </c>
      <c r="E24" s="108" t="s">
        <v>24</v>
      </c>
      <c r="F24" s="108" t="s">
        <v>25</v>
      </c>
      <c r="G24" s="108" t="s">
        <v>36</v>
      </c>
      <c r="H24" s="108" t="s">
        <v>71</v>
      </c>
      <c r="I24" s="108" t="s">
        <v>25</v>
      </c>
      <c r="J24" s="108">
        <v>0</v>
      </c>
      <c r="K24" s="108">
        <v>0</v>
      </c>
      <c r="L24" s="108">
        <v>0</v>
      </c>
      <c r="M24" s="108">
        <v>0</v>
      </c>
      <c r="N24" s="108">
        <v>0</v>
      </c>
      <c r="O24" s="108">
        <v>0</v>
      </c>
      <c r="P24" s="108">
        <v>0</v>
      </c>
      <c r="Q24" s="108">
        <v>0</v>
      </c>
      <c r="R24" s="108">
        <v>0</v>
      </c>
      <c r="S24" s="108">
        <v>0</v>
      </c>
      <c r="T24" s="108">
        <v>0</v>
      </c>
      <c r="U24" s="108">
        <v>0</v>
      </c>
      <c r="V24" s="108">
        <v>0</v>
      </c>
      <c r="W24" s="108">
        <v>0</v>
      </c>
      <c r="X24" s="108">
        <v>0</v>
      </c>
      <c r="Y24" s="108">
        <v>0</v>
      </c>
      <c r="Z24" s="108">
        <v>0</v>
      </c>
      <c r="AA24" s="108">
        <v>0</v>
      </c>
      <c r="AB24" s="108">
        <v>0</v>
      </c>
      <c r="AC24" s="108">
        <v>0</v>
      </c>
      <c r="AD24" s="108">
        <v>0</v>
      </c>
      <c r="AE24" s="108">
        <v>0</v>
      </c>
      <c r="AF24" s="108">
        <v>0</v>
      </c>
      <c r="AG24" s="108">
        <v>0</v>
      </c>
      <c r="AH24" s="108">
        <v>0</v>
      </c>
      <c r="AI24" s="108">
        <v>0</v>
      </c>
      <c r="AJ24" s="108">
        <v>0</v>
      </c>
      <c r="AK24" s="108">
        <v>0</v>
      </c>
      <c r="AL24" s="108">
        <v>0</v>
      </c>
      <c r="AM24" s="108">
        <v>0</v>
      </c>
      <c r="AN24" s="108">
        <v>0</v>
      </c>
      <c r="AO24" s="108">
        <v>0</v>
      </c>
      <c r="AP24" s="108">
        <v>0</v>
      </c>
      <c r="AQ24" s="109">
        <v>0</v>
      </c>
    </row>
    <row r="25" spans="2:43" ht="12" customHeight="1" x14ac:dyDescent="0.25">
      <c r="B25" s="107" t="s">
        <v>22</v>
      </c>
      <c r="C25" s="108" t="s">
        <v>23</v>
      </c>
      <c r="D25" s="108" t="s">
        <v>24</v>
      </c>
      <c r="E25" s="108" t="s">
        <v>1121</v>
      </c>
      <c r="F25" s="108" t="s">
        <v>25</v>
      </c>
      <c r="G25" s="108" t="s">
        <v>25</v>
      </c>
      <c r="H25" s="108" t="s">
        <v>71</v>
      </c>
      <c r="I25" s="108" t="s">
        <v>25</v>
      </c>
      <c r="J25" s="108">
        <v>0</v>
      </c>
      <c r="K25" s="108">
        <v>0</v>
      </c>
      <c r="L25" s="108">
        <v>0</v>
      </c>
      <c r="M25" s="108">
        <v>0</v>
      </c>
      <c r="N25" s="108">
        <v>0</v>
      </c>
      <c r="O25" s="108">
        <v>0</v>
      </c>
      <c r="P25" s="108">
        <v>0</v>
      </c>
      <c r="Q25" s="108">
        <v>0</v>
      </c>
      <c r="R25" s="108">
        <v>0</v>
      </c>
      <c r="S25" s="108">
        <v>0</v>
      </c>
      <c r="T25" s="108">
        <v>0</v>
      </c>
      <c r="U25" s="108">
        <v>0</v>
      </c>
      <c r="V25" s="108">
        <v>0</v>
      </c>
      <c r="W25" s="108">
        <v>0</v>
      </c>
      <c r="X25" s="108">
        <v>0</v>
      </c>
      <c r="Y25" s="108">
        <v>0</v>
      </c>
      <c r="Z25" s="108">
        <v>0</v>
      </c>
      <c r="AA25" s="108">
        <v>0</v>
      </c>
      <c r="AB25" s="108">
        <v>0</v>
      </c>
      <c r="AC25" s="108">
        <v>0</v>
      </c>
      <c r="AD25" s="108">
        <v>0</v>
      </c>
      <c r="AE25" s="108">
        <v>0</v>
      </c>
      <c r="AF25" s="108">
        <v>0</v>
      </c>
      <c r="AG25" s="108">
        <v>0</v>
      </c>
      <c r="AH25" s="108">
        <v>0</v>
      </c>
      <c r="AI25" s="108">
        <v>0</v>
      </c>
      <c r="AJ25" s="108">
        <v>0</v>
      </c>
      <c r="AK25" s="108">
        <v>0</v>
      </c>
      <c r="AL25" s="108">
        <v>0</v>
      </c>
      <c r="AM25" s="108">
        <v>0</v>
      </c>
      <c r="AN25" s="108">
        <v>0</v>
      </c>
      <c r="AO25" s="108">
        <v>0</v>
      </c>
      <c r="AP25" s="108">
        <v>0</v>
      </c>
      <c r="AQ25" s="109">
        <v>0</v>
      </c>
    </row>
    <row r="26" spans="2:43" ht="12" customHeight="1" x14ac:dyDescent="0.25">
      <c r="B26" s="107" t="s">
        <v>22</v>
      </c>
      <c r="C26" s="108" t="s">
        <v>23</v>
      </c>
      <c r="D26" s="108" t="s">
        <v>24</v>
      </c>
      <c r="E26" s="108" t="s">
        <v>24</v>
      </c>
      <c r="F26" s="108" t="s">
        <v>25</v>
      </c>
      <c r="G26" s="108" t="s">
        <v>25</v>
      </c>
      <c r="H26" s="108" t="s">
        <v>71</v>
      </c>
      <c r="I26" s="108" t="s">
        <v>25</v>
      </c>
      <c r="J26" s="108">
        <v>0</v>
      </c>
      <c r="K26" s="108">
        <v>0</v>
      </c>
      <c r="L26" s="108">
        <v>0</v>
      </c>
      <c r="M26" s="108">
        <v>0</v>
      </c>
      <c r="N26" s="108">
        <v>0</v>
      </c>
      <c r="O26" s="108">
        <v>0</v>
      </c>
      <c r="P26" s="108">
        <v>0</v>
      </c>
      <c r="Q26" s="108">
        <v>0</v>
      </c>
      <c r="R26" s="108">
        <v>0</v>
      </c>
      <c r="S26" s="108">
        <v>0</v>
      </c>
      <c r="T26" s="108">
        <v>0</v>
      </c>
      <c r="U26" s="108">
        <v>0</v>
      </c>
      <c r="V26" s="108">
        <v>0</v>
      </c>
      <c r="W26" s="108">
        <v>0</v>
      </c>
      <c r="X26" s="108">
        <v>0</v>
      </c>
      <c r="Y26" s="108">
        <v>0</v>
      </c>
      <c r="Z26" s="108">
        <v>0</v>
      </c>
      <c r="AA26" s="108">
        <v>0</v>
      </c>
      <c r="AB26" s="108">
        <v>0</v>
      </c>
      <c r="AC26" s="108">
        <v>0</v>
      </c>
      <c r="AD26" s="108">
        <v>0</v>
      </c>
      <c r="AE26" s="108">
        <v>0</v>
      </c>
      <c r="AF26" s="108">
        <v>0</v>
      </c>
      <c r="AG26" s="108">
        <v>0</v>
      </c>
      <c r="AH26" s="108">
        <v>0</v>
      </c>
      <c r="AI26" s="108">
        <v>0</v>
      </c>
      <c r="AJ26" s="108">
        <v>0</v>
      </c>
      <c r="AK26" s="108">
        <v>0</v>
      </c>
      <c r="AL26" s="108">
        <v>0</v>
      </c>
      <c r="AM26" s="108">
        <v>0</v>
      </c>
      <c r="AN26" s="108">
        <v>0</v>
      </c>
      <c r="AO26" s="108">
        <v>0</v>
      </c>
      <c r="AP26" s="108">
        <v>0</v>
      </c>
      <c r="AQ26" s="109">
        <v>0</v>
      </c>
    </row>
    <row r="27" spans="2:43" ht="12" customHeight="1" x14ac:dyDescent="0.25">
      <c r="B27" s="107" t="s">
        <v>22</v>
      </c>
      <c r="C27" s="108" t="s">
        <v>86</v>
      </c>
      <c r="D27" s="108" t="s">
        <v>24</v>
      </c>
      <c r="E27" s="108" t="s">
        <v>1121</v>
      </c>
      <c r="F27" s="108" t="s">
        <v>25</v>
      </c>
      <c r="G27" s="108" t="s">
        <v>25</v>
      </c>
      <c r="H27" s="108" t="s">
        <v>71</v>
      </c>
      <c r="I27" s="108" t="s">
        <v>25</v>
      </c>
      <c r="J27" s="108">
        <v>0</v>
      </c>
      <c r="K27" s="108">
        <v>0</v>
      </c>
      <c r="L27" s="108">
        <v>0</v>
      </c>
      <c r="M27" s="108">
        <v>0</v>
      </c>
      <c r="N27" s="108">
        <v>0</v>
      </c>
      <c r="O27" s="108">
        <v>0</v>
      </c>
      <c r="P27" s="108">
        <v>0</v>
      </c>
      <c r="Q27" s="108">
        <v>0</v>
      </c>
      <c r="R27" s="108">
        <v>0</v>
      </c>
      <c r="S27" s="108">
        <v>0</v>
      </c>
      <c r="T27" s="108">
        <v>0</v>
      </c>
      <c r="U27" s="108">
        <v>0</v>
      </c>
      <c r="V27" s="108">
        <v>0</v>
      </c>
      <c r="W27" s="108">
        <v>0</v>
      </c>
      <c r="X27" s="108">
        <v>0</v>
      </c>
      <c r="Y27" s="108">
        <v>0</v>
      </c>
      <c r="Z27" s="108">
        <v>0</v>
      </c>
      <c r="AA27" s="108">
        <v>0</v>
      </c>
      <c r="AB27" s="108">
        <v>0</v>
      </c>
      <c r="AC27" s="108">
        <v>0</v>
      </c>
      <c r="AD27" s="108">
        <v>0</v>
      </c>
      <c r="AE27" s="108">
        <v>0</v>
      </c>
      <c r="AF27" s="108">
        <v>0</v>
      </c>
      <c r="AG27" s="108">
        <v>0</v>
      </c>
      <c r="AH27" s="108">
        <v>0</v>
      </c>
      <c r="AI27" s="108">
        <v>0</v>
      </c>
      <c r="AJ27" s="108">
        <v>0</v>
      </c>
      <c r="AK27" s="108">
        <v>0</v>
      </c>
      <c r="AL27" s="108">
        <v>0</v>
      </c>
      <c r="AM27" s="108">
        <v>0</v>
      </c>
      <c r="AN27" s="108">
        <v>0</v>
      </c>
      <c r="AO27" s="108">
        <v>0</v>
      </c>
      <c r="AP27" s="108">
        <v>0</v>
      </c>
      <c r="AQ27" s="109">
        <v>0</v>
      </c>
    </row>
    <row r="28" spans="2:43" ht="12" customHeight="1" x14ac:dyDescent="0.25">
      <c r="B28" s="107" t="s">
        <v>22</v>
      </c>
      <c r="C28" s="108" t="s">
        <v>86</v>
      </c>
      <c r="D28" s="108" t="s">
        <v>24</v>
      </c>
      <c r="E28" s="108" t="s">
        <v>24</v>
      </c>
      <c r="F28" s="108" t="s">
        <v>25</v>
      </c>
      <c r="G28" s="108" t="s">
        <v>25</v>
      </c>
      <c r="H28" s="108" t="s">
        <v>71</v>
      </c>
      <c r="I28" s="108" t="s">
        <v>25</v>
      </c>
      <c r="J28" s="108">
        <v>0</v>
      </c>
      <c r="K28" s="108">
        <v>0</v>
      </c>
      <c r="L28" s="108">
        <v>0</v>
      </c>
      <c r="M28" s="108">
        <v>0</v>
      </c>
      <c r="N28" s="108">
        <v>0</v>
      </c>
      <c r="O28" s="108">
        <v>0</v>
      </c>
      <c r="P28" s="108">
        <v>0</v>
      </c>
      <c r="Q28" s="108">
        <v>0</v>
      </c>
      <c r="R28" s="108">
        <v>0</v>
      </c>
      <c r="S28" s="108">
        <v>0</v>
      </c>
      <c r="T28" s="108">
        <v>0</v>
      </c>
      <c r="U28" s="108">
        <v>0</v>
      </c>
      <c r="V28" s="108">
        <v>0</v>
      </c>
      <c r="W28" s="108">
        <v>0</v>
      </c>
      <c r="X28" s="108">
        <v>0</v>
      </c>
      <c r="Y28" s="108">
        <v>0</v>
      </c>
      <c r="Z28" s="108">
        <v>0</v>
      </c>
      <c r="AA28" s="108">
        <v>0</v>
      </c>
      <c r="AB28" s="108">
        <v>0</v>
      </c>
      <c r="AC28" s="108">
        <v>0</v>
      </c>
      <c r="AD28" s="108">
        <v>0</v>
      </c>
      <c r="AE28" s="108">
        <v>0</v>
      </c>
      <c r="AF28" s="108">
        <v>0</v>
      </c>
      <c r="AG28" s="108">
        <v>0</v>
      </c>
      <c r="AH28" s="108">
        <v>0</v>
      </c>
      <c r="AI28" s="108">
        <v>0</v>
      </c>
      <c r="AJ28" s="108">
        <v>0</v>
      </c>
      <c r="AK28" s="108">
        <v>0</v>
      </c>
      <c r="AL28" s="108">
        <v>0</v>
      </c>
      <c r="AM28" s="108">
        <v>0</v>
      </c>
      <c r="AN28" s="108">
        <v>0</v>
      </c>
      <c r="AO28" s="108">
        <v>0</v>
      </c>
      <c r="AP28" s="108">
        <v>0</v>
      </c>
      <c r="AQ28" s="109">
        <v>0</v>
      </c>
    </row>
    <row r="29" spans="2:43" ht="12" customHeight="1" x14ac:dyDescent="0.25">
      <c r="B29" s="107" t="s">
        <v>43</v>
      </c>
      <c r="C29" s="108" t="s">
        <v>37</v>
      </c>
      <c r="D29" s="108" t="s">
        <v>44</v>
      </c>
      <c r="E29" s="108" t="s">
        <v>87</v>
      </c>
      <c r="F29" s="108" t="s">
        <v>25</v>
      </c>
      <c r="G29" s="108" t="s">
        <v>35</v>
      </c>
      <c r="H29" s="108" t="s">
        <v>71</v>
      </c>
      <c r="I29" s="108" t="s">
        <v>25</v>
      </c>
      <c r="J29" s="108">
        <v>0</v>
      </c>
      <c r="K29" s="108">
        <v>0</v>
      </c>
      <c r="L29" s="108">
        <v>0</v>
      </c>
      <c r="M29" s="108">
        <v>0</v>
      </c>
      <c r="N29" s="108">
        <v>0</v>
      </c>
      <c r="O29" s="108">
        <v>0</v>
      </c>
      <c r="P29" s="108">
        <v>0</v>
      </c>
      <c r="Q29" s="108">
        <v>0</v>
      </c>
      <c r="R29" s="108">
        <v>0</v>
      </c>
      <c r="S29" s="108">
        <v>0</v>
      </c>
      <c r="T29" s="108">
        <v>0</v>
      </c>
      <c r="U29" s="108">
        <v>0</v>
      </c>
      <c r="V29" s="108">
        <v>0</v>
      </c>
      <c r="W29" s="108">
        <v>0</v>
      </c>
      <c r="X29" s="108">
        <v>0</v>
      </c>
      <c r="Y29" s="108">
        <v>0</v>
      </c>
      <c r="Z29" s="108">
        <v>0</v>
      </c>
      <c r="AA29" s="108">
        <v>0</v>
      </c>
      <c r="AB29" s="108">
        <v>0</v>
      </c>
      <c r="AC29" s="108">
        <v>0</v>
      </c>
      <c r="AD29" s="108">
        <v>0</v>
      </c>
      <c r="AE29" s="108">
        <v>0</v>
      </c>
      <c r="AF29" s="108">
        <v>0</v>
      </c>
      <c r="AG29" s="108">
        <v>0</v>
      </c>
      <c r="AH29" s="108">
        <v>0</v>
      </c>
      <c r="AI29" s="108">
        <v>0</v>
      </c>
      <c r="AJ29" s="108">
        <v>0</v>
      </c>
      <c r="AK29" s="108">
        <v>0</v>
      </c>
      <c r="AL29" s="108">
        <v>0</v>
      </c>
      <c r="AM29" s="108">
        <v>0</v>
      </c>
      <c r="AN29" s="108">
        <v>0</v>
      </c>
      <c r="AO29" s="108">
        <v>0</v>
      </c>
      <c r="AP29" s="108">
        <v>0</v>
      </c>
      <c r="AQ29" s="109">
        <v>0</v>
      </c>
    </row>
    <row r="30" spans="2:43" ht="12" customHeight="1" x14ac:dyDescent="0.25">
      <c r="B30" s="107" t="s">
        <v>43</v>
      </c>
      <c r="C30" s="108" t="s">
        <v>37</v>
      </c>
      <c r="D30" s="108" t="s">
        <v>44</v>
      </c>
      <c r="E30" s="108" t="s">
        <v>87</v>
      </c>
      <c r="F30" s="108" t="s">
        <v>25</v>
      </c>
      <c r="G30" s="108" t="s">
        <v>38</v>
      </c>
      <c r="H30" s="108" t="s">
        <v>71</v>
      </c>
      <c r="I30" s="108" t="s">
        <v>25</v>
      </c>
      <c r="J30" s="108">
        <v>0</v>
      </c>
      <c r="K30" s="108">
        <v>0</v>
      </c>
      <c r="L30" s="108">
        <v>0</v>
      </c>
      <c r="M30" s="108">
        <v>0</v>
      </c>
      <c r="N30" s="108">
        <v>0</v>
      </c>
      <c r="O30" s="108">
        <v>0</v>
      </c>
      <c r="P30" s="108">
        <v>0</v>
      </c>
      <c r="Q30" s="108">
        <v>0</v>
      </c>
      <c r="R30" s="108">
        <v>0</v>
      </c>
      <c r="S30" s="108">
        <v>0</v>
      </c>
      <c r="T30" s="108">
        <v>0</v>
      </c>
      <c r="U30" s="108">
        <v>0</v>
      </c>
      <c r="V30" s="108">
        <v>0</v>
      </c>
      <c r="W30" s="108">
        <v>0</v>
      </c>
      <c r="X30" s="108">
        <v>0</v>
      </c>
      <c r="Y30" s="108">
        <v>0</v>
      </c>
      <c r="Z30" s="108">
        <v>0</v>
      </c>
      <c r="AA30" s="108">
        <v>0</v>
      </c>
      <c r="AB30" s="108">
        <v>0</v>
      </c>
      <c r="AC30" s="108">
        <v>0</v>
      </c>
      <c r="AD30" s="108">
        <v>0</v>
      </c>
      <c r="AE30" s="108">
        <v>0</v>
      </c>
      <c r="AF30" s="108">
        <v>0</v>
      </c>
      <c r="AG30" s="108">
        <v>0</v>
      </c>
      <c r="AH30" s="108">
        <v>0</v>
      </c>
      <c r="AI30" s="108">
        <v>0</v>
      </c>
      <c r="AJ30" s="108">
        <v>0</v>
      </c>
      <c r="AK30" s="108">
        <v>0</v>
      </c>
      <c r="AL30" s="108">
        <v>0</v>
      </c>
      <c r="AM30" s="108">
        <v>0</v>
      </c>
      <c r="AN30" s="108">
        <v>0</v>
      </c>
      <c r="AO30" s="108">
        <v>0</v>
      </c>
      <c r="AP30" s="108">
        <v>0</v>
      </c>
      <c r="AQ30" s="109">
        <v>0</v>
      </c>
    </row>
    <row r="31" spans="2:43" ht="12" customHeight="1" x14ac:dyDescent="0.25">
      <c r="B31" s="107" t="s">
        <v>43</v>
      </c>
      <c r="C31" s="108" t="s">
        <v>37</v>
      </c>
      <c r="D31" s="108" t="s">
        <v>44</v>
      </c>
      <c r="E31" s="108" t="s">
        <v>87</v>
      </c>
      <c r="F31" s="108" t="s">
        <v>25</v>
      </c>
      <c r="G31" s="108" t="s">
        <v>36</v>
      </c>
      <c r="H31" s="108" t="s">
        <v>71</v>
      </c>
      <c r="I31" s="108" t="s">
        <v>25</v>
      </c>
      <c r="J31" s="108">
        <v>0</v>
      </c>
      <c r="K31" s="108">
        <v>0</v>
      </c>
      <c r="L31" s="108">
        <v>0</v>
      </c>
      <c r="M31" s="108">
        <v>0</v>
      </c>
      <c r="N31" s="108">
        <v>0</v>
      </c>
      <c r="O31" s="108">
        <v>0</v>
      </c>
      <c r="P31" s="108">
        <v>0</v>
      </c>
      <c r="Q31" s="108">
        <v>0</v>
      </c>
      <c r="R31" s="108">
        <v>0</v>
      </c>
      <c r="S31" s="108">
        <v>0</v>
      </c>
      <c r="T31" s="108">
        <v>0</v>
      </c>
      <c r="U31" s="108">
        <v>0</v>
      </c>
      <c r="V31" s="108">
        <v>0</v>
      </c>
      <c r="W31" s="108">
        <v>0</v>
      </c>
      <c r="X31" s="108">
        <v>0</v>
      </c>
      <c r="Y31" s="108">
        <v>0</v>
      </c>
      <c r="Z31" s="108">
        <v>0</v>
      </c>
      <c r="AA31" s="108">
        <v>0</v>
      </c>
      <c r="AB31" s="108">
        <v>0</v>
      </c>
      <c r="AC31" s="108">
        <v>0</v>
      </c>
      <c r="AD31" s="108">
        <v>0</v>
      </c>
      <c r="AE31" s="108">
        <v>0</v>
      </c>
      <c r="AF31" s="108">
        <v>0</v>
      </c>
      <c r="AG31" s="108">
        <v>0</v>
      </c>
      <c r="AH31" s="108">
        <v>0</v>
      </c>
      <c r="AI31" s="108">
        <v>0</v>
      </c>
      <c r="AJ31" s="108">
        <v>0</v>
      </c>
      <c r="AK31" s="108">
        <v>0</v>
      </c>
      <c r="AL31" s="108">
        <v>0</v>
      </c>
      <c r="AM31" s="108">
        <v>0</v>
      </c>
      <c r="AN31" s="108">
        <v>0</v>
      </c>
      <c r="AO31" s="108">
        <v>0</v>
      </c>
      <c r="AP31" s="108">
        <v>0</v>
      </c>
      <c r="AQ31" s="109">
        <v>0</v>
      </c>
    </row>
    <row r="32" spans="2:43" ht="12" customHeight="1" x14ac:dyDescent="0.25">
      <c r="B32" s="107" t="s">
        <v>43</v>
      </c>
      <c r="C32" s="108" t="s">
        <v>37</v>
      </c>
      <c r="D32" s="108" t="s">
        <v>44</v>
      </c>
      <c r="E32" s="108" t="s">
        <v>25</v>
      </c>
      <c r="F32" s="108" t="s">
        <v>25</v>
      </c>
      <c r="G32" s="108" t="s">
        <v>35</v>
      </c>
      <c r="H32" s="108" t="s">
        <v>71</v>
      </c>
      <c r="I32" s="108" t="s">
        <v>25</v>
      </c>
      <c r="J32" s="108">
        <v>0</v>
      </c>
      <c r="K32" s="108">
        <v>0</v>
      </c>
      <c r="L32" s="108">
        <v>0</v>
      </c>
      <c r="M32" s="108">
        <v>0</v>
      </c>
      <c r="N32" s="108">
        <v>0</v>
      </c>
      <c r="O32" s="108">
        <v>0</v>
      </c>
      <c r="P32" s="108">
        <v>0</v>
      </c>
      <c r="Q32" s="108">
        <v>0</v>
      </c>
      <c r="R32" s="108">
        <v>0</v>
      </c>
      <c r="S32" s="108">
        <v>0</v>
      </c>
      <c r="T32" s="108">
        <v>0</v>
      </c>
      <c r="U32" s="108">
        <v>0</v>
      </c>
      <c r="V32" s="108">
        <v>0</v>
      </c>
      <c r="W32" s="108">
        <v>0</v>
      </c>
      <c r="X32" s="108">
        <v>0</v>
      </c>
      <c r="Y32" s="108">
        <v>0</v>
      </c>
      <c r="Z32" s="108">
        <v>0</v>
      </c>
      <c r="AA32" s="108">
        <v>0</v>
      </c>
      <c r="AB32" s="108">
        <v>0</v>
      </c>
      <c r="AC32" s="108">
        <v>0</v>
      </c>
      <c r="AD32" s="108">
        <v>0</v>
      </c>
      <c r="AE32" s="108">
        <v>0</v>
      </c>
      <c r="AF32" s="108">
        <v>0</v>
      </c>
      <c r="AG32" s="108">
        <v>0</v>
      </c>
      <c r="AH32" s="108">
        <v>0</v>
      </c>
      <c r="AI32" s="108">
        <v>0</v>
      </c>
      <c r="AJ32" s="108">
        <v>0</v>
      </c>
      <c r="AK32" s="108">
        <v>0</v>
      </c>
      <c r="AL32" s="108">
        <v>0</v>
      </c>
      <c r="AM32" s="108">
        <v>0</v>
      </c>
      <c r="AN32" s="108">
        <v>0</v>
      </c>
      <c r="AO32" s="108">
        <v>0</v>
      </c>
      <c r="AP32" s="108">
        <v>0</v>
      </c>
      <c r="AQ32" s="109">
        <v>0</v>
      </c>
    </row>
    <row r="33" spans="2:43" ht="12" customHeight="1" x14ac:dyDescent="0.25">
      <c r="B33" s="107" t="s">
        <v>43</v>
      </c>
      <c r="C33" s="108" t="s">
        <v>37</v>
      </c>
      <c r="D33" s="108" t="s">
        <v>44</v>
      </c>
      <c r="E33" s="108" t="s">
        <v>25</v>
      </c>
      <c r="F33" s="108" t="s">
        <v>25</v>
      </c>
      <c r="G33" s="108" t="s">
        <v>38</v>
      </c>
      <c r="H33" s="108" t="s">
        <v>71</v>
      </c>
      <c r="I33" s="108" t="s">
        <v>25</v>
      </c>
      <c r="J33" s="108">
        <v>0</v>
      </c>
      <c r="K33" s="108">
        <v>0</v>
      </c>
      <c r="L33" s="108">
        <v>0</v>
      </c>
      <c r="M33" s="108">
        <v>0</v>
      </c>
      <c r="N33" s="108">
        <v>0</v>
      </c>
      <c r="O33" s="108">
        <v>0</v>
      </c>
      <c r="P33" s="108">
        <v>0</v>
      </c>
      <c r="Q33" s="108">
        <v>0</v>
      </c>
      <c r="R33" s="108">
        <v>0</v>
      </c>
      <c r="S33" s="108">
        <v>0</v>
      </c>
      <c r="T33" s="108">
        <v>0</v>
      </c>
      <c r="U33" s="108">
        <v>0</v>
      </c>
      <c r="V33" s="108">
        <v>0</v>
      </c>
      <c r="W33" s="108">
        <v>0</v>
      </c>
      <c r="X33" s="108">
        <v>0</v>
      </c>
      <c r="Y33" s="108">
        <v>0</v>
      </c>
      <c r="Z33" s="108">
        <v>0</v>
      </c>
      <c r="AA33" s="108">
        <v>0</v>
      </c>
      <c r="AB33" s="108">
        <v>0</v>
      </c>
      <c r="AC33" s="108">
        <v>0</v>
      </c>
      <c r="AD33" s="108">
        <v>0</v>
      </c>
      <c r="AE33" s="108">
        <v>0</v>
      </c>
      <c r="AF33" s="108">
        <v>0</v>
      </c>
      <c r="AG33" s="108">
        <v>0</v>
      </c>
      <c r="AH33" s="108">
        <v>0</v>
      </c>
      <c r="AI33" s="108">
        <v>0</v>
      </c>
      <c r="AJ33" s="108">
        <v>0</v>
      </c>
      <c r="AK33" s="108">
        <v>0</v>
      </c>
      <c r="AL33" s="108">
        <v>0</v>
      </c>
      <c r="AM33" s="108">
        <v>0</v>
      </c>
      <c r="AN33" s="108">
        <v>0</v>
      </c>
      <c r="AO33" s="108">
        <v>0</v>
      </c>
      <c r="AP33" s="108">
        <v>0</v>
      </c>
      <c r="AQ33" s="109">
        <v>0</v>
      </c>
    </row>
    <row r="34" spans="2:43" ht="12" customHeight="1" x14ac:dyDescent="0.25">
      <c r="B34" s="107" t="s">
        <v>43</v>
      </c>
      <c r="C34" s="108" t="s">
        <v>37</v>
      </c>
      <c r="D34" s="108" t="s">
        <v>44</v>
      </c>
      <c r="E34" s="108" t="s">
        <v>25</v>
      </c>
      <c r="F34" s="108" t="s">
        <v>25</v>
      </c>
      <c r="G34" s="108" t="s">
        <v>36</v>
      </c>
      <c r="H34" s="108" t="s">
        <v>71</v>
      </c>
      <c r="I34" s="108" t="s">
        <v>25</v>
      </c>
      <c r="J34" s="108">
        <v>0</v>
      </c>
      <c r="K34" s="108">
        <v>0</v>
      </c>
      <c r="L34" s="108">
        <v>0</v>
      </c>
      <c r="M34" s="108">
        <v>0</v>
      </c>
      <c r="N34" s="108">
        <v>0</v>
      </c>
      <c r="O34" s="108">
        <v>0</v>
      </c>
      <c r="P34" s="108">
        <v>0</v>
      </c>
      <c r="Q34" s="108">
        <v>0</v>
      </c>
      <c r="R34" s="108">
        <v>0</v>
      </c>
      <c r="S34" s="108">
        <v>0</v>
      </c>
      <c r="T34" s="108">
        <v>0</v>
      </c>
      <c r="U34" s="108">
        <v>0</v>
      </c>
      <c r="V34" s="108">
        <v>0</v>
      </c>
      <c r="W34" s="108">
        <v>0</v>
      </c>
      <c r="X34" s="108">
        <v>0</v>
      </c>
      <c r="Y34" s="108">
        <v>0</v>
      </c>
      <c r="Z34" s="108">
        <v>0</v>
      </c>
      <c r="AA34" s="108">
        <v>0</v>
      </c>
      <c r="AB34" s="108">
        <v>0</v>
      </c>
      <c r="AC34" s="108">
        <v>0</v>
      </c>
      <c r="AD34" s="108">
        <v>0</v>
      </c>
      <c r="AE34" s="108">
        <v>0</v>
      </c>
      <c r="AF34" s="108">
        <v>0</v>
      </c>
      <c r="AG34" s="108">
        <v>0</v>
      </c>
      <c r="AH34" s="108">
        <v>0</v>
      </c>
      <c r="AI34" s="108">
        <v>0</v>
      </c>
      <c r="AJ34" s="108">
        <v>0</v>
      </c>
      <c r="AK34" s="108">
        <v>0</v>
      </c>
      <c r="AL34" s="108">
        <v>0</v>
      </c>
      <c r="AM34" s="108">
        <v>0</v>
      </c>
      <c r="AN34" s="108">
        <v>0</v>
      </c>
      <c r="AO34" s="108">
        <v>0</v>
      </c>
      <c r="AP34" s="108">
        <v>0</v>
      </c>
      <c r="AQ34" s="109">
        <v>0</v>
      </c>
    </row>
    <row r="35" spans="2:43" ht="12" customHeight="1" x14ac:dyDescent="0.25">
      <c r="B35" s="107" t="s">
        <v>43</v>
      </c>
      <c r="C35" s="108" t="s">
        <v>37</v>
      </c>
      <c r="D35" s="108" t="s">
        <v>44</v>
      </c>
      <c r="E35" s="108" t="s">
        <v>88</v>
      </c>
      <c r="F35" s="108" t="s">
        <v>25</v>
      </c>
      <c r="G35" s="108" t="s">
        <v>35</v>
      </c>
      <c r="H35" s="108" t="s">
        <v>71</v>
      </c>
      <c r="I35" s="108" t="s">
        <v>25</v>
      </c>
      <c r="J35" s="108">
        <v>0</v>
      </c>
      <c r="K35" s="108">
        <v>0</v>
      </c>
      <c r="L35" s="108">
        <v>0</v>
      </c>
      <c r="M35" s="108">
        <v>0</v>
      </c>
      <c r="N35" s="108">
        <v>0</v>
      </c>
      <c r="O35" s="108">
        <v>0</v>
      </c>
      <c r="P35" s="108">
        <v>0</v>
      </c>
      <c r="Q35" s="108">
        <v>0</v>
      </c>
      <c r="R35" s="108">
        <v>0</v>
      </c>
      <c r="S35" s="108">
        <v>0</v>
      </c>
      <c r="T35" s="108">
        <v>0</v>
      </c>
      <c r="U35" s="108">
        <v>0</v>
      </c>
      <c r="V35" s="108">
        <v>0</v>
      </c>
      <c r="W35" s="108">
        <v>0</v>
      </c>
      <c r="X35" s="108">
        <v>0</v>
      </c>
      <c r="Y35" s="108">
        <v>0</v>
      </c>
      <c r="Z35" s="108">
        <v>0</v>
      </c>
      <c r="AA35" s="108">
        <v>0</v>
      </c>
      <c r="AB35" s="108">
        <v>0</v>
      </c>
      <c r="AC35" s="108">
        <v>0</v>
      </c>
      <c r="AD35" s="108">
        <v>0</v>
      </c>
      <c r="AE35" s="108">
        <v>0</v>
      </c>
      <c r="AF35" s="108">
        <v>0</v>
      </c>
      <c r="AG35" s="108">
        <v>0</v>
      </c>
      <c r="AH35" s="108">
        <v>0</v>
      </c>
      <c r="AI35" s="108">
        <v>0</v>
      </c>
      <c r="AJ35" s="108">
        <v>0</v>
      </c>
      <c r="AK35" s="108">
        <v>0</v>
      </c>
      <c r="AL35" s="108">
        <v>0</v>
      </c>
      <c r="AM35" s="108">
        <v>0</v>
      </c>
      <c r="AN35" s="108">
        <v>0</v>
      </c>
      <c r="AO35" s="108">
        <v>0</v>
      </c>
      <c r="AP35" s="108">
        <v>0</v>
      </c>
      <c r="AQ35" s="109">
        <v>0</v>
      </c>
    </row>
    <row r="36" spans="2:43" ht="12" customHeight="1" x14ac:dyDescent="0.25">
      <c r="B36" s="107" t="s">
        <v>43</v>
      </c>
      <c r="C36" s="108" t="s">
        <v>37</v>
      </c>
      <c r="D36" s="108" t="s">
        <v>44</v>
      </c>
      <c r="E36" s="108" t="s">
        <v>88</v>
      </c>
      <c r="F36" s="108" t="s">
        <v>25</v>
      </c>
      <c r="G36" s="108" t="s">
        <v>38</v>
      </c>
      <c r="H36" s="108" t="s">
        <v>71</v>
      </c>
      <c r="I36" s="108" t="s">
        <v>25</v>
      </c>
      <c r="J36" s="108">
        <v>0</v>
      </c>
      <c r="K36" s="108">
        <v>0</v>
      </c>
      <c r="L36" s="108">
        <v>0</v>
      </c>
      <c r="M36" s="108">
        <v>0</v>
      </c>
      <c r="N36" s="108">
        <v>0</v>
      </c>
      <c r="O36" s="108">
        <v>0</v>
      </c>
      <c r="P36" s="108">
        <v>0</v>
      </c>
      <c r="Q36" s="108">
        <v>0</v>
      </c>
      <c r="R36" s="108">
        <v>0</v>
      </c>
      <c r="S36" s="108">
        <v>0</v>
      </c>
      <c r="T36" s="108">
        <v>0</v>
      </c>
      <c r="U36" s="108">
        <v>0</v>
      </c>
      <c r="V36" s="108">
        <v>0</v>
      </c>
      <c r="W36" s="108">
        <v>0</v>
      </c>
      <c r="X36" s="108">
        <v>0</v>
      </c>
      <c r="Y36" s="108">
        <v>0</v>
      </c>
      <c r="Z36" s="108">
        <v>0</v>
      </c>
      <c r="AA36" s="108">
        <v>0</v>
      </c>
      <c r="AB36" s="108">
        <v>0</v>
      </c>
      <c r="AC36" s="108">
        <v>0</v>
      </c>
      <c r="AD36" s="108">
        <v>0</v>
      </c>
      <c r="AE36" s="108">
        <v>0</v>
      </c>
      <c r="AF36" s="108">
        <v>0</v>
      </c>
      <c r="AG36" s="108">
        <v>0</v>
      </c>
      <c r="AH36" s="108">
        <v>0</v>
      </c>
      <c r="AI36" s="108">
        <v>0</v>
      </c>
      <c r="AJ36" s="108">
        <v>0</v>
      </c>
      <c r="AK36" s="108">
        <v>0</v>
      </c>
      <c r="AL36" s="108">
        <v>0</v>
      </c>
      <c r="AM36" s="108">
        <v>0</v>
      </c>
      <c r="AN36" s="108">
        <v>0</v>
      </c>
      <c r="AO36" s="108">
        <v>0</v>
      </c>
      <c r="AP36" s="108">
        <v>0</v>
      </c>
      <c r="AQ36" s="109">
        <v>0</v>
      </c>
    </row>
    <row r="37" spans="2:43" ht="12" customHeight="1" x14ac:dyDescent="0.25">
      <c r="B37" s="107" t="s">
        <v>43</v>
      </c>
      <c r="C37" s="108" t="s">
        <v>37</v>
      </c>
      <c r="D37" s="108" t="s">
        <v>44</v>
      </c>
      <c r="E37" s="108" t="s">
        <v>88</v>
      </c>
      <c r="F37" s="108" t="s">
        <v>25</v>
      </c>
      <c r="G37" s="108" t="s">
        <v>36</v>
      </c>
      <c r="H37" s="108" t="s">
        <v>71</v>
      </c>
      <c r="I37" s="108" t="s">
        <v>25</v>
      </c>
      <c r="J37" s="108">
        <v>0</v>
      </c>
      <c r="K37" s="108">
        <v>0</v>
      </c>
      <c r="L37" s="108">
        <v>0</v>
      </c>
      <c r="M37" s="108">
        <v>0</v>
      </c>
      <c r="N37" s="108">
        <v>0</v>
      </c>
      <c r="O37" s="108">
        <v>0</v>
      </c>
      <c r="P37" s="108">
        <v>0</v>
      </c>
      <c r="Q37" s="108">
        <v>0</v>
      </c>
      <c r="R37" s="108">
        <v>0</v>
      </c>
      <c r="S37" s="108">
        <v>0</v>
      </c>
      <c r="T37" s="108">
        <v>0</v>
      </c>
      <c r="U37" s="108">
        <v>0</v>
      </c>
      <c r="V37" s="108">
        <v>0</v>
      </c>
      <c r="W37" s="108">
        <v>0</v>
      </c>
      <c r="X37" s="108">
        <v>0</v>
      </c>
      <c r="Y37" s="108">
        <v>0</v>
      </c>
      <c r="Z37" s="108">
        <v>0</v>
      </c>
      <c r="AA37" s="108">
        <v>0</v>
      </c>
      <c r="AB37" s="108">
        <v>0</v>
      </c>
      <c r="AC37" s="108">
        <v>0</v>
      </c>
      <c r="AD37" s="108">
        <v>0</v>
      </c>
      <c r="AE37" s="108">
        <v>0</v>
      </c>
      <c r="AF37" s="108">
        <v>0</v>
      </c>
      <c r="AG37" s="108">
        <v>0</v>
      </c>
      <c r="AH37" s="108">
        <v>0</v>
      </c>
      <c r="AI37" s="108">
        <v>0</v>
      </c>
      <c r="AJ37" s="108">
        <v>0</v>
      </c>
      <c r="AK37" s="108">
        <v>0</v>
      </c>
      <c r="AL37" s="108">
        <v>0</v>
      </c>
      <c r="AM37" s="108">
        <v>0</v>
      </c>
      <c r="AN37" s="108">
        <v>0</v>
      </c>
      <c r="AO37" s="108">
        <v>0</v>
      </c>
      <c r="AP37" s="108">
        <v>0</v>
      </c>
      <c r="AQ37" s="109">
        <v>0</v>
      </c>
    </row>
    <row r="38" spans="2:43" ht="12" customHeight="1" x14ac:dyDescent="0.25">
      <c r="B38" s="107" t="s">
        <v>43</v>
      </c>
      <c r="C38" s="108" t="s">
        <v>23</v>
      </c>
      <c r="D38" s="108" t="s">
        <v>44</v>
      </c>
      <c r="E38" s="108" t="s">
        <v>87</v>
      </c>
      <c r="F38" s="108" t="s">
        <v>25</v>
      </c>
      <c r="G38" s="108" t="s">
        <v>25</v>
      </c>
      <c r="H38" s="108" t="s">
        <v>71</v>
      </c>
      <c r="I38" s="108" t="s">
        <v>25</v>
      </c>
      <c r="J38" s="108">
        <v>0</v>
      </c>
      <c r="K38" s="108">
        <v>0</v>
      </c>
      <c r="L38" s="108">
        <v>0</v>
      </c>
      <c r="M38" s="108">
        <v>0</v>
      </c>
      <c r="N38" s="108">
        <v>0</v>
      </c>
      <c r="O38" s="108">
        <v>0</v>
      </c>
      <c r="P38" s="108">
        <v>0</v>
      </c>
      <c r="Q38" s="108">
        <v>0</v>
      </c>
      <c r="R38" s="108">
        <v>0</v>
      </c>
      <c r="S38" s="108">
        <v>0</v>
      </c>
      <c r="T38" s="108">
        <v>0</v>
      </c>
      <c r="U38" s="108">
        <v>0</v>
      </c>
      <c r="V38" s="108">
        <v>0</v>
      </c>
      <c r="W38" s="108">
        <v>0</v>
      </c>
      <c r="X38" s="108">
        <v>0</v>
      </c>
      <c r="Y38" s="108">
        <v>0</v>
      </c>
      <c r="Z38" s="108">
        <v>0</v>
      </c>
      <c r="AA38" s="108">
        <v>0</v>
      </c>
      <c r="AB38" s="108">
        <v>0</v>
      </c>
      <c r="AC38" s="108">
        <v>0</v>
      </c>
      <c r="AD38" s="108">
        <v>0</v>
      </c>
      <c r="AE38" s="108">
        <v>0</v>
      </c>
      <c r="AF38" s="108">
        <v>0</v>
      </c>
      <c r="AG38" s="108">
        <v>0</v>
      </c>
      <c r="AH38" s="108">
        <v>0</v>
      </c>
      <c r="AI38" s="108">
        <v>0</v>
      </c>
      <c r="AJ38" s="108">
        <v>0</v>
      </c>
      <c r="AK38" s="108">
        <v>0</v>
      </c>
      <c r="AL38" s="108">
        <v>0</v>
      </c>
      <c r="AM38" s="108">
        <v>0</v>
      </c>
      <c r="AN38" s="108">
        <v>0</v>
      </c>
      <c r="AO38" s="108">
        <v>0</v>
      </c>
      <c r="AP38" s="108">
        <v>0</v>
      </c>
      <c r="AQ38" s="109">
        <v>0</v>
      </c>
    </row>
    <row r="39" spans="2:43" ht="12" customHeight="1" x14ac:dyDescent="0.25">
      <c r="B39" s="107" t="s">
        <v>43</v>
      </c>
      <c r="C39" s="108" t="s">
        <v>23</v>
      </c>
      <c r="D39" s="108" t="s">
        <v>44</v>
      </c>
      <c r="E39" s="108" t="s">
        <v>25</v>
      </c>
      <c r="F39" s="108" t="s">
        <v>25</v>
      </c>
      <c r="G39" s="108" t="s">
        <v>25</v>
      </c>
      <c r="H39" s="108" t="s">
        <v>71</v>
      </c>
      <c r="I39" s="108" t="s">
        <v>25</v>
      </c>
      <c r="J39" s="108">
        <v>0</v>
      </c>
      <c r="K39" s="108">
        <v>0</v>
      </c>
      <c r="L39" s="108">
        <v>0</v>
      </c>
      <c r="M39" s="108">
        <v>0</v>
      </c>
      <c r="N39" s="108">
        <v>0</v>
      </c>
      <c r="O39" s="108">
        <v>0</v>
      </c>
      <c r="P39" s="108">
        <v>0</v>
      </c>
      <c r="Q39" s="108">
        <v>0</v>
      </c>
      <c r="R39" s="108">
        <v>0</v>
      </c>
      <c r="S39" s="108">
        <v>0</v>
      </c>
      <c r="T39" s="108">
        <v>0</v>
      </c>
      <c r="U39" s="108">
        <v>0</v>
      </c>
      <c r="V39" s="108">
        <v>0</v>
      </c>
      <c r="W39" s="108">
        <v>0</v>
      </c>
      <c r="X39" s="108">
        <v>0</v>
      </c>
      <c r="Y39" s="108">
        <v>0</v>
      </c>
      <c r="Z39" s="108">
        <v>0</v>
      </c>
      <c r="AA39" s="108">
        <v>0</v>
      </c>
      <c r="AB39" s="108">
        <v>0</v>
      </c>
      <c r="AC39" s="108">
        <v>0</v>
      </c>
      <c r="AD39" s="108">
        <v>0</v>
      </c>
      <c r="AE39" s="108">
        <v>0</v>
      </c>
      <c r="AF39" s="108">
        <v>0</v>
      </c>
      <c r="AG39" s="108">
        <v>0</v>
      </c>
      <c r="AH39" s="108">
        <v>0</v>
      </c>
      <c r="AI39" s="108">
        <v>0</v>
      </c>
      <c r="AJ39" s="108">
        <v>0</v>
      </c>
      <c r="AK39" s="108">
        <v>0</v>
      </c>
      <c r="AL39" s="108">
        <v>0</v>
      </c>
      <c r="AM39" s="108">
        <v>0</v>
      </c>
      <c r="AN39" s="108">
        <v>0</v>
      </c>
      <c r="AO39" s="108">
        <v>0</v>
      </c>
      <c r="AP39" s="108">
        <v>0</v>
      </c>
      <c r="AQ39" s="109">
        <v>0</v>
      </c>
    </row>
    <row r="40" spans="2:43" ht="12" customHeight="1" x14ac:dyDescent="0.25">
      <c r="B40" s="107" t="s">
        <v>43</v>
      </c>
      <c r="C40" s="108" t="s">
        <v>23</v>
      </c>
      <c r="D40" s="108" t="s">
        <v>44</v>
      </c>
      <c r="E40" s="108" t="s">
        <v>88</v>
      </c>
      <c r="F40" s="108" t="s">
        <v>25</v>
      </c>
      <c r="G40" s="108" t="s">
        <v>25</v>
      </c>
      <c r="H40" s="108" t="s">
        <v>71</v>
      </c>
      <c r="I40" s="108" t="s">
        <v>25</v>
      </c>
      <c r="J40" s="108">
        <v>0</v>
      </c>
      <c r="K40" s="108">
        <v>0</v>
      </c>
      <c r="L40" s="108">
        <v>0</v>
      </c>
      <c r="M40" s="108">
        <v>0</v>
      </c>
      <c r="N40" s="108">
        <v>0</v>
      </c>
      <c r="O40" s="108">
        <v>0</v>
      </c>
      <c r="P40" s="108">
        <v>0</v>
      </c>
      <c r="Q40" s="108">
        <v>0</v>
      </c>
      <c r="R40" s="108">
        <v>0</v>
      </c>
      <c r="S40" s="108">
        <v>0</v>
      </c>
      <c r="T40" s="108">
        <v>0</v>
      </c>
      <c r="U40" s="108">
        <v>0</v>
      </c>
      <c r="V40" s="108">
        <v>0</v>
      </c>
      <c r="W40" s="108">
        <v>0</v>
      </c>
      <c r="X40" s="108">
        <v>0</v>
      </c>
      <c r="Y40" s="108">
        <v>0</v>
      </c>
      <c r="Z40" s="108">
        <v>0</v>
      </c>
      <c r="AA40" s="108">
        <v>0</v>
      </c>
      <c r="AB40" s="108">
        <v>0</v>
      </c>
      <c r="AC40" s="108">
        <v>0</v>
      </c>
      <c r="AD40" s="108">
        <v>0</v>
      </c>
      <c r="AE40" s="108">
        <v>0</v>
      </c>
      <c r="AF40" s="108">
        <v>0</v>
      </c>
      <c r="AG40" s="108">
        <v>0</v>
      </c>
      <c r="AH40" s="108">
        <v>0</v>
      </c>
      <c r="AI40" s="108">
        <v>0</v>
      </c>
      <c r="AJ40" s="108">
        <v>0</v>
      </c>
      <c r="AK40" s="108">
        <v>0</v>
      </c>
      <c r="AL40" s="108">
        <v>0</v>
      </c>
      <c r="AM40" s="108">
        <v>0</v>
      </c>
      <c r="AN40" s="108">
        <v>0</v>
      </c>
      <c r="AO40" s="108">
        <v>0</v>
      </c>
      <c r="AP40" s="108">
        <v>0</v>
      </c>
      <c r="AQ40" s="109">
        <v>0</v>
      </c>
    </row>
    <row r="41" spans="2:43" ht="12" customHeight="1" x14ac:dyDescent="0.25">
      <c r="B41" s="107" t="s">
        <v>43</v>
      </c>
      <c r="C41" s="108" t="s">
        <v>86</v>
      </c>
      <c r="D41" s="108" t="s">
        <v>44</v>
      </c>
      <c r="E41" s="108" t="s">
        <v>87</v>
      </c>
      <c r="F41" s="108" t="s">
        <v>25</v>
      </c>
      <c r="G41" s="108" t="s">
        <v>25</v>
      </c>
      <c r="H41" s="108" t="s">
        <v>71</v>
      </c>
      <c r="I41" s="108" t="s">
        <v>25</v>
      </c>
      <c r="J41" s="108">
        <v>0</v>
      </c>
      <c r="K41" s="108">
        <v>0</v>
      </c>
      <c r="L41" s="108">
        <v>0</v>
      </c>
      <c r="M41" s="108">
        <v>0</v>
      </c>
      <c r="N41" s="108">
        <v>0</v>
      </c>
      <c r="O41" s="108">
        <v>0</v>
      </c>
      <c r="P41" s="108">
        <v>0</v>
      </c>
      <c r="Q41" s="108">
        <v>0</v>
      </c>
      <c r="R41" s="108">
        <v>0</v>
      </c>
      <c r="S41" s="108">
        <v>0</v>
      </c>
      <c r="T41" s="108">
        <v>0</v>
      </c>
      <c r="U41" s="108">
        <v>0</v>
      </c>
      <c r="V41" s="108">
        <v>0</v>
      </c>
      <c r="W41" s="108">
        <v>0</v>
      </c>
      <c r="X41" s="108">
        <v>0</v>
      </c>
      <c r="Y41" s="108">
        <v>0</v>
      </c>
      <c r="Z41" s="108">
        <v>0</v>
      </c>
      <c r="AA41" s="108">
        <v>0</v>
      </c>
      <c r="AB41" s="108">
        <v>0</v>
      </c>
      <c r="AC41" s="108">
        <v>0</v>
      </c>
      <c r="AD41" s="108">
        <v>0</v>
      </c>
      <c r="AE41" s="108">
        <v>0</v>
      </c>
      <c r="AF41" s="108">
        <v>0</v>
      </c>
      <c r="AG41" s="108">
        <v>0</v>
      </c>
      <c r="AH41" s="108">
        <v>0</v>
      </c>
      <c r="AI41" s="108">
        <v>0</v>
      </c>
      <c r="AJ41" s="108">
        <v>0</v>
      </c>
      <c r="AK41" s="108">
        <v>0</v>
      </c>
      <c r="AL41" s="108">
        <v>0</v>
      </c>
      <c r="AM41" s="108">
        <v>0</v>
      </c>
      <c r="AN41" s="108">
        <v>0</v>
      </c>
      <c r="AO41" s="108">
        <v>0</v>
      </c>
      <c r="AP41" s="108">
        <v>0</v>
      </c>
      <c r="AQ41" s="109">
        <v>0</v>
      </c>
    </row>
    <row r="42" spans="2:43" ht="12" customHeight="1" x14ac:dyDescent="0.25">
      <c r="B42" s="107" t="s">
        <v>43</v>
      </c>
      <c r="C42" s="108" t="s">
        <v>86</v>
      </c>
      <c r="D42" s="108" t="s">
        <v>44</v>
      </c>
      <c r="E42" s="108" t="s">
        <v>25</v>
      </c>
      <c r="F42" s="108" t="s">
        <v>25</v>
      </c>
      <c r="G42" s="108" t="s">
        <v>25</v>
      </c>
      <c r="H42" s="108" t="s">
        <v>71</v>
      </c>
      <c r="I42" s="108" t="s">
        <v>25</v>
      </c>
      <c r="J42" s="108">
        <v>0</v>
      </c>
      <c r="K42" s="108">
        <v>0</v>
      </c>
      <c r="L42" s="108">
        <v>0</v>
      </c>
      <c r="M42" s="108">
        <v>0</v>
      </c>
      <c r="N42" s="108">
        <v>0</v>
      </c>
      <c r="O42" s="108">
        <v>0</v>
      </c>
      <c r="P42" s="108">
        <v>0</v>
      </c>
      <c r="Q42" s="108">
        <v>0</v>
      </c>
      <c r="R42" s="108">
        <v>0</v>
      </c>
      <c r="S42" s="108">
        <v>0</v>
      </c>
      <c r="T42" s="108">
        <v>0</v>
      </c>
      <c r="U42" s="108">
        <v>0</v>
      </c>
      <c r="V42" s="108">
        <v>0</v>
      </c>
      <c r="W42" s="108">
        <v>0</v>
      </c>
      <c r="X42" s="108">
        <v>0</v>
      </c>
      <c r="Y42" s="108">
        <v>0</v>
      </c>
      <c r="Z42" s="108">
        <v>0</v>
      </c>
      <c r="AA42" s="108">
        <v>0</v>
      </c>
      <c r="AB42" s="108">
        <v>0</v>
      </c>
      <c r="AC42" s="108">
        <v>0</v>
      </c>
      <c r="AD42" s="108">
        <v>0</v>
      </c>
      <c r="AE42" s="108">
        <v>0</v>
      </c>
      <c r="AF42" s="108">
        <v>0</v>
      </c>
      <c r="AG42" s="108">
        <v>0</v>
      </c>
      <c r="AH42" s="108">
        <v>0</v>
      </c>
      <c r="AI42" s="108">
        <v>0</v>
      </c>
      <c r="AJ42" s="108">
        <v>0</v>
      </c>
      <c r="AK42" s="108">
        <v>0</v>
      </c>
      <c r="AL42" s="108">
        <v>0</v>
      </c>
      <c r="AM42" s="108">
        <v>0</v>
      </c>
      <c r="AN42" s="108">
        <v>0</v>
      </c>
      <c r="AO42" s="108">
        <v>0</v>
      </c>
      <c r="AP42" s="108">
        <v>0</v>
      </c>
      <c r="AQ42" s="109">
        <v>0</v>
      </c>
    </row>
    <row r="43" spans="2:43" ht="12" customHeight="1" x14ac:dyDescent="0.25">
      <c r="B43" s="107" t="s">
        <v>43</v>
      </c>
      <c r="C43" s="108" t="s">
        <v>86</v>
      </c>
      <c r="D43" s="108" t="s">
        <v>44</v>
      </c>
      <c r="E43" s="108" t="s">
        <v>88</v>
      </c>
      <c r="F43" s="108" t="s">
        <v>25</v>
      </c>
      <c r="G43" s="108" t="s">
        <v>25</v>
      </c>
      <c r="H43" s="108" t="s">
        <v>71</v>
      </c>
      <c r="I43" s="108" t="s">
        <v>25</v>
      </c>
      <c r="J43" s="108">
        <v>0</v>
      </c>
      <c r="K43" s="108">
        <v>0</v>
      </c>
      <c r="L43" s="108">
        <v>0</v>
      </c>
      <c r="M43" s="108">
        <v>0</v>
      </c>
      <c r="N43" s="108">
        <v>0</v>
      </c>
      <c r="O43" s="108">
        <v>0</v>
      </c>
      <c r="P43" s="108">
        <v>0</v>
      </c>
      <c r="Q43" s="108">
        <v>0</v>
      </c>
      <c r="R43" s="108">
        <v>0</v>
      </c>
      <c r="S43" s="108">
        <v>0</v>
      </c>
      <c r="T43" s="108">
        <v>0</v>
      </c>
      <c r="U43" s="108">
        <v>0</v>
      </c>
      <c r="V43" s="108">
        <v>0</v>
      </c>
      <c r="W43" s="108">
        <v>0</v>
      </c>
      <c r="X43" s="108">
        <v>0</v>
      </c>
      <c r="Y43" s="108">
        <v>0</v>
      </c>
      <c r="Z43" s="108">
        <v>0</v>
      </c>
      <c r="AA43" s="108">
        <v>0</v>
      </c>
      <c r="AB43" s="108">
        <v>0</v>
      </c>
      <c r="AC43" s="108">
        <v>0</v>
      </c>
      <c r="AD43" s="108">
        <v>0</v>
      </c>
      <c r="AE43" s="108">
        <v>0</v>
      </c>
      <c r="AF43" s="108">
        <v>0</v>
      </c>
      <c r="AG43" s="108">
        <v>0</v>
      </c>
      <c r="AH43" s="108">
        <v>0</v>
      </c>
      <c r="AI43" s="108">
        <v>0</v>
      </c>
      <c r="AJ43" s="108">
        <v>0</v>
      </c>
      <c r="AK43" s="108">
        <v>0</v>
      </c>
      <c r="AL43" s="108">
        <v>0</v>
      </c>
      <c r="AM43" s="108">
        <v>0</v>
      </c>
      <c r="AN43" s="108">
        <v>0</v>
      </c>
      <c r="AO43" s="108">
        <v>0</v>
      </c>
      <c r="AP43" s="108">
        <v>0</v>
      </c>
      <c r="AQ43" s="109">
        <v>0</v>
      </c>
    </row>
    <row r="44" spans="2:43" ht="12" customHeight="1" x14ac:dyDescent="0.25">
      <c r="B44" s="107" t="s">
        <v>39</v>
      </c>
      <c r="C44" s="108" t="s">
        <v>37</v>
      </c>
      <c r="D44" s="108" t="s">
        <v>25</v>
      </c>
      <c r="E44" s="108" t="s">
        <v>25</v>
      </c>
      <c r="F44" s="108" t="s">
        <v>25</v>
      </c>
      <c r="G44" s="108" t="s">
        <v>35</v>
      </c>
      <c r="H44" s="108" t="s">
        <v>71</v>
      </c>
      <c r="I44" s="108" t="s">
        <v>25</v>
      </c>
      <c r="J44" s="108">
        <v>0</v>
      </c>
      <c r="K44" s="108">
        <v>0</v>
      </c>
      <c r="L44" s="108">
        <v>0</v>
      </c>
      <c r="M44" s="108">
        <v>0</v>
      </c>
      <c r="N44" s="108">
        <v>0</v>
      </c>
      <c r="O44" s="108">
        <v>0</v>
      </c>
      <c r="P44" s="108">
        <v>0</v>
      </c>
      <c r="Q44" s="108">
        <v>0</v>
      </c>
      <c r="R44" s="108">
        <v>0</v>
      </c>
      <c r="S44" s="108">
        <v>0</v>
      </c>
      <c r="T44" s="108">
        <v>0</v>
      </c>
      <c r="U44" s="108">
        <v>0</v>
      </c>
      <c r="V44" s="108">
        <v>0</v>
      </c>
      <c r="W44" s="108">
        <v>0</v>
      </c>
      <c r="X44" s="108">
        <v>0</v>
      </c>
      <c r="Y44" s="108">
        <v>0</v>
      </c>
      <c r="Z44" s="108">
        <v>0</v>
      </c>
      <c r="AA44" s="108">
        <v>0</v>
      </c>
      <c r="AB44" s="108">
        <v>0</v>
      </c>
      <c r="AC44" s="108">
        <v>0</v>
      </c>
      <c r="AD44" s="108">
        <v>0</v>
      </c>
      <c r="AE44" s="108">
        <v>0</v>
      </c>
      <c r="AF44" s="108">
        <v>0</v>
      </c>
      <c r="AG44" s="108">
        <v>0</v>
      </c>
      <c r="AH44" s="108">
        <v>0</v>
      </c>
      <c r="AI44" s="108">
        <v>0</v>
      </c>
      <c r="AJ44" s="108">
        <v>0</v>
      </c>
      <c r="AK44" s="108">
        <v>0</v>
      </c>
      <c r="AL44" s="108">
        <v>0</v>
      </c>
      <c r="AM44" s="108">
        <v>0</v>
      </c>
      <c r="AN44" s="108">
        <v>0</v>
      </c>
      <c r="AO44" s="108">
        <v>0</v>
      </c>
      <c r="AP44" s="108">
        <v>0</v>
      </c>
      <c r="AQ44" s="109">
        <v>0</v>
      </c>
    </row>
    <row r="45" spans="2:43" ht="12" customHeight="1" x14ac:dyDescent="0.25">
      <c r="B45" s="107" t="s">
        <v>39</v>
      </c>
      <c r="C45" s="108" t="s">
        <v>37</v>
      </c>
      <c r="D45" s="108" t="s">
        <v>25</v>
      </c>
      <c r="E45" s="108" t="s">
        <v>25</v>
      </c>
      <c r="F45" s="108" t="s">
        <v>25</v>
      </c>
      <c r="G45" s="108" t="s">
        <v>38</v>
      </c>
      <c r="H45" s="108" t="s">
        <v>71</v>
      </c>
      <c r="I45" s="108" t="s">
        <v>25</v>
      </c>
      <c r="J45" s="108">
        <v>0</v>
      </c>
      <c r="K45" s="108">
        <v>0</v>
      </c>
      <c r="L45" s="108">
        <v>0</v>
      </c>
      <c r="M45" s="108">
        <v>0</v>
      </c>
      <c r="N45" s="108">
        <v>0</v>
      </c>
      <c r="O45" s="108">
        <v>0</v>
      </c>
      <c r="P45" s="108">
        <v>0</v>
      </c>
      <c r="Q45" s="108">
        <v>0</v>
      </c>
      <c r="R45" s="108">
        <v>0</v>
      </c>
      <c r="S45" s="108">
        <v>0</v>
      </c>
      <c r="T45" s="108">
        <v>0</v>
      </c>
      <c r="U45" s="108">
        <v>0</v>
      </c>
      <c r="V45" s="108">
        <v>0</v>
      </c>
      <c r="W45" s="108">
        <v>0</v>
      </c>
      <c r="X45" s="108">
        <v>0</v>
      </c>
      <c r="Y45" s="108">
        <v>0</v>
      </c>
      <c r="Z45" s="108">
        <v>0</v>
      </c>
      <c r="AA45" s="108">
        <v>0</v>
      </c>
      <c r="AB45" s="108">
        <v>0</v>
      </c>
      <c r="AC45" s="108">
        <v>0</v>
      </c>
      <c r="AD45" s="108">
        <v>0</v>
      </c>
      <c r="AE45" s="108">
        <v>0</v>
      </c>
      <c r="AF45" s="108">
        <v>0</v>
      </c>
      <c r="AG45" s="108">
        <v>0</v>
      </c>
      <c r="AH45" s="108">
        <v>0</v>
      </c>
      <c r="AI45" s="108">
        <v>0</v>
      </c>
      <c r="AJ45" s="108">
        <v>0</v>
      </c>
      <c r="AK45" s="108">
        <v>0</v>
      </c>
      <c r="AL45" s="108">
        <v>0</v>
      </c>
      <c r="AM45" s="108">
        <v>0</v>
      </c>
      <c r="AN45" s="108">
        <v>0</v>
      </c>
      <c r="AO45" s="108">
        <v>0</v>
      </c>
      <c r="AP45" s="108">
        <v>0</v>
      </c>
      <c r="AQ45" s="109">
        <v>0</v>
      </c>
    </row>
    <row r="46" spans="2:43" ht="12" customHeight="1" x14ac:dyDescent="0.25">
      <c r="B46" s="107" t="s">
        <v>39</v>
      </c>
      <c r="C46" s="108" t="s">
        <v>37</v>
      </c>
      <c r="D46" s="108" t="s">
        <v>25</v>
      </c>
      <c r="E46" s="108" t="s">
        <v>25</v>
      </c>
      <c r="F46" s="108" t="s">
        <v>25</v>
      </c>
      <c r="G46" s="108" t="s">
        <v>36</v>
      </c>
      <c r="H46" s="108" t="s">
        <v>71</v>
      </c>
      <c r="I46" s="108" t="s">
        <v>25</v>
      </c>
      <c r="J46" s="108">
        <v>0</v>
      </c>
      <c r="K46" s="108">
        <v>0</v>
      </c>
      <c r="L46" s="108">
        <v>0</v>
      </c>
      <c r="M46" s="108">
        <v>0</v>
      </c>
      <c r="N46" s="108">
        <v>0</v>
      </c>
      <c r="O46" s="108">
        <v>0</v>
      </c>
      <c r="P46" s="108">
        <v>0</v>
      </c>
      <c r="Q46" s="108">
        <v>0</v>
      </c>
      <c r="R46" s="108">
        <v>0</v>
      </c>
      <c r="S46" s="108">
        <v>0</v>
      </c>
      <c r="T46" s="108">
        <v>0</v>
      </c>
      <c r="U46" s="108">
        <v>0</v>
      </c>
      <c r="V46" s="108">
        <v>0</v>
      </c>
      <c r="W46" s="108">
        <v>0</v>
      </c>
      <c r="X46" s="108">
        <v>0</v>
      </c>
      <c r="Y46" s="108">
        <v>0</v>
      </c>
      <c r="Z46" s="108">
        <v>0</v>
      </c>
      <c r="AA46" s="108">
        <v>0</v>
      </c>
      <c r="AB46" s="108">
        <v>0</v>
      </c>
      <c r="AC46" s="108">
        <v>0</v>
      </c>
      <c r="AD46" s="108">
        <v>0</v>
      </c>
      <c r="AE46" s="108">
        <v>0</v>
      </c>
      <c r="AF46" s="108">
        <v>0</v>
      </c>
      <c r="AG46" s="108">
        <v>0</v>
      </c>
      <c r="AH46" s="108">
        <v>0</v>
      </c>
      <c r="AI46" s="108">
        <v>0</v>
      </c>
      <c r="AJ46" s="108">
        <v>0</v>
      </c>
      <c r="AK46" s="108">
        <v>0</v>
      </c>
      <c r="AL46" s="108">
        <v>0</v>
      </c>
      <c r="AM46" s="108">
        <v>0</v>
      </c>
      <c r="AN46" s="108">
        <v>0</v>
      </c>
      <c r="AO46" s="108">
        <v>0</v>
      </c>
      <c r="AP46" s="108">
        <v>0</v>
      </c>
      <c r="AQ46" s="109">
        <v>0</v>
      </c>
    </row>
    <row r="47" spans="2:43" ht="12" customHeight="1" x14ac:dyDescent="0.25">
      <c r="B47" s="107" t="s">
        <v>39</v>
      </c>
      <c r="C47" s="108" t="s">
        <v>23</v>
      </c>
      <c r="D47" s="108" t="s">
        <v>25</v>
      </c>
      <c r="E47" s="108" t="s">
        <v>25</v>
      </c>
      <c r="F47" s="108" t="s">
        <v>25</v>
      </c>
      <c r="G47" s="108" t="s">
        <v>25</v>
      </c>
      <c r="H47" s="108" t="s">
        <v>71</v>
      </c>
      <c r="I47" s="108" t="s">
        <v>25</v>
      </c>
      <c r="J47" s="108">
        <v>0</v>
      </c>
      <c r="K47" s="108">
        <v>0</v>
      </c>
      <c r="L47" s="108">
        <v>0</v>
      </c>
      <c r="M47" s="108">
        <v>0</v>
      </c>
      <c r="N47" s="108">
        <v>0</v>
      </c>
      <c r="O47" s="108">
        <v>0</v>
      </c>
      <c r="P47" s="108">
        <v>0</v>
      </c>
      <c r="Q47" s="108">
        <v>0</v>
      </c>
      <c r="R47" s="108">
        <v>0</v>
      </c>
      <c r="S47" s="108">
        <v>0</v>
      </c>
      <c r="T47" s="108">
        <v>0</v>
      </c>
      <c r="U47" s="108">
        <v>0</v>
      </c>
      <c r="V47" s="108">
        <v>0</v>
      </c>
      <c r="W47" s="108">
        <v>0</v>
      </c>
      <c r="X47" s="108">
        <v>0</v>
      </c>
      <c r="Y47" s="108">
        <v>0</v>
      </c>
      <c r="Z47" s="108">
        <v>0</v>
      </c>
      <c r="AA47" s="108">
        <v>0</v>
      </c>
      <c r="AB47" s="108">
        <v>0</v>
      </c>
      <c r="AC47" s="108">
        <v>0</v>
      </c>
      <c r="AD47" s="108">
        <v>0</v>
      </c>
      <c r="AE47" s="108">
        <v>0</v>
      </c>
      <c r="AF47" s="108">
        <v>0</v>
      </c>
      <c r="AG47" s="108">
        <v>0</v>
      </c>
      <c r="AH47" s="108">
        <v>0</v>
      </c>
      <c r="AI47" s="108">
        <v>0</v>
      </c>
      <c r="AJ47" s="108">
        <v>0</v>
      </c>
      <c r="AK47" s="108">
        <v>0</v>
      </c>
      <c r="AL47" s="108">
        <v>0</v>
      </c>
      <c r="AM47" s="108">
        <v>0</v>
      </c>
      <c r="AN47" s="108">
        <v>0</v>
      </c>
      <c r="AO47" s="108">
        <v>0</v>
      </c>
      <c r="AP47" s="108">
        <v>0</v>
      </c>
      <c r="AQ47" s="109">
        <v>0</v>
      </c>
    </row>
    <row r="48" spans="2:43" ht="12" customHeight="1" x14ac:dyDescent="0.25">
      <c r="B48" s="107" t="s">
        <v>39</v>
      </c>
      <c r="C48" s="108" t="s">
        <v>86</v>
      </c>
      <c r="D48" s="108" t="s">
        <v>25</v>
      </c>
      <c r="E48" s="108" t="s">
        <v>25</v>
      </c>
      <c r="F48" s="108" t="s">
        <v>25</v>
      </c>
      <c r="G48" s="108" t="s">
        <v>25</v>
      </c>
      <c r="H48" s="108" t="s">
        <v>71</v>
      </c>
      <c r="I48" s="108" t="s">
        <v>25</v>
      </c>
      <c r="J48" s="108">
        <v>0</v>
      </c>
      <c r="K48" s="108">
        <v>0</v>
      </c>
      <c r="L48" s="108">
        <v>0</v>
      </c>
      <c r="M48" s="108">
        <v>0</v>
      </c>
      <c r="N48" s="108">
        <v>0</v>
      </c>
      <c r="O48" s="108">
        <v>0</v>
      </c>
      <c r="P48" s="108">
        <v>0</v>
      </c>
      <c r="Q48" s="108">
        <v>0</v>
      </c>
      <c r="R48" s="108">
        <v>0</v>
      </c>
      <c r="S48" s="108">
        <v>0</v>
      </c>
      <c r="T48" s="108">
        <v>0</v>
      </c>
      <c r="U48" s="108">
        <v>0</v>
      </c>
      <c r="V48" s="108">
        <v>0</v>
      </c>
      <c r="W48" s="108">
        <v>0</v>
      </c>
      <c r="X48" s="108">
        <v>0</v>
      </c>
      <c r="Y48" s="108">
        <v>0</v>
      </c>
      <c r="Z48" s="108">
        <v>0</v>
      </c>
      <c r="AA48" s="108">
        <v>0</v>
      </c>
      <c r="AB48" s="108">
        <v>0</v>
      </c>
      <c r="AC48" s="108">
        <v>0</v>
      </c>
      <c r="AD48" s="108">
        <v>0</v>
      </c>
      <c r="AE48" s="108">
        <v>0</v>
      </c>
      <c r="AF48" s="108">
        <v>0</v>
      </c>
      <c r="AG48" s="108">
        <v>0</v>
      </c>
      <c r="AH48" s="108">
        <v>0</v>
      </c>
      <c r="AI48" s="108">
        <v>0</v>
      </c>
      <c r="AJ48" s="108">
        <v>0</v>
      </c>
      <c r="AK48" s="108">
        <v>0</v>
      </c>
      <c r="AL48" s="108">
        <v>0</v>
      </c>
      <c r="AM48" s="108">
        <v>0</v>
      </c>
      <c r="AN48" s="108">
        <v>0</v>
      </c>
      <c r="AO48" s="108">
        <v>0</v>
      </c>
      <c r="AP48" s="108">
        <v>0</v>
      </c>
      <c r="AQ48" s="109">
        <v>0</v>
      </c>
    </row>
    <row r="49" spans="2:43" ht="12" customHeight="1" x14ac:dyDescent="0.25">
      <c r="B49" s="107" t="s">
        <v>46</v>
      </c>
      <c r="C49" s="108" t="s">
        <v>23</v>
      </c>
      <c r="D49" s="108" t="s">
        <v>47</v>
      </c>
      <c r="E49" s="108" t="s">
        <v>48</v>
      </c>
      <c r="F49" s="108" t="s">
        <v>25</v>
      </c>
      <c r="G49" s="108" t="s">
        <v>25</v>
      </c>
      <c r="H49" s="108" t="s">
        <v>71</v>
      </c>
      <c r="I49" s="108" t="s">
        <v>25</v>
      </c>
      <c r="J49" s="108">
        <v>0</v>
      </c>
      <c r="K49" s="108">
        <v>0</v>
      </c>
      <c r="L49" s="108">
        <v>0</v>
      </c>
      <c r="M49" s="108">
        <v>0</v>
      </c>
      <c r="N49" s="108">
        <v>0</v>
      </c>
      <c r="O49" s="108">
        <v>0</v>
      </c>
      <c r="P49" s="108">
        <v>0</v>
      </c>
      <c r="Q49" s="108">
        <v>0</v>
      </c>
      <c r="R49" s="108">
        <v>0</v>
      </c>
      <c r="S49" s="108">
        <v>0</v>
      </c>
      <c r="T49" s="108">
        <v>0</v>
      </c>
      <c r="U49" s="108">
        <v>0</v>
      </c>
      <c r="V49" s="108">
        <v>0</v>
      </c>
      <c r="W49" s="108">
        <v>0</v>
      </c>
      <c r="X49" s="108">
        <v>0</v>
      </c>
      <c r="Y49" s="108">
        <v>0</v>
      </c>
      <c r="Z49" s="108">
        <v>0</v>
      </c>
      <c r="AA49" s="108">
        <v>0</v>
      </c>
      <c r="AB49" s="108">
        <v>0</v>
      </c>
      <c r="AC49" s="108">
        <v>0</v>
      </c>
      <c r="AD49" s="108">
        <v>0</v>
      </c>
      <c r="AE49" s="108">
        <v>0</v>
      </c>
      <c r="AF49" s="108">
        <v>0</v>
      </c>
      <c r="AG49" s="108">
        <v>0</v>
      </c>
      <c r="AH49" s="108">
        <v>0</v>
      </c>
      <c r="AI49" s="108">
        <v>0</v>
      </c>
      <c r="AJ49" s="108">
        <v>0</v>
      </c>
      <c r="AK49" s="108">
        <v>0</v>
      </c>
      <c r="AL49" s="108">
        <v>0</v>
      </c>
      <c r="AM49" s="108">
        <v>0</v>
      </c>
      <c r="AN49" s="108">
        <v>0</v>
      </c>
      <c r="AO49" s="108">
        <v>0</v>
      </c>
      <c r="AP49" s="108">
        <v>0</v>
      </c>
      <c r="AQ49" s="109">
        <v>0</v>
      </c>
    </row>
    <row r="50" spans="2:43" ht="12" customHeight="1" x14ac:dyDescent="0.25">
      <c r="B50" s="110" t="s">
        <v>46</v>
      </c>
      <c r="C50" s="111" t="s">
        <v>23</v>
      </c>
      <c r="D50" s="111" t="s">
        <v>47</v>
      </c>
      <c r="E50" s="111" t="s">
        <v>89</v>
      </c>
      <c r="F50" s="111" t="s">
        <v>25</v>
      </c>
      <c r="G50" s="111" t="s">
        <v>25</v>
      </c>
      <c r="H50" s="111" t="s">
        <v>71</v>
      </c>
      <c r="I50" s="111" t="s">
        <v>25</v>
      </c>
      <c r="J50" s="111">
        <v>0</v>
      </c>
      <c r="K50" s="111">
        <v>0</v>
      </c>
      <c r="L50" s="111">
        <v>0</v>
      </c>
      <c r="M50" s="111">
        <v>0</v>
      </c>
      <c r="N50" s="111">
        <v>0</v>
      </c>
      <c r="O50" s="111">
        <v>0</v>
      </c>
      <c r="P50" s="111">
        <v>0</v>
      </c>
      <c r="Q50" s="111">
        <v>0</v>
      </c>
      <c r="R50" s="111">
        <v>0</v>
      </c>
      <c r="S50" s="111">
        <v>0</v>
      </c>
      <c r="T50" s="111">
        <v>0</v>
      </c>
      <c r="U50" s="111">
        <v>0</v>
      </c>
      <c r="V50" s="111">
        <v>0</v>
      </c>
      <c r="W50" s="111">
        <v>0</v>
      </c>
      <c r="X50" s="111">
        <v>0</v>
      </c>
      <c r="Y50" s="111">
        <v>0</v>
      </c>
      <c r="Z50" s="111">
        <v>0</v>
      </c>
      <c r="AA50" s="111">
        <v>0</v>
      </c>
      <c r="AB50" s="111">
        <v>0</v>
      </c>
      <c r="AC50" s="111">
        <v>0</v>
      </c>
      <c r="AD50" s="111">
        <v>0</v>
      </c>
      <c r="AE50" s="111">
        <v>0</v>
      </c>
      <c r="AF50" s="111">
        <v>0</v>
      </c>
      <c r="AG50" s="111">
        <v>0</v>
      </c>
      <c r="AH50" s="111">
        <v>0</v>
      </c>
      <c r="AI50" s="111">
        <v>0</v>
      </c>
      <c r="AJ50" s="111">
        <v>0</v>
      </c>
      <c r="AK50" s="111">
        <v>0</v>
      </c>
      <c r="AL50" s="111">
        <v>0</v>
      </c>
      <c r="AM50" s="111">
        <v>0</v>
      </c>
      <c r="AN50" s="111">
        <v>0</v>
      </c>
      <c r="AO50" s="111">
        <v>0</v>
      </c>
      <c r="AP50" s="111">
        <v>0</v>
      </c>
      <c r="AQ50" s="112">
        <v>0</v>
      </c>
    </row>
  </sheetData>
  <mergeCells count="8">
    <mergeCell ref="L1:AG1"/>
    <mergeCell ref="AH1:AQ1"/>
    <mergeCell ref="L2:S2"/>
    <mergeCell ref="T2:Z2"/>
    <mergeCell ref="AB2:AC2"/>
    <mergeCell ref="AD2:AG2"/>
    <mergeCell ref="AH2:AK2"/>
    <mergeCell ref="AM2:AP2"/>
  </mergeCells>
  <phoneticPr fontId="9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FDCC8-54DF-44A4-8CC3-EF1C1D4D6197}">
  <dimension ref="A1:AD49"/>
  <sheetViews>
    <sheetView showGridLines="0" workbookViewId="0">
      <selection sqref="A1:W49"/>
    </sheetView>
  </sheetViews>
  <sheetFormatPr defaultRowHeight="11.25" customHeight="1" x14ac:dyDescent="0.25"/>
  <cols>
    <col min="1" max="1" width="9.28515625" style="9" bestFit="1" customWidth="1"/>
    <col min="2" max="2" width="21.5703125" style="9" bestFit="1" customWidth="1"/>
    <col min="3" max="3" width="13.5703125" style="9" bestFit="1" customWidth="1"/>
    <col min="4" max="4" width="25.140625" style="9" bestFit="1" customWidth="1"/>
    <col min="5" max="6" width="10.28515625" style="9" bestFit="1" customWidth="1"/>
    <col min="7" max="7" width="6.28515625" style="9" bestFit="1" customWidth="1"/>
    <col min="8" max="8" width="7.42578125" style="9" bestFit="1" customWidth="1"/>
    <col min="9" max="20" width="7" style="9" bestFit="1" customWidth="1"/>
    <col min="21" max="21" width="14.140625" style="9" bestFit="1" customWidth="1"/>
    <col min="22" max="16384" width="9.140625" style="9"/>
  </cols>
  <sheetData>
    <row r="1" spans="1:30" ht="11.25" customHeight="1" x14ac:dyDescent="0.25">
      <c r="A1" s="10" t="s">
        <v>61</v>
      </c>
      <c r="B1" s="10" t="s">
        <v>62</v>
      </c>
      <c r="C1" s="10" t="s">
        <v>63</v>
      </c>
      <c r="D1" s="10" t="s">
        <v>64</v>
      </c>
      <c r="E1" s="10" t="s">
        <v>65</v>
      </c>
      <c r="F1" s="10" t="s">
        <v>66</v>
      </c>
      <c r="G1" s="10" t="s">
        <v>67</v>
      </c>
      <c r="H1" s="10" t="s">
        <v>68</v>
      </c>
      <c r="I1" s="11">
        <v>44287</v>
      </c>
      <c r="J1" s="11">
        <v>44317</v>
      </c>
      <c r="K1" s="11">
        <v>44348</v>
      </c>
      <c r="L1" s="11">
        <v>44378</v>
      </c>
      <c r="M1" s="11">
        <v>44409</v>
      </c>
      <c r="N1" s="11">
        <v>44440</v>
      </c>
      <c r="O1" s="11">
        <v>44470</v>
      </c>
      <c r="P1" s="11">
        <v>44501</v>
      </c>
      <c r="Q1" s="11">
        <v>44531</v>
      </c>
      <c r="R1" s="11">
        <v>44562</v>
      </c>
      <c r="S1" s="11">
        <v>44593</v>
      </c>
      <c r="T1" s="11">
        <v>44621</v>
      </c>
      <c r="U1" s="10" t="s">
        <v>69</v>
      </c>
      <c r="V1" s="10"/>
      <c r="W1" s="10"/>
      <c r="X1" s="7"/>
      <c r="Y1" s="7"/>
      <c r="Z1" s="7"/>
      <c r="AA1" s="7"/>
      <c r="AB1" s="7"/>
      <c r="AC1" s="7"/>
      <c r="AD1" s="7"/>
    </row>
    <row r="2" spans="1:30" ht="11.25" customHeight="1" x14ac:dyDescent="0.25">
      <c r="A2" s="115" t="s">
        <v>33</v>
      </c>
      <c r="B2" s="115" t="s">
        <v>41</v>
      </c>
      <c r="C2" s="115" t="s">
        <v>25</v>
      </c>
      <c r="D2" s="115" t="s">
        <v>25</v>
      </c>
      <c r="E2" s="115" t="s">
        <v>25</v>
      </c>
      <c r="F2" s="115" t="s">
        <v>25</v>
      </c>
      <c r="G2" s="12" t="s">
        <v>77</v>
      </c>
      <c r="H2" s="12" t="s">
        <v>76</v>
      </c>
      <c r="I2" s="12">
        <f>SUMIF(Mercado_Receita!$S$2:$S$469,"44287A4AzulNão se aplicaNão se aplicaNão se aplicaNão se aplicaPonta",Mercado_Receita!$J$2:$J$469)+SUMIF(Mercado_Receita!$S$2:$S$469,"44287A4AzulNão se aplicaNão se aplicaAPENão se aplicaPonta",Mercado_Receita!$J$2:$J$469)</f>
        <v>32</v>
      </c>
      <c r="J2" s="12">
        <f>SUMIF(Mercado_Receita!$S$2:$S$469,"44317A4AzulNão se aplicaNão se aplicaNão se aplicaNão se aplicaPonta",Mercado_Receita!$J$2:$J$469)+SUMIF(Mercado_Receita!$S$2:$S$469,"44317A4AzulNão se aplicaNão se aplicaAPENão se aplicaPonta",Mercado_Receita!$J$2:$J$469)</f>
        <v>32</v>
      </c>
      <c r="K2" s="12">
        <f>SUMIF(Mercado_Receita!$S$2:$S$469,"44348A4AzulNão se aplicaNão se aplicaNão se aplicaNão se aplicaPonta",Mercado_Receita!$J$2:$J$469)+SUMIF(Mercado_Receita!$S$2:$S$469,"44348A4AzulNão se aplicaNão se aplicaAPENão se aplicaPonta",Mercado_Receita!$J$2:$J$469)</f>
        <v>32</v>
      </c>
      <c r="L2" s="12">
        <f>SUMIF(Mercado_Receita!$S$2:$S$469,"44378A4AzulNão se aplicaNão se aplicaNão se aplicaNão se aplicaPonta",Mercado_Receita!$J$2:$J$469)+SUMIF(Mercado_Receita!$S$2:$S$469,"44378A4AzulNão se aplicaNão se aplicaAPENão se aplicaPonta",Mercado_Receita!$J$2:$J$469)</f>
        <v>32</v>
      </c>
      <c r="M2" s="12">
        <f>SUMIF(Mercado_Receita!$S$2:$S$469,"44409A4AzulNão se aplicaNão se aplicaNão se aplicaNão se aplicaPonta",Mercado_Receita!$J$2:$J$469)+SUMIF(Mercado_Receita!$S$2:$S$469,"44409A4AzulNão se aplicaNão se aplicaAPENão se aplicaPonta",Mercado_Receita!$J$2:$J$469)</f>
        <v>31</v>
      </c>
      <c r="N2" s="12">
        <f>SUMIF(Mercado_Receita!$S$2:$S$469,"44440A4AzulNão se aplicaNão se aplicaNão se aplicaNão se aplicaPonta",Mercado_Receita!$J$2:$J$469)+SUMIF(Mercado_Receita!$S$2:$S$469,"44440A4AzulNão se aplicaNão se aplicaAPENão se aplicaPonta",Mercado_Receita!$J$2:$J$469)</f>
        <v>35</v>
      </c>
      <c r="O2" s="12">
        <f>SUMIF(Mercado_Receita!$S$2:$S$469,"44470A4AzulNão se aplicaNão se aplicaNão se aplicaNão se aplicaPonta",Mercado_Receita!$J$2:$J$469)+SUMIF(Mercado_Receita!$S$2:$S$469,"44470A4AzulNão se aplicaNão se aplicaAPENão se aplicaPonta",Mercado_Receita!$J$2:$J$469)</f>
        <v>31</v>
      </c>
      <c r="P2" s="12">
        <f>SUMIF(Mercado_Receita!$S$2:$S$469,"44501A4AzulNão se aplicaNão se aplicaNão se aplicaNão se aplicaPonta",Mercado_Receita!$J$2:$J$469)+SUMIF(Mercado_Receita!$S$2:$S$469,"44501A4AzulNão se aplicaNão se aplicaAPENão se aplicaPonta",Mercado_Receita!$J$2:$J$469)</f>
        <v>31</v>
      </c>
      <c r="Q2" s="12">
        <f>SUMIF(Mercado_Receita!$S$2:$S$469,"44531A4AzulNão se aplicaNão se aplicaNão se aplicaNão se aplicaPonta",Mercado_Receita!$J$2:$J$469)+SUMIF(Mercado_Receita!$S$2:$S$469,"44531A4AzulNão se aplicaNão se aplicaAPENão se aplicaPonta",Mercado_Receita!$J$2:$J$469)</f>
        <v>32</v>
      </c>
      <c r="R2" s="12">
        <f>SUMIF(Mercado_Receita!$S$2:$S$469,"44562A4AzulNão se aplicaNão se aplicaNão se aplicaNão se aplicaPonta",Mercado_Receita!$J$2:$J$469)+SUMIF(Mercado_Receita!$S$2:$S$469,"44562A4AzulNão se aplicaNão se aplicaAPENão se aplicaPonta",Mercado_Receita!$J$2:$J$469)</f>
        <v>32</v>
      </c>
      <c r="S2" s="12">
        <f>SUMIF(Mercado_Receita!$S$2:$S$469,"44593A4AzulNão se aplicaNão se aplicaNão se aplicaNão se aplicaPonta",Mercado_Receita!$J$2:$J$469)+SUMIF(Mercado_Receita!$S$2:$S$469,"44593A4AzulNão se aplicaNão se aplicaAPENão se aplicaPonta",Mercado_Receita!$J$2:$J$469)</f>
        <v>32</v>
      </c>
      <c r="T2" s="12">
        <f>SUMIF(Mercado_Receita!$S$2:$S$469,"44621A4AzulNão se aplicaNão se aplicaNão se aplicaNão se aplicaPonta",Mercado_Receita!$J$2:$J$469)+SUMIF(Mercado_Receita!$S$2:$S$469,"44621A4AzulNão se aplicaNão se aplicaAPENão se aplicaPonta",Mercado_Receita!$J$2:$J$469)</f>
        <v>32</v>
      </c>
      <c r="U2" s="12">
        <f t="shared" ref="U2:U48" si="0">SUM(I2:T2)</f>
        <v>384</v>
      </c>
      <c r="V2" s="12"/>
      <c r="W2" s="12"/>
    </row>
    <row r="3" spans="1:30" ht="11.25" customHeight="1" x14ac:dyDescent="0.25">
      <c r="A3" s="116"/>
      <c r="B3" s="116"/>
      <c r="C3" s="116"/>
      <c r="D3" s="116"/>
      <c r="E3" s="116"/>
      <c r="F3" s="116"/>
      <c r="G3" s="12" t="s">
        <v>78</v>
      </c>
      <c r="H3" s="12" t="s">
        <v>76</v>
      </c>
      <c r="I3" s="12">
        <f>SUMIF(Mercado_Receita!$S$2:$S$469,"44287A4AzulNão se aplicaNão se aplicaNão se aplicaNão se aplicaFora ponta",Mercado_Receita!$J$2:$J$469)+SUMIF(Mercado_Receita!$S$2:$S$469,"44287A4AzulNão se aplicaNão se aplicaAPENão se aplicaFora ponta",Mercado_Receita!$J$2:$J$469)</f>
        <v>92</v>
      </c>
      <c r="J3" s="12">
        <f>SUMIF(Mercado_Receita!$S$2:$S$469,"44317A4AzulNão se aplicaNão se aplicaNão se aplicaNão se aplicaFora ponta",Mercado_Receita!$J$2:$J$469)+SUMIF(Mercado_Receita!$S$2:$S$469,"44317A4AzulNão se aplicaNão se aplicaAPENão se aplicaFora ponta",Mercado_Receita!$J$2:$J$469)</f>
        <v>92</v>
      </c>
      <c r="K3" s="12">
        <f>SUMIF(Mercado_Receita!$S$2:$S$469,"44348A4AzulNão se aplicaNão se aplicaNão se aplicaNão se aplicaFora ponta",Mercado_Receita!$J$2:$J$469)+SUMIF(Mercado_Receita!$S$2:$S$469,"44348A4AzulNão se aplicaNão se aplicaAPENão se aplicaFora ponta",Mercado_Receita!$J$2:$J$469)</f>
        <v>91</v>
      </c>
      <c r="L3" s="12">
        <f>SUMIF(Mercado_Receita!$S$2:$S$469,"44378A4AzulNão se aplicaNão se aplicaNão se aplicaNão se aplicaFora ponta",Mercado_Receita!$J$2:$J$469)+SUMIF(Mercado_Receita!$S$2:$S$469,"44378A4AzulNão se aplicaNão se aplicaAPENão se aplicaFora ponta",Mercado_Receita!$J$2:$J$469)</f>
        <v>91</v>
      </c>
      <c r="M3" s="12">
        <f>SUMIF(Mercado_Receita!$S$2:$S$469,"44409A4AzulNão se aplicaNão se aplicaNão se aplicaNão se aplicaFora ponta",Mercado_Receita!$J$2:$J$469)+SUMIF(Mercado_Receita!$S$2:$S$469,"44409A4AzulNão se aplicaNão se aplicaAPENão se aplicaFora ponta",Mercado_Receita!$J$2:$J$469)</f>
        <v>91</v>
      </c>
      <c r="N3" s="12">
        <f>SUMIF(Mercado_Receita!$S$2:$S$469,"44440A4AzulNão se aplicaNão se aplicaNão se aplicaNão se aplicaFora ponta",Mercado_Receita!$J$2:$J$469)+SUMIF(Mercado_Receita!$S$2:$S$469,"44440A4AzulNão se aplicaNão se aplicaAPENão se aplicaFora ponta",Mercado_Receita!$J$2:$J$469)</f>
        <v>92</v>
      </c>
      <c r="O3" s="12">
        <f>SUMIF(Mercado_Receita!$S$2:$S$469,"44470A4AzulNão se aplicaNão se aplicaNão se aplicaNão se aplicaFora ponta",Mercado_Receita!$J$2:$J$469)+SUMIF(Mercado_Receita!$S$2:$S$469,"44470A4AzulNão se aplicaNão se aplicaAPENão se aplicaFora ponta",Mercado_Receita!$J$2:$J$469)</f>
        <v>93</v>
      </c>
      <c r="P3" s="12">
        <f>SUMIF(Mercado_Receita!$S$2:$S$469,"44501A4AzulNão se aplicaNão se aplicaNão se aplicaNão se aplicaFora ponta",Mercado_Receita!$J$2:$J$469)+SUMIF(Mercado_Receita!$S$2:$S$469,"44501A4AzulNão se aplicaNão se aplicaAPENão se aplicaFora ponta",Mercado_Receita!$J$2:$J$469)</f>
        <v>91</v>
      </c>
      <c r="Q3" s="12">
        <f>SUMIF(Mercado_Receita!$S$2:$S$469,"44531A4AzulNão se aplicaNão se aplicaNão se aplicaNão se aplicaFora ponta",Mercado_Receita!$J$2:$J$469)+SUMIF(Mercado_Receita!$S$2:$S$469,"44531A4AzulNão se aplicaNão se aplicaAPENão se aplicaFora ponta",Mercado_Receita!$J$2:$J$469)</f>
        <v>90</v>
      </c>
      <c r="R3" s="12">
        <f>SUMIF(Mercado_Receita!$S$2:$S$469,"44562A4AzulNão se aplicaNão se aplicaNão se aplicaNão se aplicaFora ponta",Mercado_Receita!$J$2:$J$469)+SUMIF(Mercado_Receita!$S$2:$S$469,"44562A4AzulNão se aplicaNão se aplicaAPENão se aplicaFora ponta",Mercado_Receita!$J$2:$J$469)</f>
        <v>90</v>
      </c>
      <c r="S3" s="12">
        <f>SUMIF(Mercado_Receita!$S$2:$S$469,"44593A4AzulNão se aplicaNão se aplicaNão se aplicaNão se aplicaFora ponta",Mercado_Receita!$J$2:$J$469)+SUMIF(Mercado_Receita!$S$2:$S$469,"44593A4AzulNão se aplicaNão se aplicaAPENão se aplicaFora ponta",Mercado_Receita!$J$2:$J$469)</f>
        <v>90</v>
      </c>
      <c r="T3" s="12">
        <f>SUMIF(Mercado_Receita!$S$2:$S$469,"44621A4AzulNão se aplicaNão se aplicaNão se aplicaNão se aplicaFora ponta",Mercado_Receita!$J$2:$J$469)+SUMIF(Mercado_Receita!$S$2:$S$469,"44621A4AzulNão se aplicaNão se aplicaAPENão se aplicaFora ponta",Mercado_Receita!$J$2:$J$469)</f>
        <v>92</v>
      </c>
      <c r="U3" s="12">
        <f t="shared" si="0"/>
        <v>1095</v>
      </c>
      <c r="V3" s="12"/>
      <c r="W3" s="12"/>
    </row>
    <row r="4" spans="1:30" ht="11.25" customHeight="1" x14ac:dyDescent="0.25">
      <c r="A4" s="116"/>
      <c r="B4" s="116"/>
      <c r="C4" s="116"/>
      <c r="D4" s="116"/>
      <c r="E4" s="116"/>
      <c r="F4" s="116"/>
      <c r="G4" s="12" t="s">
        <v>75</v>
      </c>
      <c r="H4" s="12" t="s">
        <v>71</v>
      </c>
      <c r="I4" s="12">
        <f>SUMIF(Mercado_Receita!$S$2:$S$469,"44287A4AzulNão se aplicaNão se aplicaNão se aplicaNão se aplicaPonta",Mercado_Receita!$L$2:$L$469)+SUMIF(Mercado_Receita!$S$2:$S$469,"44287A4AzulNão se aplicaNão se aplicaNão se aplicaNão se aplicaFora ponta",Mercado_Receita!$L$2:$L$469)+SUMIF(Mercado_Receita!$S$2:$S$469,"44287A4AzulNão se aplicaNão se aplicaNão se aplicaNão se aplicaIntermediário",Mercado_Receita!$L$2:$L$469)+SUMIF(Mercado_Receita!$S$2:$S$469,"44287A4AzulNão se aplicaNão se aplicaNão se aplicaNão se aplicaNão se aplica",Mercado_Receita!$L$2:$L$469)</f>
        <v>56.788999999999994</v>
      </c>
      <c r="J4" s="12">
        <f>SUMIF(Mercado_Receita!$S$2:$S$469,"44317A4AzulNão se aplicaNão se aplicaNão se aplicaNão se aplicaPonta",Mercado_Receita!$L$2:$L$469)+SUMIF(Mercado_Receita!$S$2:$S$469,"44317A4AzulNão se aplicaNão se aplicaNão se aplicaNão se aplicaFora ponta",Mercado_Receita!$L$2:$L$469)+SUMIF(Mercado_Receita!$S$2:$S$469,"44317A4AzulNão se aplicaNão se aplicaNão se aplicaNão se aplicaIntermediário",Mercado_Receita!$L$2:$L$469)+SUMIF(Mercado_Receita!$S$2:$S$469,"44317A4AzulNão se aplicaNão se aplicaNão se aplicaNão se aplicaNão se aplica",Mercado_Receita!$L$2:$L$469)</f>
        <v>59.585000000000001</v>
      </c>
      <c r="K4" s="12">
        <f>SUMIF(Mercado_Receita!$S$2:$S$469,"44348A4AzulNão se aplicaNão se aplicaNão se aplicaNão se aplicaPonta",Mercado_Receita!$L$2:$L$469)+SUMIF(Mercado_Receita!$S$2:$S$469,"44348A4AzulNão se aplicaNão se aplicaNão se aplicaNão se aplicaFora ponta",Mercado_Receita!$L$2:$L$469)+SUMIF(Mercado_Receita!$S$2:$S$469,"44348A4AzulNão se aplicaNão se aplicaNão se aplicaNão se aplicaIntermediário",Mercado_Receita!$L$2:$L$469)+SUMIF(Mercado_Receita!$S$2:$S$469,"44348A4AzulNão se aplicaNão se aplicaNão se aplicaNão se aplicaNão se aplica",Mercado_Receita!$L$2:$L$469)</f>
        <v>56.408000000000001</v>
      </c>
      <c r="L4" s="12">
        <f>SUMIF(Mercado_Receita!$S$2:$S$469,"44378A4AzulNão se aplicaNão se aplicaNão se aplicaNão se aplicaPonta",Mercado_Receita!$L$2:$L$469)+SUMIF(Mercado_Receita!$S$2:$S$469,"44378A4AzulNão se aplicaNão se aplicaNão se aplicaNão se aplicaFora ponta",Mercado_Receita!$L$2:$L$469)+SUMIF(Mercado_Receita!$S$2:$S$469,"44378A4AzulNão se aplicaNão se aplicaNão se aplicaNão se aplicaIntermediário",Mercado_Receita!$L$2:$L$469)+SUMIF(Mercado_Receita!$S$2:$S$469,"44378A4AzulNão se aplicaNão se aplicaNão se aplicaNão se aplicaNão se aplica",Mercado_Receita!$L$2:$L$469)</f>
        <v>58.496000000000002</v>
      </c>
      <c r="M4" s="12">
        <f>SUMIF(Mercado_Receita!$S$2:$S$469,"44409A4AzulNão se aplicaNão se aplicaNão se aplicaNão se aplicaPonta",Mercado_Receita!$L$2:$L$469)+SUMIF(Mercado_Receita!$S$2:$S$469,"44409A4AzulNão se aplicaNão se aplicaNão se aplicaNão se aplicaFora ponta",Mercado_Receita!$L$2:$L$469)+SUMIF(Mercado_Receita!$S$2:$S$469,"44409A4AzulNão se aplicaNão se aplicaNão se aplicaNão se aplicaIntermediário",Mercado_Receita!$L$2:$L$469)+SUMIF(Mercado_Receita!$S$2:$S$469,"44409A4AzulNão se aplicaNão se aplicaNão se aplicaNão se aplicaNão se aplica",Mercado_Receita!$L$2:$L$469)</f>
        <v>57.984999999999999</v>
      </c>
      <c r="N4" s="12">
        <f>SUMIF(Mercado_Receita!$S$2:$S$469,"44440A4AzulNão se aplicaNão se aplicaNão se aplicaNão se aplicaPonta",Mercado_Receita!$L$2:$L$469)+SUMIF(Mercado_Receita!$S$2:$S$469,"44440A4AzulNão se aplicaNão se aplicaNão se aplicaNão se aplicaFora ponta",Mercado_Receita!$L$2:$L$469)+SUMIF(Mercado_Receita!$S$2:$S$469,"44440A4AzulNão se aplicaNão se aplicaNão se aplicaNão se aplicaIntermediário",Mercado_Receita!$L$2:$L$469)+SUMIF(Mercado_Receita!$S$2:$S$469,"44440A4AzulNão se aplicaNão se aplicaNão se aplicaNão se aplicaNão se aplica",Mercado_Receita!$L$2:$L$469)</f>
        <v>55.762</v>
      </c>
      <c r="O4" s="12">
        <f>SUMIF(Mercado_Receita!$S$2:$S$469,"44470A4AzulNão se aplicaNão se aplicaNão se aplicaNão se aplicaPonta",Mercado_Receita!$L$2:$L$469)+SUMIF(Mercado_Receita!$S$2:$S$469,"44470A4AzulNão se aplicaNão se aplicaNão se aplicaNão se aplicaFora ponta",Mercado_Receita!$L$2:$L$469)+SUMIF(Mercado_Receita!$S$2:$S$469,"44470A4AzulNão se aplicaNão se aplicaNão se aplicaNão se aplicaIntermediário",Mercado_Receita!$L$2:$L$469)+SUMIF(Mercado_Receita!$S$2:$S$469,"44470A4AzulNão se aplicaNão se aplicaNão se aplicaNão se aplicaNão se aplica",Mercado_Receita!$L$2:$L$469)</f>
        <v>57.594000000000001</v>
      </c>
      <c r="P4" s="12">
        <f>SUMIF(Mercado_Receita!$S$2:$S$469,"44501A4AzulNão se aplicaNão se aplicaNão se aplicaNão se aplicaPonta",Mercado_Receita!$L$2:$L$469)+SUMIF(Mercado_Receita!$S$2:$S$469,"44501A4AzulNão se aplicaNão se aplicaNão se aplicaNão se aplicaFora ponta",Mercado_Receita!$L$2:$L$469)+SUMIF(Mercado_Receita!$S$2:$S$469,"44501A4AzulNão se aplicaNão se aplicaNão se aplicaNão se aplicaIntermediário",Mercado_Receita!$L$2:$L$469)+SUMIF(Mercado_Receita!$S$2:$S$469,"44501A4AzulNão se aplicaNão se aplicaNão se aplicaNão se aplicaNão se aplica",Mercado_Receita!$L$2:$L$469)</f>
        <v>55.939</v>
      </c>
      <c r="Q4" s="12">
        <f>SUMIF(Mercado_Receita!$S$2:$S$469,"44531A4AzulNão se aplicaNão se aplicaNão se aplicaNão se aplicaPonta",Mercado_Receita!$L$2:$L$469)+SUMIF(Mercado_Receita!$S$2:$S$469,"44531A4AzulNão se aplicaNão se aplicaNão se aplicaNão se aplicaFora ponta",Mercado_Receita!$L$2:$L$469)+SUMIF(Mercado_Receita!$S$2:$S$469,"44531A4AzulNão se aplicaNão se aplicaNão se aplicaNão se aplicaIntermediário",Mercado_Receita!$L$2:$L$469)+SUMIF(Mercado_Receita!$S$2:$S$469,"44531A4AzulNão se aplicaNão se aplicaNão se aplicaNão se aplicaNão se aplica",Mercado_Receita!$L$2:$L$469)</f>
        <v>56.503</v>
      </c>
      <c r="R4" s="12">
        <f>SUMIF(Mercado_Receita!$S$2:$S$469,"44562A4AzulNão se aplicaNão se aplicaNão se aplicaNão se aplicaPonta",Mercado_Receita!$L$2:$L$469)+SUMIF(Mercado_Receita!$S$2:$S$469,"44562A4AzulNão se aplicaNão se aplicaNão se aplicaNão se aplicaFora ponta",Mercado_Receita!$L$2:$L$469)+SUMIF(Mercado_Receita!$S$2:$S$469,"44562A4AzulNão se aplicaNão se aplicaNão se aplicaNão se aplicaIntermediário",Mercado_Receita!$L$2:$L$469)+SUMIF(Mercado_Receita!$S$2:$S$469,"44562A4AzulNão se aplicaNão se aplicaNão se aplicaNão se aplicaNão se aplica",Mercado_Receita!$L$2:$L$469)</f>
        <v>55.322000000000003</v>
      </c>
      <c r="S4" s="12">
        <f>SUMIF(Mercado_Receita!$S$2:$S$469,"44593A4AzulNão se aplicaNão se aplicaNão se aplicaNão se aplicaPonta",Mercado_Receita!$L$2:$L$469)+SUMIF(Mercado_Receita!$S$2:$S$469,"44593A4AzulNão se aplicaNão se aplicaNão se aplicaNão se aplicaFora ponta",Mercado_Receita!$L$2:$L$469)+SUMIF(Mercado_Receita!$S$2:$S$469,"44593A4AzulNão se aplicaNão se aplicaNão se aplicaNão se aplicaIntermediário",Mercado_Receita!$L$2:$L$469)+SUMIF(Mercado_Receita!$S$2:$S$469,"44593A4AzulNão se aplicaNão se aplicaNão se aplicaNão se aplicaNão se aplica",Mercado_Receita!$L$2:$L$469)</f>
        <v>51.226999999999997</v>
      </c>
      <c r="T4" s="12">
        <f>SUMIF(Mercado_Receita!$S$2:$S$469,"44621A4AzulNão se aplicaNão se aplicaNão se aplicaNão se aplicaPonta",Mercado_Receita!$L$2:$L$469)+SUMIF(Mercado_Receita!$S$2:$S$469,"44621A4AzulNão se aplicaNão se aplicaNão se aplicaNão se aplicaFora ponta",Mercado_Receita!$L$2:$L$469)+SUMIF(Mercado_Receita!$S$2:$S$469,"44621A4AzulNão se aplicaNão se aplicaNão se aplicaNão se aplicaIntermediário",Mercado_Receita!$L$2:$L$469)+SUMIF(Mercado_Receita!$S$2:$S$469,"44621A4AzulNão se aplicaNão se aplicaNão se aplicaNão se aplicaNão se aplica",Mercado_Receita!$L$2:$L$469)</f>
        <v>58.418000000000006</v>
      </c>
      <c r="U4" s="12">
        <f t="shared" si="0"/>
        <v>680.02800000000002</v>
      </c>
      <c r="V4" s="12"/>
      <c r="W4" s="12"/>
    </row>
    <row r="5" spans="1:30" ht="11.25" customHeight="1" x14ac:dyDescent="0.25">
      <c r="A5" s="116"/>
      <c r="B5" s="116"/>
      <c r="C5" s="116"/>
      <c r="D5" s="116"/>
      <c r="E5" s="13" t="s">
        <v>79</v>
      </c>
      <c r="F5" s="13" t="s">
        <v>25</v>
      </c>
      <c r="G5" s="12" t="s">
        <v>75</v>
      </c>
      <c r="H5" s="12" t="s">
        <v>71</v>
      </c>
      <c r="I5" s="12">
        <f>SUMIF(Mercado_Receita!$S$2:$S$469,"44287A4AzulNão se aplicaNão se aplicaAPENão se aplicaPonta",Mercado_Receita!$L$2:$L$469)+SUMIF(Mercado_Receita!$S$2:$S$469,"44287A4AzulNão se aplicaNão se aplicaAPENão se aplicaFora ponta",Mercado_Receita!$L$2:$L$469)+SUMIF(Mercado_Receita!$S$2:$S$469,"44287A4AzulNão se aplicaNão se aplicaAPENão se aplicaIntermediário",Mercado_Receita!$L$2:$L$469)+SUMIF(Mercado_Receita!$S$2:$S$469,"44287A4AzulNão se aplicaNão se aplicaAPENão se aplicaNão se aplica",Mercado_Receita!$L$2:$L$469)</f>
        <v>0</v>
      </c>
      <c r="J5" s="12">
        <f>SUMIF(Mercado_Receita!$S$2:$S$469,"44317A4AzulNão se aplicaNão se aplicaAPENão se aplicaPonta",Mercado_Receita!$L$2:$L$469)+SUMIF(Mercado_Receita!$S$2:$S$469,"44317A4AzulNão se aplicaNão se aplicaAPENão se aplicaFora ponta",Mercado_Receita!$L$2:$L$469)+SUMIF(Mercado_Receita!$S$2:$S$469,"44317A4AzulNão se aplicaNão se aplicaAPENão se aplicaIntermediário",Mercado_Receita!$L$2:$L$469)+SUMIF(Mercado_Receita!$S$2:$S$469,"44317A4AzulNão se aplicaNão se aplicaAPENão se aplicaNão se aplica",Mercado_Receita!$L$2:$L$469)</f>
        <v>0</v>
      </c>
      <c r="K5" s="12">
        <f>SUMIF(Mercado_Receita!$S$2:$S$469,"44348A4AzulNão se aplicaNão se aplicaAPENão se aplicaPonta",Mercado_Receita!$L$2:$L$469)+SUMIF(Mercado_Receita!$S$2:$S$469,"44348A4AzulNão se aplicaNão se aplicaAPENão se aplicaFora ponta",Mercado_Receita!$L$2:$L$469)+SUMIF(Mercado_Receita!$S$2:$S$469,"44348A4AzulNão se aplicaNão se aplicaAPENão se aplicaIntermediário",Mercado_Receita!$L$2:$L$469)+SUMIF(Mercado_Receita!$S$2:$S$469,"44348A4AzulNão se aplicaNão se aplicaAPENão se aplicaNão se aplica",Mercado_Receita!$L$2:$L$469)</f>
        <v>0</v>
      </c>
      <c r="L5" s="12">
        <f>SUMIF(Mercado_Receita!$S$2:$S$469,"44378A4AzulNão se aplicaNão se aplicaAPENão se aplicaPonta",Mercado_Receita!$L$2:$L$469)+SUMIF(Mercado_Receita!$S$2:$S$469,"44378A4AzulNão se aplicaNão se aplicaAPENão se aplicaFora ponta",Mercado_Receita!$L$2:$L$469)+SUMIF(Mercado_Receita!$S$2:$S$469,"44378A4AzulNão se aplicaNão se aplicaAPENão se aplicaIntermediário",Mercado_Receita!$L$2:$L$469)+SUMIF(Mercado_Receita!$S$2:$S$469,"44378A4AzulNão se aplicaNão se aplicaAPENão se aplicaNão se aplica",Mercado_Receita!$L$2:$L$469)</f>
        <v>0</v>
      </c>
      <c r="M5" s="12">
        <f>SUMIF(Mercado_Receita!$S$2:$S$469,"44409A4AzulNão se aplicaNão se aplicaAPENão se aplicaPonta",Mercado_Receita!$L$2:$L$469)+SUMIF(Mercado_Receita!$S$2:$S$469,"44409A4AzulNão se aplicaNão se aplicaAPENão se aplicaFora ponta",Mercado_Receita!$L$2:$L$469)+SUMIF(Mercado_Receita!$S$2:$S$469,"44409A4AzulNão se aplicaNão se aplicaAPENão se aplicaIntermediário",Mercado_Receita!$L$2:$L$469)+SUMIF(Mercado_Receita!$S$2:$S$469,"44409A4AzulNão se aplicaNão se aplicaAPENão se aplicaNão se aplica",Mercado_Receita!$L$2:$L$469)</f>
        <v>0</v>
      </c>
      <c r="N5" s="12">
        <f>SUMIF(Mercado_Receita!$S$2:$S$469,"44440A4AzulNão se aplicaNão se aplicaAPENão se aplicaPonta",Mercado_Receita!$L$2:$L$469)+SUMIF(Mercado_Receita!$S$2:$S$469,"44440A4AzulNão se aplicaNão se aplicaAPENão se aplicaFora ponta",Mercado_Receita!$L$2:$L$469)+SUMIF(Mercado_Receita!$S$2:$S$469,"44440A4AzulNão se aplicaNão se aplicaAPENão se aplicaIntermediário",Mercado_Receita!$L$2:$L$469)+SUMIF(Mercado_Receita!$S$2:$S$469,"44440A4AzulNão se aplicaNão se aplicaAPENão se aplicaNão se aplica",Mercado_Receita!$L$2:$L$469)</f>
        <v>0</v>
      </c>
      <c r="O5" s="12">
        <f>SUMIF(Mercado_Receita!$S$2:$S$469,"44470A4AzulNão se aplicaNão se aplicaAPENão se aplicaPonta",Mercado_Receita!$L$2:$L$469)+SUMIF(Mercado_Receita!$S$2:$S$469,"44470A4AzulNão se aplicaNão se aplicaAPENão se aplicaFora ponta",Mercado_Receita!$L$2:$L$469)+SUMIF(Mercado_Receita!$S$2:$S$469,"44470A4AzulNão se aplicaNão se aplicaAPENão se aplicaIntermediário",Mercado_Receita!$L$2:$L$469)+SUMIF(Mercado_Receita!$S$2:$S$469,"44470A4AzulNão se aplicaNão se aplicaAPENão se aplicaNão se aplica",Mercado_Receita!$L$2:$L$469)</f>
        <v>0</v>
      </c>
      <c r="P5" s="12">
        <f>SUMIF(Mercado_Receita!$S$2:$S$469,"44501A4AzulNão se aplicaNão se aplicaAPENão se aplicaPonta",Mercado_Receita!$L$2:$L$469)+SUMIF(Mercado_Receita!$S$2:$S$469,"44501A4AzulNão se aplicaNão se aplicaAPENão se aplicaFora ponta",Mercado_Receita!$L$2:$L$469)+SUMIF(Mercado_Receita!$S$2:$S$469,"44501A4AzulNão se aplicaNão se aplicaAPENão se aplicaIntermediário",Mercado_Receita!$L$2:$L$469)+SUMIF(Mercado_Receita!$S$2:$S$469,"44501A4AzulNão se aplicaNão se aplicaAPENão se aplicaNão se aplica",Mercado_Receita!$L$2:$L$469)</f>
        <v>0</v>
      </c>
      <c r="Q5" s="12">
        <f>SUMIF(Mercado_Receita!$S$2:$S$469,"44531A4AzulNão se aplicaNão se aplicaAPENão se aplicaPonta",Mercado_Receita!$L$2:$L$469)+SUMIF(Mercado_Receita!$S$2:$S$469,"44531A4AzulNão se aplicaNão se aplicaAPENão se aplicaFora ponta",Mercado_Receita!$L$2:$L$469)+SUMIF(Mercado_Receita!$S$2:$S$469,"44531A4AzulNão se aplicaNão se aplicaAPENão se aplicaIntermediário",Mercado_Receita!$L$2:$L$469)+SUMIF(Mercado_Receita!$S$2:$S$469,"44531A4AzulNão se aplicaNão se aplicaAPENão se aplicaNão se aplica",Mercado_Receita!$L$2:$L$469)</f>
        <v>0</v>
      </c>
      <c r="R5" s="12">
        <f>SUMIF(Mercado_Receita!$S$2:$S$469,"44562A4AzulNão se aplicaNão se aplicaAPENão se aplicaPonta",Mercado_Receita!$L$2:$L$469)+SUMIF(Mercado_Receita!$S$2:$S$469,"44562A4AzulNão se aplicaNão se aplicaAPENão se aplicaFora ponta",Mercado_Receita!$L$2:$L$469)+SUMIF(Mercado_Receita!$S$2:$S$469,"44562A4AzulNão se aplicaNão se aplicaAPENão se aplicaIntermediário",Mercado_Receita!$L$2:$L$469)+SUMIF(Mercado_Receita!$S$2:$S$469,"44562A4AzulNão se aplicaNão se aplicaAPENão se aplicaNão se aplica",Mercado_Receita!$L$2:$L$469)</f>
        <v>0</v>
      </c>
      <c r="S5" s="12">
        <f>SUMIF(Mercado_Receita!$S$2:$S$469,"44593A4AzulNão se aplicaNão se aplicaAPENão se aplicaPonta",Mercado_Receita!$L$2:$L$469)+SUMIF(Mercado_Receita!$S$2:$S$469,"44593A4AzulNão se aplicaNão se aplicaAPENão se aplicaFora ponta",Mercado_Receita!$L$2:$L$469)+SUMIF(Mercado_Receita!$S$2:$S$469,"44593A4AzulNão se aplicaNão se aplicaAPENão se aplicaIntermediário",Mercado_Receita!$L$2:$L$469)+SUMIF(Mercado_Receita!$S$2:$S$469,"44593A4AzulNão se aplicaNão se aplicaAPENão se aplicaNão se aplica",Mercado_Receita!$L$2:$L$469)</f>
        <v>0</v>
      </c>
      <c r="T5" s="12">
        <f>SUMIF(Mercado_Receita!$S$2:$S$469,"44621A4AzulNão se aplicaNão se aplicaAPENão se aplicaPonta",Mercado_Receita!$L$2:$L$469)+SUMIF(Mercado_Receita!$S$2:$S$469,"44621A4AzulNão se aplicaNão se aplicaAPENão se aplicaFora ponta",Mercado_Receita!$L$2:$L$469)+SUMIF(Mercado_Receita!$S$2:$S$469,"44621A4AzulNão se aplicaNão se aplicaAPENão se aplicaIntermediário",Mercado_Receita!$L$2:$L$469)+SUMIF(Mercado_Receita!$S$2:$S$469,"44621A4AzulNão se aplicaNão se aplicaAPENão se aplicaNão se aplica",Mercado_Receita!$L$2:$L$469)</f>
        <v>0</v>
      </c>
      <c r="U5" s="12">
        <f t="shared" si="0"/>
        <v>0</v>
      </c>
      <c r="V5" s="12"/>
      <c r="W5" s="12"/>
    </row>
    <row r="6" spans="1:30" ht="11.25" customHeight="1" x14ac:dyDescent="0.25">
      <c r="A6" s="116"/>
      <c r="B6" s="13" t="s">
        <v>80</v>
      </c>
      <c r="C6" s="13" t="s">
        <v>25</v>
      </c>
      <c r="D6" s="13" t="s">
        <v>25</v>
      </c>
      <c r="E6" s="13" t="s">
        <v>25</v>
      </c>
      <c r="F6" s="13" t="s">
        <v>25</v>
      </c>
      <c r="G6" s="12" t="s">
        <v>9</v>
      </c>
      <c r="H6" s="12" t="s">
        <v>76</v>
      </c>
      <c r="I6" s="12">
        <f>SUMIF(Mercado_Receita!$S$2:$S$469,"44287A4GeraçãoNão se aplicaNão se aplicaNão se aplicaNão se aplicaNão se aplica",Mercado_Receita!$J$2:$J$469)+SUMIF(Mercado_Receita!$S$2:$S$469,"44287A4GeraçãoNão se aplicaNão se aplicaAPENão se aplicaNão se aplica",Mercado_Receita!$J$2:$J$469)</f>
        <v>0</v>
      </c>
      <c r="J6" s="12">
        <f>SUMIF(Mercado_Receita!$S$2:$S$469,"44317A4GeraçãoNão se aplicaNão se aplicaNão se aplicaNão se aplicaNão se aplica",Mercado_Receita!$J$2:$J$469)+SUMIF(Mercado_Receita!$S$2:$S$469,"44317A4GeraçãoNão se aplicaNão se aplicaAPENão se aplicaNão se aplica",Mercado_Receita!$J$2:$J$469)</f>
        <v>0</v>
      </c>
      <c r="K6" s="12">
        <f>SUMIF(Mercado_Receita!$S$2:$S$469,"44348A4GeraçãoNão se aplicaNão se aplicaNão se aplicaNão se aplicaNão se aplica",Mercado_Receita!$J$2:$J$469)+SUMIF(Mercado_Receita!$S$2:$S$469,"44348A4GeraçãoNão se aplicaNão se aplicaAPENão se aplicaNão se aplica",Mercado_Receita!$J$2:$J$469)</f>
        <v>0</v>
      </c>
      <c r="L6" s="12">
        <f>SUMIF(Mercado_Receita!$S$2:$S$469,"44378A4GeraçãoNão se aplicaNão se aplicaNão se aplicaNão se aplicaNão se aplica",Mercado_Receita!$J$2:$J$469)+SUMIF(Mercado_Receita!$S$2:$S$469,"44378A4GeraçãoNão se aplicaNão se aplicaAPENão se aplicaNão se aplica",Mercado_Receita!$J$2:$J$469)</f>
        <v>0</v>
      </c>
      <c r="M6" s="12">
        <f>SUMIF(Mercado_Receita!$S$2:$S$469,"44409A4GeraçãoNão se aplicaNão se aplicaNão se aplicaNão se aplicaNão se aplica",Mercado_Receita!$J$2:$J$469)+SUMIF(Mercado_Receita!$S$2:$S$469,"44409A4GeraçãoNão se aplicaNão se aplicaAPENão se aplicaNão se aplica",Mercado_Receita!$J$2:$J$469)</f>
        <v>0</v>
      </c>
      <c r="N6" s="12">
        <f>SUMIF(Mercado_Receita!$S$2:$S$469,"44440A4GeraçãoNão se aplicaNão se aplicaNão se aplicaNão se aplicaNão se aplica",Mercado_Receita!$J$2:$J$469)+SUMIF(Mercado_Receita!$S$2:$S$469,"44440A4GeraçãoNão se aplicaNão se aplicaAPENão se aplicaNão se aplica",Mercado_Receita!$J$2:$J$469)</f>
        <v>0</v>
      </c>
      <c r="O6" s="12">
        <f>SUMIF(Mercado_Receita!$S$2:$S$469,"44470A4GeraçãoNão se aplicaNão se aplicaNão se aplicaNão se aplicaNão se aplica",Mercado_Receita!$J$2:$J$469)+SUMIF(Mercado_Receita!$S$2:$S$469,"44470A4GeraçãoNão se aplicaNão se aplicaAPENão se aplicaNão se aplica",Mercado_Receita!$J$2:$J$469)</f>
        <v>0</v>
      </c>
      <c r="P6" s="12">
        <f>SUMIF(Mercado_Receita!$S$2:$S$469,"44501A4GeraçãoNão se aplicaNão se aplicaNão se aplicaNão se aplicaNão se aplica",Mercado_Receita!$J$2:$J$469)+SUMIF(Mercado_Receita!$S$2:$S$469,"44501A4GeraçãoNão se aplicaNão se aplicaAPENão se aplicaNão se aplica",Mercado_Receita!$J$2:$J$469)</f>
        <v>0</v>
      </c>
      <c r="Q6" s="12">
        <f>SUMIF(Mercado_Receita!$S$2:$S$469,"44531A4GeraçãoNão se aplicaNão se aplicaNão se aplicaNão se aplicaNão se aplica",Mercado_Receita!$J$2:$J$469)+SUMIF(Mercado_Receita!$S$2:$S$469,"44531A4GeraçãoNão se aplicaNão se aplicaAPENão se aplicaNão se aplica",Mercado_Receita!$J$2:$J$469)</f>
        <v>0</v>
      </c>
      <c r="R6" s="12">
        <f>SUMIF(Mercado_Receita!$S$2:$S$469,"44562A4GeraçãoNão se aplicaNão se aplicaNão se aplicaNão se aplicaNão se aplica",Mercado_Receita!$J$2:$J$469)+SUMIF(Mercado_Receita!$S$2:$S$469,"44562A4GeraçãoNão se aplicaNão se aplicaAPENão se aplicaNão se aplica",Mercado_Receita!$J$2:$J$469)</f>
        <v>0</v>
      </c>
      <c r="S6" s="12">
        <f>SUMIF(Mercado_Receita!$S$2:$S$469,"44593A4GeraçãoNão se aplicaNão se aplicaNão se aplicaNão se aplicaNão se aplica",Mercado_Receita!$J$2:$J$469)+SUMIF(Mercado_Receita!$S$2:$S$469,"44593A4GeraçãoNão se aplicaNão se aplicaAPENão se aplicaNão se aplica",Mercado_Receita!$J$2:$J$469)</f>
        <v>0</v>
      </c>
      <c r="T6" s="12">
        <f>SUMIF(Mercado_Receita!$S$2:$S$469,"44621A4GeraçãoNão se aplicaNão se aplicaNão se aplicaNão se aplicaNão se aplica",Mercado_Receita!$J$2:$J$469)+SUMIF(Mercado_Receita!$S$2:$S$469,"44621A4GeraçãoNão se aplicaNão se aplicaAPENão se aplicaNão se aplica",Mercado_Receita!$J$2:$J$469)</f>
        <v>0</v>
      </c>
      <c r="U6" s="12">
        <f t="shared" si="0"/>
        <v>0</v>
      </c>
      <c r="V6" s="12"/>
      <c r="W6" s="12"/>
    </row>
    <row r="7" spans="1:30" ht="11.25" customHeight="1" x14ac:dyDescent="0.25">
      <c r="A7" s="116"/>
      <c r="B7" s="115" t="s">
        <v>34</v>
      </c>
      <c r="C7" s="115" t="s">
        <v>25</v>
      </c>
      <c r="D7" s="115" t="s">
        <v>25</v>
      </c>
      <c r="E7" s="115" t="s">
        <v>25</v>
      </c>
      <c r="F7" s="115" t="s">
        <v>25</v>
      </c>
      <c r="G7" s="12" t="s">
        <v>9</v>
      </c>
      <c r="H7" s="12" t="s">
        <v>76</v>
      </c>
      <c r="I7" s="12">
        <f>SUMIF(Mercado_Receita!$S$2:$S$469,"44287A4VerdeNão se aplicaNão se aplicaNão se aplicaNão se aplicaNão se aplica",Mercado_Receita!$J$2:$J$469)+SUMIF(Mercado_Receita!$S$2:$S$469,"44287A4VerdeNão se aplicaNão se aplicaAPENão se aplicaNão se aplica",Mercado_Receita!$J$2:$J$469)</f>
        <v>1372</v>
      </c>
      <c r="J7" s="12">
        <f>SUMIF(Mercado_Receita!$S$2:$S$469,"44317A4VerdeNão se aplicaNão se aplicaNão se aplicaNão se aplicaNão se aplica",Mercado_Receita!$J$2:$J$469)+SUMIF(Mercado_Receita!$S$2:$S$469,"44317A4VerdeNão se aplicaNão se aplicaAPENão se aplicaNão se aplica",Mercado_Receita!$J$2:$J$469)</f>
        <v>1369</v>
      </c>
      <c r="K7" s="12">
        <f>SUMIF(Mercado_Receita!$S$2:$S$469,"44348A4VerdeNão se aplicaNão se aplicaNão se aplicaNão se aplicaNão se aplica",Mercado_Receita!$J$2:$J$469)+SUMIF(Mercado_Receita!$S$2:$S$469,"44348A4VerdeNão se aplicaNão se aplicaAPENão se aplicaNão se aplica",Mercado_Receita!$J$2:$J$469)</f>
        <v>1361</v>
      </c>
      <c r="L7" s="12">
        <f>SUMIF(Mercado_Receita!$S$2:$S$469,"44378A4VerdeNão se aplicaNão se aplicaNão se aplicaNão se aplicaNão se aplica",Mercado_Receita!$J$2:$J$469)+SUMIF(Mercado_Receita!$S$2:$S$469,"44378A4VerdeNão se aplicaNão se aplicaAPENão se aplicaNão se aplica",Mercado_Receita!$J$2:$J$469)</f>
        <v>1371</v>
      </c>
      <c r="M7" s="12">
        <f>SUMIF(Mercado_Receita!$S$2:$S$469,"44409A4VerdeNão se aplicaNão se aplicaNão se aplicaNão se aplicaNão se aplica",Mercado_Receita!$J$2:$J$469)+SUMIF(Mercado_Receita!$S$2:$S$469,"44409A4VerdeNão se aplicaNão se aplicaAPENão se aplicaNão se aplica",Mercado_Receita!$J$2:$J$469)</f>
        <v>1529</v>
      </c>
      <c r="N7" s="12">
        <f>SUMIF(Mercado_Receita!$S$2:$S$469,"44440A4VerdeNão se aplicaNão se aplicaNão se aplicaNão se aplicaNão se aplica",Mercado_Receita!$J$2:$J$469)+SUMIF(Mercado_Receita!$S$2:$S$469,"44440A4VerdeNão se aplicaNão se aplicaAPENão se aplicaNão se aplica",Mercado_Receita!$J$2:$J$469)</f>
        <v>1448</v>
      </c>
      <c r="O7" s="12">
        <f>SUMIF(Mercado_Receita!$S$2:$S$469,"44470A4VerdeNão se aplicaNão se aplicaNão se aplicaNão se aplicaNão se aplica",Mercado_Receita!$J$2:$J$469)+SUMIF(Mercado_Receita!$S$2:$S$469,"44470A4VerdeNão se aplicaNão se aplicaAPENão se aplicaNão se aplica",Mercado_Receita!$J$2:$J$469)</f>
        <v>1491</v>
      </c>
      <c r="P7" s="12">
        <f>SUMIF(Mercado_Receita!$S$2:$S$469,"44501A4VerdeNão se aplicaNão se aplicaNão se aplicaNão se aplicaNão se aplica",Mercado_Receita!$J$2:$J$469)+SUMIF(Mercado_Receita!$S$2:$S$469,"44501A4VerdeNão se aplicaNão se aplicaAPENão se aplicaNão se aplica",Mercado_Receita!$J$2:$J$469)</f>
        <v>1470</v>
      </c>
      <c r="Q7" s="12">
        <f>SUMIF(Mercado_Receita!$S$2:$S$469,"44531A4VerdeNão se aplicaNão se aplicaNão se aplicaNão se aplicaNão se aplica",Mercado_Receita!$J$2:$J$469)+SUMIF(Mercado_Receita!$S$2:$S$469,"44531A4VerdeNão se aplicaNão se aplicaAPENão se aplicaNão se aplica",Mercado_Receita!$J$2:$J$469)</f>
        <v>1461</v>
      </c>
      <c r="R7" s="12">
        <f>SUMIF(Mercado_Receita!$S$2:$S$469,"44562A4VerdeNão se aplicaNão se aplicaNão se aplicaNão se aplicaNão se aplica",Mercado_Receita!$J$2:$J$469)+SUMIF(Mercado_Receita!$S$2:$S$469,"44562A4VerdeNão se aplicaNão se aplicaAPENão se aplicaNão se aplica",Mercado_Receita!$J$2:$J$469)</f>
        <v>1472</v>
      </c>
      <c r="S7" s="12">
        <f>SUMIF(Mercado_Receita!$S$2:$S$469,"44593A4VerdeNão se aplicaNão se aplicaNão se aplicaNão se aplicaNão se aplica",Mercado_Receita!$J$2:$J$469)+SUMIF(Mercado_Receita!$S$2:$S$469,"44593A4VerdeNão se aplicaNão se aplicaAPENão se aplicaNão se aplica",Mercado_Receita!$J$2:$J$469)</f>
        <v>1434</v>
      </c>
      <c r="T7" s="12">
        <f>SUMIF(Mercado_Receita!$S$2:$S$469,"44621A4VerdeNão se aplicaNão se aplicaNão se aplicaNão se aplicaNão se aplica",Mercado_Receita!$J$2:$J$469)+SUMIF(Mercado_Receita!$S$2:$S$469,"44621A4VerdeNão se aplicaNão se aplicaAPENão se aplicaNão se aplica",Mercado_Receita!$J$2:$J$469)</f>
        <v>1449</v>
      </c>
      <c r="U7" s="12">
        <f t="shared" si="0"/>
        <v>17227</v>
      </c>
      <c r="V7" s="12"/>
      <c r="W7" s="12"/>
    </row>
    <row r="8" spans="1:30" ht="11.25" customHeight="1" x14ac:dyDescent="0.25">
      <c r="A8" s="116"/>
      <c r="B8" s="116"/>
      <c r="C8" s="116"/>
      <c r="D8" s="116"/>
      <c r="E8" s="116"/>
      <c r="F8" s="116"/>
      <c r="G8" s="12" t="s">
        <v>72</v>
      </c>
      <c r="H8" s="12" t="s">
        <v>71</v>
      </c>
      <c r="I8" s="12">
        <f>SUMIF(Mercado_Receita!$S$2:$S$469,"44287A4VerdeNão se aplicaNão se aplicaNão se aplicaNão se aplicaPonta",Mercado_Receita!$L$2:$L$469)</f>
        <v>7.3210000000000006</v>
      </c>
      <c r="J8" s="12">
        <f>SUMIF(Mercado_Receita!$S$2:$S$469,"44317A4VerdeNão se aplicaNão se aplicaNão se aplicaNão se aplicaPonta",Mercado_Receita!$L$2:$L$469)</f>
        <v>6.1440000000000001</v>
      </c>
      <c r="K8" s="12">
        <f>SUMIF(Mercado_Receita!$S$2:$S$469,"44348A4VerdeNão se aplicaNão se aplicaNão se aplicaNão se aplicaPonta",Mercado_Receita!$L$2:$L$469)</f>
        <v>5.6310000000000002</v>
      </c>
      <c r="L8" s="12">
        <f>SUMIF(Mercado_Receita!$S$2:$S$469,"44378A4VerdeNão se aplicaNão se aplicaNão se aplicaNão se aplicaPonta",Mercado_Receita!$L$2:$L$469)</f>
        <v>5.4640000000000004</v>
      </c>
      <c r="M8" s="12">
        <f>SUMIF(Mercado_Receita!$S$2:$S$469,"44409A4VerdeNão se aplicaNão se aplicaNão se aplicaNão se aplicaPonta",Mercado_Receita!$L$2:$L$469)</f>
        <v>6.6770000000000005</v>
      </c>
      <c r="N8" s="12">
        <f>SUMIF(Mercado_Receita!$S$2:$S$469,"44440A4VerdeNão se aplicaNão se aplicaNão se aplicaNão se aplicaPonta",Mercado_Receita!$L$2:$L$469)</f>
        <v>7.5689999999999991</v>
      </c>
      <c r="O8" s="12">
        <f>SUMIF(Mercado_Receita!$S$2:$S$469,"44470A4VerdeNão se aplicaNão se aplicaNão se aplicaNão se aplicaPonta",Mercado_Receita!$L$2:$L$469)</f>
        <v>5.9409999999999989</v>
      </c>
      <c r="P8" s="12">
        <f>SUMIF(Mercado_Receita!$S$2:$S$469,"44501A4VerdeNão se aplicaNão se aplicaNão se aplicaNão se aplicaPonta",Mercado_Receita!$L$2:$L$469)</f>
        <v>8.7449999999999992</v>
      </c>
      <c r="Q8" s="12">
        <f>SUMIF(Mercado_Receita!$S$2:$S$469,"44531A4VerdeNão se aplicaNão se aplicaNão se aplicaNão se aplicaPonta",Mercado_Receita!$L$2:$L$469)</f>
        <v>10.793000000000001</v>
      </c>
      <c r="R8" s="12">
        <f>SUMIF(Mercado_Receita!$S$2:$S$469,"44562A4VerdeNão se aplicaNão se aplicaNão se aplicaNão se aplicaPonta",Mercado_Receita!$L$2:$L$469)</f>
        <v>11.048</v>
      </c>
      <c r="S8" s="12">
        <f>SUMIF(Mercado_Receita!$S$2:$S$469,"44593A4VerdeNão se aplicaNão se aplicaNão se aplicaNão se aplicaPonta",Mercado_Receita!$L$2:$L$469)</f>
        <v>10.430999999999999</v>
      </c>
      <c r="T8" s="12">
        <f>SUMIF(Mercado_Receita!$S$2:$S$469,"44621A4VerdeNão se aplicaNão se aplicaNão se aplicaNão se aplicaPonta",Mercado_Receita!$L$2:$L$469)</f>
        <v>10.922000000000001</v>
      </c>
      <c r="U8" s="12">
        <f t="shared" si="0"/>
        <v>96.685999999999993</v>
      </c>
      <c r="V8" s="12"/>
      <c r="W8" s="12"/>
    </row>
    <row r="9" spans="1:30" ht="11.25" customHeight="1" x14ac:dyDescent="0.25">
      <c r="A9" s="116"/>
      <c r="B9" s="116"/>
      <c r="C9" s="116"/>
      <c r="D9" s="116"/>
      <c r="E9" s="116"/>
      <c r="F9" s="116"/>
      <c r="G9" s="12" t="s">
        <v>73</v>
      </c>
      <c r="H9" s="12" t="s">
        <v>71</v>
      </c>
      <c r="I9" s="12">
        <f>SUMIF(Mercado_Receita!$S$2:$S$469,"44287A4VerdeNão se aplicaNão se aplicaNão se aplicaNão se aplicaFora ponta",Mercado_Receita!$L$2:$L$469)</f>
        <v>296.80899999999997</v>
      </c>
      <c r="J9" s="12">
        <f>SUMIF(Mercado_Receita!$S$2:$S$469,"44317A4VerdeNão se aplicaNão se aplicaNão se aplicaNão se aplicaFora ponta",Mercado_Receita!$L$2:$L$469)</f>
        <v>219.32100000000003</v>
      </c>
      <c r="K9" s="12">
        <f>SUMIF(Mercado_Receita!$S$2:$S$469,"44348A4VerdeNão se aplicaNão se aplicaNão se aplicaNão se aplicaFora ponta",Mercado_Receita!$L$2:$L$469)</f>
        <v>242.85599999999999</v>
      </c>
      <c r="L9" s="12">
        <f>SUMIF(Mercado_Receita!$S$2:$S$469,"44378A4VerdeNão se aplicaNão se aplicaNão se aplicaNão se aplicaFora ponta",Mercado_Receita!$L$2:$L$469)</f>
        <v>229.381</v>
      </c>
      <c r="M9" s="12">
        <f>SUMIF(Mercado_Receita!$S$2:$S$469,"44409A4VerdeNão se aplicaNão se aplicaNão se aplicaNão se aplicaFora ponta",Mercado_Receita!$L$2:$L$469)</f>
        <v>257.13400000000001</v>
      </c>
      <c r="N9" s="12">
        <f>SUMIF(Mercado_Receita!$S$2:$S$469,"44440A4VerdeNão se aplicaNão se aplicaNão se aplicaNão se aplicaFora ponta",Mercado_Receita!$L$2:$L$469)</f>
        <v>273.91699999999997</v>
      </c>
      <c r="O9" s="12">
        <f>SUMIF(Mercado_Receita!$S$2:$S$469,"44470A4VerdeNão se aplicaNão se aplicaNão se aplicaNão se aplicaFora ponta",Mercado_Receita!$L$2:$L$469)</f>
        <v>258.27300000000002</v>
      </c>
      <c r="P9" s="12">
        <f>SUMIF(Mercado_Receita!$S$2:$S$469,"44501A4VerdeNão se aplicaNão se aplicaNão se aplicaNão se aplicaFora ponta",Mercado_Receita!$L$2:$L$469)</f>
        <v>265.76400000000001</v>
      </c>
      <c r="Q9" s="12">
        <f>SUMIF(Mercado_Receita!$S$2:$S$469,"44531A4VerdeNão se aplicaNão se aplicaNão se aplicaNão se aplicaFora ponta",Mercado_Receita!$L$2:$L$469)</f>
        <v>295.10399999999998</v>
      </c>
      <c r="R9" s="12">
        <f>SUMIF(Mercado_Receita!$S$2:$S$469,"44562A4VerdeNão se aplicaNão se aplicaNão se aplicaNão se aplicaFora ponta",Mercado_Receita!$L$2:$L$469)</f>
        <v>298.57600000000002</v>
      </c>
      <c r="S9" s="12">
        <f>SUMIF(Mercado_Receita!$S$2:$S$469,"44593A4VerdeNão se aplicaNão se aplicaNão se aplicaNão se aplicaFora ponta",Mercado_Receita!$L$2:$L$469)</f>
        <v>283.28399999999999</v>
      </c>
      <c r="T9" s="12">
        <f>SUMIF(Mercado_Receita!$S$2:$S$469,"44621A4VerdeNão se aplicaNão se aplicaNão se aplicaNão se aplicaFora ponta",Mercado_Receita!$L$2:$L$469)</f>
        <v>324.35199999999998</v>
      </c>
      <c r="U9" s="12">
        <f t="shared" si="0"/>
        <v>3244.7709999999997</v>
      </c>
      <c r="V9" s="12"/>
      <c r="W9" s="12"/>
    </row>
    <row r="10" spans="1:30" ht="11.25" customHeight="1" x14ac:dyDescent="0.25">
      <c r="A10" s="116"/>
      <c r="B10" s="116"/>
      <c r="C10" s="116"/>
      <c r="D10" s="116"/>
      <c r="E10" s="115" t="s">
        <v>79</v>
      </c>
      <c r="F10" s="115" t="s">
        <v>25</v>
      </c>
      <c r="G10" s="12" t="s">
        <v>72</v>
      </c>
      <c r="H10" s="12" t="s">
        <v>71</v>
      </c>
      <c r="I10" s="12">
        <f>SUMIF(Mercado_Receita!$S$2:$S$469,"44287A4VerdeNão se aplicaNão se aplicaAPENão se aplicaPonta",Mercado_Receita!$L$2:$L$469)</f>
        <v>0</v>
      </c>
      <c r="J10" s="12">
        <f>SUMIF(Mercado_Receita!$S$2:$S$469,"44317A4VerdeNão se aplicaNão se aplicaAPENão se aplicaPonta",Mercado_Receita!$L$2:$L$469)</f>
        <v>0</v>
      </c>
      <c r="K10" s="12">
        <f>SUMIF(Mercado_Receita!$S$2:$S$469,"44348A4VerdeNão se aplicaNão se aplicaAPENão se aplicaPonta",Mercado_Receita!$L$2:$L$469)</f>
        <v>0</v>
      </c>
      <c r="L10" s="12">
        <f>SUMIF(Mercado_Receita!$S$2:$S$469,"44378A4VerdeNão se aplicaNão se aplicaAPENão se aplicaPonta",Mercado_Receita!$L$2:$L$469)</f>
        <v>0</v>
      </c>
      <c r="M10" s="12">
        <f>SUMIF(Mercado_Receita!$S$2:$S$469,"44409A4VerdeNão se aplicaNão se aplicaAPENão se aplicaPonta",Mercado_Receita!$L$2:$L$469)</f>
        <v>0</v>
      </c>
      <c r="N10" s="12">
        <f>SUMIF(Mercado_Receita!$S$2:$S$469,"44440A4VerdeNão se aplicaNão se aplicaAPENão se aplicaPonta",Mercado_Receita!$L$2:$L$469)</f>
        <v>0</v>
      </c>
      <c r="O10" s="12">
        <f>SUMIF(Mercado_Receita!$S$2:$S$469,"44470A4VerdeNão se aplicaNão se aplicaAPENão se aplicaPonta",Mercado_Receita!$L$2:$L$469)</f>
        <v>0</v>
      </c>
      <c r="P10" s="12">
        <f>SUMIF(Mercado_Receita!$S$2:$S$469,"44501A4VerdeNão se aplicaNão se aplicaAPENão se aplicaPonta",Mercado_Receita!$L$2:$L$469)</f>
        <v>0</v>
      </c>
      <c r="Q10" s="12">
        <f>SUMIF(Mercado_Receita!$S$2:$S$469,"44531A4VerdeNão se aplicaNão se aplicaAPENão se aplicaPonta",Mercado_Receita!$L$2:$L$469)</f>
        <v>0</v>
      </c>
      <c r="R10" s="12">
        <f>SUMIF(Mercado_Receita!$S$2:$S$469,"44562A4VerdeNão se aplicaNão se aplicaAPENão se aplicaPonta",Mercado_Receita!$L$2:$L$469)</f>
        <v>0</v>
      </c>
      <c r="S10" s="12">
        <f>SUMIF(Mercado_Receita!$S$2:$S$469,"44593A4VerdeNão se aplicaNão se aplicaAPENão se aplicaPonta",Mercado_Receita!$L$2:$L$469)</f>
        <v>0</v>
      </c>
      <c r="T10" s="12">
        <f>SUMIF(Mercado_Receita!$S$2:$S$469,"44621A4VerdeNão se aplicaNão se aplicaAPENão se aplicaPonta",Mercado_Receita!$L$2:$L$469)</f>
        <v>0</v>
      </c>
      <c r="U10" s="12">
        <f t="shared" si="0"/>
        <v>0</v>
      </c>
      <c r="V10" s="12"/>
      <c r="W10" s="12"/>
    </row>
    <row r="11" spans="1:30" ht="11.25" customHeight="1" x14ac:dyDescent="0.25">
      <c r="A11" s="116"/>
      <c r="B11" s="116"/>
      <c r="C11" s="116"/>
      <c r="D11" s="116"/>
      <c r="E11" s="116"/>
      <c r="F11" s="116"/>
      <c r="G11" s="12" t="s">
        <v>73</v>
      </c>
      <c r="H11" s="12" t="s">
        <v>71</v>
      </c>
      <c r="I11" s="12">
        <f>SUMIF(Mercado_Receita!$S$2:$S$469,"44287A4VerdeNão se aplicaNão se aplicaAPENão se aplicaFora ponta",Mercado_Receita!$L$2:$L$469)</f>
        <v>0</v>
      </c>
      <c r="J11" s="12">
        <f>SUMIF(Mercado_Receita!$S$2:$S$469,"44317A4VerdeNão se aplicaNão se aplicaAPENão se aplicaFora ponta",Mercado_Receita!$L$2:$L$469)</f>
        <v>0</v>
      </c>
      <c r="K11" s="12">
        <f>SUMIF(Mercado_Receita!$S$2:$S$469,"44348A4VerdeNão se aplicaNão se aplicaAPENão se aplicaFora ponta",Mercado_Receita!$L$2:$L$469)</f>
        <v>0</v>
      </c>
      <c r="L11" s="12">
        <f>SUMIF(Mercado_Receita!$S$2:$S$469,"44378A4VerdeNão se aplicaNão se aplicaAPENão se aplicaFora ponta",Mercado_Receita!$L$2:$L$469)</f>
        <v>0</v>
      </c>
      <c r="M11" s="12">
        <f>SUMIF(Mercado_Receita!$S$2:$S$469,"44409A4VerdeNão se aplicaNão se aplicaAPENão se aplicaFora ponta",Mercado_Receita!$L$2:$L$469)</f>
        <v>0</v>
      </c>
      <c r="N11" s="12">
        <f>SUMIF(Mercado_Receita!$S$2:$S$469,"44440A4VerdeNão se aplicaNão se aplicaAPENão se aplicaFora ponta",Mercado_Receita!$L$2:$L$469)</f>
        <v>0</v>
      </c>
      <c r="O11" s="12">
        <f>SUMIF(Mercado_Receita!$S$2:$S$469,"44470A4VerdeNão se aplicaNão se aplicaAPENão se aplicaFora ponta",Mercado_Receita!$L$2:$L$469)</f>
        <v>0</v>
      </c>
      <c r="P11" s="12">
        <f>SUMIF(Mercado_Receita!$S$2:$S$469,"44501A4VerdeNão se aplicaNão se aplicaAPENão se aplicaFora ponta",Mercado_Receita!$L$2:$L$469)</f>
        <v>0</v>
      </c>
      <c r="Q11" s="12">
        <f>SUMIF(Mercado_Receita!$S$2:$S$469,"44531A4VerdeNão se aplicaNão se aplicaAPENão se aplicaFora ponta",Mercado_Receita!$L$2:$L$469)</f>
        <v>0</v>
      </c>
      <c r="R11" s="12">
        <f>SUMIF(Mercado_Receita!$S$2:$S$469,"44562A4VerdeNão se aplicaNão se aplicaAPENão se aplicaFora ponta",Mercado_Receita!$L$2:$L$469)</f>
        <v>0</v>
      </c>
      <c r="S11" s="12">
        <f>SUMIF(Mercado_Receita!$S$2:$S$469,"44593A4VerdeNão se aplicaNão se aplicaAPENão se aplicaFora ponta",Mercado_Receita!$L$2:$L$469)</f>
        <v>0</v>
      </c>
      <c r="T11" s="12">
        <f>SUMIF(Mercado_Receita!$S$2:$S$469,"44621A4VerdeNão se aplicaNão se aplicaAPENão se aplicaFora ponta",Mercado_Receita!$L$2:$L$469)</f>
        <v>0</v>
      </c>
      <c r="U11" s="12">
        <f t="shared" si="0"/>
        <v>0</v>
      </c>
      <c r="V11" s="12"/>
      <c r="W11" s="12"/>
    </row>
    <row r="12" spans="1:30" ht="11.25" customHeight="1" x14ac:dyDescent="0.25">
      <c r="A12" s="115" t="s">
        <v>81</v>
      </c>
      <c r="B12" s="115" t="s">
        <v>80</v>
      </c>
      <c r="C12" s="115" t="s">
        <v>25</v>
      </c>
      <c r="D12" s="115" t="s">
        <v>25</v>
      </c>
      <c r="E12" s="13" t="s">
        <v>82</v>
      </c>
      <c r="F12" s="13" t="s">
        <v>25</v>
      </c>
      <c r="G12" s="12" t="s">
        <v>9</v>
      </c>
      <c r="H12" s="12" t="s">
        <v>76</v>
      </c>
      <c r="I12" s="12">
        <f>SUMIF(Mercado_Receita!$S$2:$S$469,"44287BGeraçãoNão se aplicaNão se aplicaTIPO 01Não se aplicaNão se aplica",Mercado_Receita!$J$2:$J$469)+SUMIF(Mercado_Receita!$S$2:$S$469,"44287BGeraçãoNão se aplicaNão se aplicaAPENão se aplicaNão se aplica",Mercado_Receita!$J$2:$J$469)</f>
        <v>0</v>
      </c>
      <c r="J12" s="12">
        <f>SUMIF(Mercado_Receita!$S$2:$S$469,"44317BGeraçãoNão se aplicaNão se aplicaTIPO 01Não se aplicaNão se aplica",Mercado_Receita!$J$2:$J$469)+SUMIF(Mercado_Receita!$S$2:$S$469,"44317BGeraçãoNão se aplicaNão se aplicaAPENão se aplicaNão se aplica",Mercado_Receita!$J$2:$J$469)</f>
        <v>0</v>
      </c>
      <c r="K12" s="12">
        <f>SUMIF(Mercado_Receita!$S$2:$S$469,"44348BGeraçãoNão se aplicaNão se aplicaTIPO 01Não se aplicaNão se aplica",Mercado_Receita!$J$2:$J$469)+SUMIF(Mercado_Receita!$S$2:$S$469,"44348BGeraçãoNão se aplicaNão se aplicaAPENão se aplicaNão se aplica",Mercado_Receita!$J$2:$J$469)</f>
        <v>0</v>
      </c>
      <c r="L12" s="12">
        <f>SUMIF(Mercado_Receita!$S$2:$S$469,"44378BGeraçãoNão se aplicaNão se aplicaTIPO 01Não se aplicaNão se aplica",Mercado_Receita!$J$2:$J$469)+SUMIF(Mercado_Receita!$S$2:$S$469,"44378BGeraçãoNão se aplicaNão se aplicaAPENão se aplicaNão se aplica",Mercado_Receita!$J$2:$J$469)</f>
        <v>0</v>
      </c>
      <c r="M12" s="12">
        <f>SUMIF(Mercado_Receita!$S$2:$S$469,"44409BGeraçãoNão se aplicaNão se aplicaTIPO 01Não se aplicaNão se aplica",Mercado_Receita!$J$2:$J$469)+SUMIF(Mercado_Receita!$S$2:$S$469,"44409BGeraçãoNão se aplicaNão se aplicaAPENão se aplicaNão se aplica",Mercado_Receita!$J$2:$J$469)</f>
        <v>0</v>
      </c>
      <c r="N12" s="12">
        <f>SUMIF(Mercado_Receita!$S$2:$S$469,"44440BGeraçãoNão se aplicaNão se aplicaTIPO 01Não se aplicaNão se aplica",Mercado_Receita!$J$2:$J$469)+SUMIF(Mercado_Receita!$S$2:$S$469,"44440BGeraçãoNão se aplicaNão se aplicaAPENão se aplicaNão se aplica",Mercado_Receita!$J$2:$J$469)</f>
        <v>0</v>
      </c>
      <c r="O12" s="12">
        <f>SUMIF(Mercado_Receita!$S$2:$S$469,"44470BGeraçãoNão se aplicaNão se aplicaTIPO 01Não se aplicaNão se aplica",Mercado_Receita!$J$2:$J$469)+SUMIF(Mercado_Receita!$S$2:$S$469,"44470BGeraçãoNão se aplicaNão se aplicaAPENão se aplicaNão se aplica",Mercado_Receita!$J$2:$J$469)</f>
        <v>0</v>
      </c>
      <c r="P12" s="12">
        <f>SUMIF(Mercado_Receita!$S$2:$S$469,"44501BGeraçãoNão se aplicaNão se aplicaTIPO 01Não se aplicaNão se aplica",Mercado_Receita!$J$2:$J$469)+SUMIF(Mercado_Receita!$S$2:$S$469,"44501BGeraçãoNão se aplicaNão se aplicaAPENão se aplicaNão se aplica",Mercado_Receita!$J$2:$J$469)</f>
        <v>0</v>
      </c>
      <c r="Q12" s="12">
        <f>SUMIF(Mercado_Receita!$S$2:$S$469,"44531BGeraçãoNão se aplicaNão se aplicaTIPO 01Não se aplicaNão se aplica",Mercado_Receita!$J$2:$J$469)+SUMIF(Mercado_Receita!$S$2:$S$469,"44531BGeraçãoNão se aplicaNão se aplicaAPENão se aplicaNão se aplica",Mercado_Receita!$J$2:$J$469)</f>
        <v>0</v>
      </c>
      <c r="R12" s="12">
        <f>SUMIF(Mercado_Receita!$S$2:$S$469,"44562BGeraçãoNão se aplicaNão se aplicaTIPO 01Não se aplicaNão se aplica",Mercado_Receita!$J$2:$J$469)+SUMIF(Mercado_Receita!$S$2:$S$469,"44562BGeraçãoNão se aplicaNão se aplicaAPENão se aplicaNão se aplica",Mercado_Receita!$J$2:$J$469)</f>
        <v>0</v>
      </c>
      <c r="S12" s="12">
        <f>SUMIF(Mercado_Receita!$S$2:$S$469,"44593BGeraçãoNão se aplicaNão se aplicaTIPO 01Não se aplicaNão se aplica",Mercado_Receita!$J$2:$J$469)+SUMIF(Mercado_Receita!$S$2:$S$469,"44593BGeraçãoNão se aplicaNão se aplicaAPENão se aplicaNão se aplica",Mercado_Receita!$J$2:$J$469)</f>
        <v>0</v>
      </c>
      <c r="T12" s="12">
        <f>SUMIF(Mercado_Receita!$S$2:$S$469,"44621BGeraçãoNão se aplicaNão se aplicaTIPO 01Não se aplicaNão se aplica",Mercado_Receita!$J$2:$J$469)+SUMIF(Mercado_Receita!$S$2:$S$469,"44621BGeraçãoNão se aplicaNão se aplicaAPENão se aplicaNão se aplica",Mercado_Receita!$J$2:$J$469)</f>
        <v>0</v>
      </c>
      <c r="U12" s="12">
        <f t="shared" si="0"/>
        <v>0</v>
      </c>
      <c r="V12" s="12"/>
      <c r="W12" s="12"/>
    </row>
    <row r="13" spans="1:30" ht="11.25" customHeight="1" x14ac:dyDescent="0.25">
      <c r="A13" s="116"/>
      <c r="B13" s="116"/>
      <c r="C13" s="116"/>
      <c r="D13" s="116"/>
      <c r="E13" s="13" t="s">
        <v>83</v>
      </c>
      <c r="F13" s="13" t="s">
        <v>25</v>
      </c>
      <c r="G13" s="12" t="s">
        <v>9</v>
      </c>
      <c r="H13" s="12" t="s">
        <v>76</v>
      </c>
      <c r="I13" s="12">
        <f>SUMIF(Mercado_Receita!$S$2:$S$469,"44287BGeraçãoNão se aplicaNão se aplicaTIPO 02Não se aplicaNão se aplica",Mercado_Receita!$J$2:$J$469)+SUMIF(Mercado_Receita!$S$2:$S$469,"44287BGeraçãoNão se aplicaNão se aplicaAPENão se aplicaNão se aplica",Mercado_Receita!$J$2:$J$469)</f>
        <v>0</v>
      </c>
      <c r="J13" s="12">
        <f>SUMIF(Mercado_Receita!$S$2:$S$469,"44317BGeraçãoNão se aplicaNão se aplicaTIPO 02Não se aplicaNão se aplica",Mercado_Receita!$J$2:$J$469)+SUMIF(Mercado_Receita!$S$2:$S$469,"44317BGeraçãoNão se aplicaNão se aplicaAPENão se aplicaNão se aplica",Mercado_Receita!$J$2:$J$469)</f>
        <v>0</v>
      </c>
      <c r="K13" s="12">
        <f>SUMIF(Mercado_Receita!$S$2:$S$469,"44348BGeraçãoNão se aplicaNão se aplicaTIPO 02Não se aplicaNão se aplica",Mercado_Receita!$J$2:$J$469)+SUMIF(Mercado_Receita!$S$2:$S$469,"44348BGeraçãoNão se aplicaNão se aplicaAPENão se aplicaNão se aplica",Mercado_Receita!$J$2:$J$469)</f>
        <v>0</v>
      </c>
      <c r="L13" s="12">
        <f>SUMIF(Mercado_Receita!$S$2:$S$469,"44378BGeraçãoNão se aplicaNão se aplicaTIPO 02Não se aplicaNão se aplica",Mercado_Receita!$J$2:$J$469)+SUMIF(Mercado_Receita!$S$2:$S$469,"44378BGeraçãoNão se aplicaNão se aplicaAPENão se aplicaNão se aplica",Mercado_Receita!$J$2:$J$469)</f>
        <v>0</v>
      </c>
      <c r="M13" s="12">
        <f>SUMIF(Mercado_Receita!$S$2:$S$469,"44409BGeraçãoNão se aplicaNão se aplicaTIPO 02Não se aplicaNão se aplica",Mercado_Receita!$J$2:$J$469)+SUMIF(Mercado_Receita!$S$2:$S$469,"44409BGeraçãoNão se aplicaNão se aplicaAPENão se aplicaNão se aplica",Mercado_Receita!$J$2:$J$469)</f>
        <v>0</v>
      </c>
      <c r="N13" s="12">
        <f>SUMIF(Mercado_Receita!$S$2:$S$469,"44440BGeraçãoNão se aplicaNão se aplicaTIPO 02Não se aplicaNão se aplica",Mercado_Receita!$J$2:$J$469)+SUMIF(Mercado_Receita!$S$2:$S$469,"44440BGeraçãoNão se aplicaNão se aplicaAPENão se aplicaNão se aplica",Mercado_Receita!$J$2:$J$469)</f>
        <v>0</v>
      </c>
      <c r="O13" s="12">
        <f>SUMIF(Mercado_Receita!$S$2:$S$469,"44470BGeraçãoNão se aplicaNão se aplicaTIPO 02Não se aplicaNão se aplica",Mercado_Receita!$J$2:$J$469)+SUMIF(Mercado_Receita!$S$2:$S$469,"44470BGeraçãoNão se aplicaNão se aplicaAPENão se aplicaNão se aplica",Mercado_Receita!$J$2:$J$469)</f>
        <v>0</v>
      </c>
      <c r="P13" s="12">
        <f>SUMIF(Mercado_Receita!$S$2:$S$469,"44501BGeraçãoNão se aplicaNão se aplicaTIPO 02Não se aplicaNão se aplica",Mercado_Receita!$J$2:$J$469)+SUMIF(Mercado_Receita!$S$2:$S$469,"44501BGeraçãoNão se aplicaNão se aplicaAPENão se aplicaNão se aplica",Mercado_Receita!$J$2:$J$469)</f>
        <v>0</v>
      </c>
      <c r="Q13" s="12">
        <f>SUMIF(Mercado_Receita!$S$2:$S$469,"44531BGeraçãoNão se aplicaNão se aplicaTIPO 02Não se aplicaNão se aplica",Mercado_Receita!$J$2:$J$469)+SUMIF(Mercado_Receita!$S$2:$S$469,"44531BGeraçãoNão se aplicaNão se aplicaAPENão se aplicaNão se aplica",Mercado_Receita!$J$2:$J$469)</f>
        <v>0</v>
      </c>
      <c r="R13" s="12">
        <f>SUMIF(Mercado_Receita!$S$2:$S$469,"44562BGeraçãoNão se aplicaNão se aplicaTIPO 02Não se aplicaNão se aplica",Mercado_Receita!$J$2:$J$469)+SUMIF(Mercado_Receita!$S$2:$S$469,"44562BGeraçãoNão se aplicaNão se aplicaAPENão se aplicaNão se aplica",Mercado_Receita!$J$2:$J$469)</f>
        <v>0</v>
      </c>
      <c r="S13" s="12">
        <f>SUMIF(Mercado_Receita!$S$2:$S$469,"44593BGeraçãoNão se aplicaNão se aplicaTIPO 02Não se aplicaNão se aplica",Mercado_Receita!$J$2:$J$469)+SUMIF(Mercado_Receita!$S$2:$S$469,"44593BGeraçãoNão se aplicaNão se aplicaAPENão se aplicaNão se aplica",Mercado_Receita!$J$2:$J$469)</f>
        <v>0</v>
      </c>
      <c r="T13" s="12">
        <f>SUMIF(Mercado_Receita!$S$2:$S$469,"44621BGeraçãoNão se aplicaNão se aplicaTIPO 02Não se aplicaNão se aplica",Mercado_Receita!$J$2:$J$469)+SUMIF(Mercado_Receita!$S$2:$S$469,"44621BGeraçãoNão se aplicaNão se aplicaAPENão se aplicaNão se aplica",Mercado_Receita!$J$2:$J$469)</f>
        <v>0</v>
      </c>
      <c r="U13" s="12">
        <f t="shared" si="0"/>
        <v>0</v>
      </c>
      <c r="V13" s="12"/>
      <c r="W13" s="12"/>
    </row>
    <row r="14" spans="1:30" ht="11.25" customHeight="1" x14ac:dyDescent="0.25">
      <c r="A14" s="115" t="s">
        <v>22</v>
      </c>
      <c r="B14" s="115" t="s">
        <v>37</v>
      </c>
      <c r="C14" s="115" t="s">
        <v>24</v>
      </c>
      <c r="D14" s="115" t="s">
        <v>24</v>
      </c>
      <c r="E14" s="115" t="s">
        <v>25</v>
      </c>
      <c r="F14" s="115" t="s">
        <v>25</v>
      </c>
      <c r="G14" s="12" t="s">
        <v>72</v>
      </c>
      <c r="H14" s="12" t="s">
        <v>71</v>
      </c>
      <c r="I14" s="12">
        <f>SUMIF(Mercado_Receita!$S$2:$S$469,"44287B1BrancaResidencialResidencialNão se aplicaNão se aplicaPonta",Mercado_Receita!$L$2:$L$469)</f>
        <v>0.182</v>
      </c>
      <c r="J14" s="12">
        <f>SUMIF(Mercado_Receita!$S$2:$S$469,"44317B1BrancaResidencialResidencialNão se aplicaNão se aplicaPonta",Mercado_Receita!$L$2:$L$469)</f>
        <v>0.16700000000000001</v>
      </c>
      <c r="K14" s="12">
        <f>SUMIF(Mercado_Receita!$S$2:$S$469,"44348B1BrancaResidencialResidencialNão se aplicaNão se aplicaPonta",Mercado_Receita!$L$2:$L$469)</f>
        <v>0.16700000000000001</v>
      </c>
      <c r="L14" s="12">
        <f>SUMIF(Mercado_Receita!$S$2:$S$469,"44378B1BrancaResidencialResidencialNão se aplicaNão se aplicaPonta",Mercado_Receita!$L$2:$L$469)</f>
        <v>0.154</v>
      </c>
      <c r="M14" s="12">
        <f>SUMIF(Mercado_Receita!$S$2:$S$469,"44409B1BrancaResidencialResidencialNão se aplicaNão se aplicaPonta",Mercado_Receita!$L$2:$L$469)</f>
        <v>0.16200000000000001</v>
      </c>
      <c r="N14" s="12">
        <f>SUMIF(Mercado_Receita!$S$2:$S$469,"44440B1BrancaResidencialResidencialNão se aplicaNão se aplicaPonta",Mercado_Receita!$L$2:$L$469)</f>
        <v>0.17799999999999999</v>
      </c>
      <c r="O14" s="12">
        <f>SUMIF(Mercado_Receita!$S$2:$S$469,"44470B1BrancaResidencialResidencialNão se aplicaNão se aplicaPonta",Mercado_Receita!$L$2:$L$469)</f>
        <v>0.13500000000000001</v>
      </c>
      <c r="P14" s="12">
        <f>SUMIF(Mercado_Receita!$S$2:$S$469,"44501B1BrancaResidencialResidencialNão se aplicaNão se aplicaPonta",Mercado_Receita!$L$2:$L$469)</f>
        <v>0.56299999999999994</v>
      </c>
      <c r="Q14" s="12">
        <f>SUMIF(Mercado_Receita!$S$2:$S$469,"44531B1BrancaResidencialResidencialNão se aplicaNão se aplicaPonta",Mercado_Receita!$L$2:$L$469)</f>
        <v>0.156</v>
      </c>
      <c r="R14" s="12">
        <f>SUMIF(Mercado_Receita!$S$2:$S$469,"44562B1BrancaResidencialResidencialNão se aplicaNão se aplicaPonta",Mercado_Receita!$L$2:$L$469)</f>
        <v>0.158</v>
      </c>
      <c r="S14" s="12">
        <f>SUMIF(Mercado_Receita!$S$2:$S$469,"44593B1BrancaResidencialResidencialNão se aplicaNão se aplicaPonta",Mercado_Receita!$L$2:$L$469)</f>
        <v>0.129</v>
      </c>
      <c r="T14" s="12">
        <f>SUMIF(Mercado_Receita!$S$2:$S$469,"44621B1BrancaResidencialResidencialNão se aplicaNão se aplicaPonta",Mercado_Receita!$L$2:$L$469)</f>
        <v>0.16300000000000001</v>
      </c>
      <c r="U14" s="12">
        <f t="shared" si="0"/>
        <v>2.3139999999999996</v>
      </c>
      <c r="V14" s="12"/>
      <c r="W14" s="12"/>
    </row>
    <row r="15" spans="1:30" ht="11.25" customHeight="1" x14ac:dyDescent="0.25">
      <c r="A15" s="116"/>
      <c r="B15" s="116"/>
      <c r="C15" s="116"/>
      <c r="D15" s="116"/>
      <c r="E15" s="116"/>
      <c r="F15" s="116"/>
      <c r="G15" s="12" t="s">
        <v>84</v>
      </c>
      <c r="H15" s="12" t="s">
        <v>71</v>
      </c>
      <c r="I15" s="12">
        <f>SUMIF(Mercado_Receita!$S$2:$S$469,"44287B1BrancaResidencialResidencialNão se aplicaNão se aplicaIntermediário",Mercado_Receita!$L$2:$L$469)</f>
        <v>0.11899999999999999</v>
      </c>
      <c r="J15" s="12">
        <f>SUMIF(Mercado_Receita!$S$2:$S$469,"44317B1BrancaResidencialResidencialNão se aplicaNão se aplicaIntermediário",Mercado_Receita!$L$2:$L$469)</f>
        <v>0.105</v>
      </c>
      <c r="K15" s="12">
        <f>SUMIF(Mercado_Receita!$S$2:$S$469,"44348B1BrancaResidencialResidencialNão se aplicaNão se aplicaIntermediário",Mercado_Receita!$L$2:$L$469)</f>
        <v>9.6000000000000002E-2</v>
      </c>
      <c r="L15" s="12">
        <f>SUMIF(Mercado_Receita!$S$2:$S$469,"44378B1BrancaResidencialResidencialNão se aplicaNão se aplicaIntermediário",Mercado_Receita!$L$2:$L$469)</f>
        <v>0.107</v>
      </c>
      <c r="M15" s="12">
        <f>SUMIF(Mercado_Receita!$S$2:$S$469,"44409B1BrancaResidencialResidencialNão se aplicaNão se aplicaIntermediário",Mercado_Receita!$L$2:$L$469)</f>
        <v>9.4E-2</v>
      </c>
      <c r="N15" s="12">
        <f>SUMIF(Mercado_Receita!$S$2:$S$469,"44440B1BrancaResidencialResidencialNão se aplicaNão se aplicaIntermediário",Mercado_Receita!$L$2:$L$469)</f>
        <v>0.11</v>
      </c>
      <c r="O15" s="12">
        <f>SUMIF(Mercado_Receita!$S$2:$S$469,"44470B1BrancaResidencialResidencialNão se aplicaNão se aplicaIntermediário",Mercado_Receita!$L$2:$L$469)</f>
        <v>8.6999999999999994E-2</v>
      </c>
      <c r="P15" s="12">
        <f>SUMIF(Mercado_Receita!$S$2:$S$469,"44501B1BrancaResidencialResidencialNão se aplicaNão se aplicaIntermediário",Mercado_Receita!$L$2:$L$469)</f>
        <v>0.123</v>
      </c>
      <c r="Q15" s="12">
        <f>SUMIF(Mercado_Receita!$S$2:$S$469,"44531B1BrancaResidencialResidencialNão se aplicaNão se aplicaIntermediário",Mercado_Receita!$L$2:$L$469)</f>
        <v>0.107</v>
      </c>
      <c r="R15" s="12">
        <f>SUMIF(Mercado_Receita!$S$2:$S$469,"44562B1BrancaResidencialResidencialNão se aplicaNão se aplicaIntermediário",Mercado_Receita!$L$2:$L$469)</f>
        <v>8.5999999999999993E-2</v>
      </c>
      <c r="S15" s="12">
        <f>SUMIF(Mercado_Receita!$S$2:$S$469,"44593B1BrancaResidencialResidencialNão se aplicaNão se aplicaIntermediário",Mercado_Receita!$L$2:$L$469)</f>
        <v>8.8999999999999996E-2</v>
      </c>
      <c r="T15" s="12">
        <f>SUMIF(Mercado_Receita!$S$2:$S$469,"44621B1BrancaResidencialResidencialNão se aplicaNão se aplicaIntermediário",Mercado_Receita!$L$2:$L$469)</f>
        <v>0.1</v>
      </c>
      <c r="U15" s="12">
        <f t="shared" si="0"/>
        <v>1.2229999999999999</v>
      </c>
      <c r="V15" s="12"/>
      <c r="W15" s="12"/>
    </row>
    <row r="16" spans="1:30" ht="11.25" customHeight="1" x14ac:dyDescent="0.25">
      <c r="A16" s="116"/>
      <c r="B16" s="116"/>
      <c r="C16" s="116"/>
      <c r="D16" s="116"/>
      <c r="E16" s="116"/>
      <c r="F16" s="116"/>
      <c r="G16" s="12" t="s">
        <v>73</v>
      </c>
      <c r="H16" s="12" t="s">
        <v>71</v>
      </c>
      <c r="I16" s="12">
        <f>SUMIF(Mercado_Receita!$S$2:$S$469,"44287B1BrancaResidencialResidencialNão se aplicaNão se aplicaFora ponta",Mercado_Receita!$L$2:$L$469)</f>
        <v>1.744</v>
      </c>
      <c r="J16" s="12">
        <f>SUMIF(Mercado_Receita!$S$2:$S$469,"44317B1BrancaResidencialResidencialNão se aplicaNão se aplicaFora ponta",Mercado_Receita!$L$2:$L$469)</f>
        <v>1.3580000000000001</v>
      </c>
      <c r="K16" s="12">
        <f>SUMIF(Mercado_Receita!$S$2:$S$469,"44348B1BrancaResidencialResidencialNão se aplicaNão se aplicaFora ponta",Mercado_Receita!$L$2:$L$469)</f>
        <v>1.4119999999999999</v>
      </c>
      <c r="L16" s="12">
        <f>SUMIF(Mercado_Receita!$S$2:$S$469,"44378B1BrancaResidencialResidencialNão se aplicaNão se aplicaFora ponta",Mercado_Receita!$L$2:$L$469)</f>
        <v>1.2170000000000001</v>
      </c>
      <c r="M16" s="12">
        <f>SUMIF(Mercado_Receita!$S$2:$S$469,"44409B1BrancaResidencialResidencialNão se aplicaNão se aplicaFora ponta",Mercado_Receita!$L$2:$L$469)</f>
        <v>1.0920000000000001</v>
      </c>
      <c r="N16" s="12">
        <f>SUMIF(Mercado_Receita!$S$2:$S$469,"44440B1BrancaResidencialResidencialNão se aplicaNão se aplicaFora ponta",Mercado_Receita!$L$2:$L$469)</f>
        <v>1.4079999999999999</v>
      </c>
      <c r="O16" s="12">
        <f>SUMIF(Mercado_Receita!$S$2:$S$469,"44470B1BrancaResidencialResidencialNão se aplicaNão se aplicaFora ponta",Mercado_Receita!$L$2:$L$469)</f>
        <v>1.2629999999999999</v>
      </c>
      <c r="P16" s="12">
        <f>SUMIF(Mercado_Receita!$S$2:$S$469,"44501B1BrancaResidencialResidencialNão se aplicaNão se aplicaFora ponta",Mercado_Receita!$L$2:$L$469)</f>
        <v>1.226</v>
      </c>
      <c r="Q16" s="12">
        <f>SUMIF(Mercado_Receita!$S$2:$S$469,"44531B1BrancaResidencialResidencialNão se aplicaNão se aplicaFora ponta",Mercado_Receita!$L$2:$L$469)</f>
        <v>1.2490000000000001</v>
      </c>
      <c r="R16" s="12">
        <f>SUMIF(Mercado_Receita!$S$2:$S$469,"44562B1BrancaResidencialResidencialNão se aplicaNão se aplicaFora ponta",Mercado_Receita!$L$2:$L$469)</f>
        <v>1.218</v>
      </c>
      <c r="S16" s="12">
        <f>SUMIF(Mercado_Receita!$S$2:$S$469,"44593B1BrancaResidencialResidencialNão se aplicaNão se aplicaFora ponta",Mercado_Receita!$L$2:$L$469)</f>
        <v>1.31</v>
      </c>
      <c r="T16" s="12">
        <f>SUMIF(Mercado_Receita!$S$2:$S$469,"44621B1BrancaResidencialResidencialNão se aplicaNão se aplicaFora ponta",Mercado_Receita!$L$2:$L$469)</f>
        <v>1.2889999999999999</v>
      </c>
      <c r="U16" s="12">
        <f t="shared" si="0"/>
        <v>15.786</v>
      </c>
      <c r="V16" s="12"/>
      <c r="W16" s="12"/>
    </row>
    <row r="17" spans="1:23" ht="11.25" customHeight="1" x14ac:dyDescent="0.25">
      <c r="A17" s="116"/>
      <c r="B17" s="115" t="s">
        <v>23</v>
      </c>
      <c r="C17" s="115" t="s">
        <v>24</v>
      </c>
      <c r="D17" s="13" t="s">
        <v>24</v>
      </c>
      <c r="E17" s="13" t="s">
        <v>25</v>
      </c>
      <c r="F17" s="13" t="s">
        <v>25</v>
      </c>
      <c r="G17" s="12" t="s">
        <v>75</v>
      </c>
      <c r="H17" s="12" t="s">
        <v>71</v>
      </c>
      <c r="I17" s="12">
        <f>SUMIF(Mercado_Receita!$S$2:$S$469,"44287B1ConvencionalResidencialResidencialNão se aplicaNão se aplicaPonta",Mercado_Receita!$L$2:$L$469)+SUMIF(Mercado_Receita!$S$2:$S$469,"44287B1ConvencionalResidencialResidencialNão se aplicaNão se aplicaFora ponta",Mercado_Receita!$L$2:$L$469)+SUMIF(Mercado_Receita!$S$2:$S$469,"44287B1ConvencionalResidencialResidencialNão se aplicaNão se aplicaIntermediário",Mercado_Receita!$L$2:$L$469)+SUMIF(Mercado_Receita!$S$2:$S$469,"44287B1ConvencionalResidencialResidencialNão se aplicaNão se aplicaNão se aplica",Mercado_Receita!$L$2:$L$469)</f>
        <v>2521.7399999999998</v>
      </c>
      <c r="J17" s="12">
        <f>SUMIF(Mercado_Receita!$S$2:$S$469,"44317B1ConvencionalResidencialResidencialNão se aplicaNão se aplicaPonta",Mercado_Receita!$L$2:$L$469)+SUMIF(Mercado_Receita!$S$2:$S$469,"44317B1ConvencionalResidencialResidencialNão se aplicaNão se aplicaFora ponta",Mercado_Receita!$L$2:$L$469)+SUMIF(Mercado_Receita!$S$2:$S$469,"44317B1ConvencionalResidencialResidencialNão se aplicaNão se aplicaIntermediário",Mercado_Receita!$L$2:$L$469)+SUMIF(Mercado_Receita!$S$2:$S$469,"44317B1ConvencionalResidencialResidencialNão se aplicaNão se aplicaNão se aplica",Mercado_Receita!$L$2:$L$469)</f>
        <v>2161.2829999999999</v>
      </c>
      <c r="K17" s="12">
        <f>SUMIF(Mercado_Receita!$S$2:$S$469,"44348B1ConvencionalResidencialResidencialNão se aplicaNão se aplicaPonta",Mercado_Receita!$L$2:$L$469)+SUMIF(Mercado_Receita!$S$2:$S$469,"44348B1ConvencionalResidencialResidencialNão se aplicaNão se aplicaFora ponta",Mercado_Receita!$L$2:$L$469)+SUMIF(Mercado_Receita!$S$2:$S$469,"44348B1ConvencionalResidencialResidencialNão se aplicaNão se aplicaIntermediário",Mercado_Receita!$L$2:$L$469)+SUMIF(Mercado_Receita!$S$2:$S$469,"44348B1ConvencionalResidencialResidencialNão se aplicaNão se aplicaNão se aplica",Mercado_Receita!$L$2:$L$469)</f>
        <v>2122.9139999999998</v>
      </c>
      <c r="L17" s="12">
        <f>SUMIF(Mercado_Receita!$S$2:$S$469,"44378B1ConvencionalResidencialResidencialNão se aplicaNão se aplicaPonta",Mercado_Receita!$L$2:$L$469)+SUMIF(Mercado_Receita!$S$2:$S$469,"44378B1ConvencionalResidencialResidencialNão se aplicaNão se aplicaFora ponta",Mercado_Receita!$L$2:$L$469)+SUMIF(Mercado_Receita!$S$2:$S$469,"44378B1ConvencionalResidencialResidencialNão se aplicaNão se aplicaIntermediário",Mercado_Receita!$L$2:$L$469)+SUMIF(Mercado_Receita!$S$2:$S$469,"44378B1ConvencionalResidencialResidencialNão se aplicaNão se aplicaNão se aplica",Mercado_Receita!$L$2:$L$469)</f>
        <v>1895.856</v>
      </c>
      <c r="M17" s="12">
        <f>SUMIF(Mercado_Receita!$S$2:$S$469,"44409B1ConvencionalResidencialResidencialNão se aplicaNão se aplicaPonta",Mercado_Receita!$L$2:$L$469)+SUMIF(Mercado_Receita!$S$2:$S$469,"44409B1ConvencionalResidencialResidencialNão se aplicaNão se aplicaFora ponta",Mercado_Receita!$L$2:$L$469)+SUMIF(Mercado_Receita!$S$2:$S$469,"44409B1ConvencionalResidencialResidencialNão se aplicaNão se aplicaIntermediário",Mercado_Receita!$L$2:$L$469)+SUMIF(Mercado_Receita!$S$2:$S$469,"44409B1ConvencionalResidencialResidencialNão se aplicaNão se aplicaNão se aplica",Mercado_Receita!$L$2:$L$469)</f>
        <v>1900.1229999999998</v>
      </c>
      <c r="N17" s="12">
        <f>SUMIF(Mercado_Receita!$S$2:$S$469,"44440B1ConvencionalResidencialResidencialNão se aplicaNão se aplicaPonta",Mercado_Receita!$L$2:$L$469)+SUMIF(Mercado_Receita!$S$2:$S$469,"44440B1ConvencionalResidencialResidencialNão se aplicaNão se aplicaFora ponta",Mercado_Receita!$L$2:$L$469)+SUMIF(Mercado_Receita!$S$2:$S$469,"44440B1ConvencionalResidencialResidencialNão se aplicaNão se aplicaIntermediário",Mercado_Receita!$L$2:$L$469)+SUMIF(Mercado_Receita!$S$2:$S$469,"44440B1ConvencionalResidencialResidencialNão se aplicaNão se aplicaNão se aplica",Mercado_Receita!$L$2:$L$469)</f>
        <v>2199.11</v>
      </c>
      <c r="O17" s="12">
        <f>SUMIF(Mercado_Receita!$S$2:$S$469,"44470B1ConvencionalResidencialResidencialNão se aplicaNão se aplicaPonta",Mercado_Receita!$L$2:$L$469)+SUMIF(Mercado_Receita!$S$2:$S$469,"44470B1ConvencionalResidencialResidencialNão se aplicaNão se aplicaFora ponta",Mercado_Receita!$L$2:$L$469)+SUMIF(Mercado_Receita!$S$2:$S$469,"44470B1ConvencionalResidencialResidencialNão se aplicaNão se aplicaIntermediário",Mercado_Receita!$L$2:$L$469)+SUMIF(Mercado_Receita!$S$2:$S$469,"44470B1ConvencionalResidencialResidencialNão se aplicaNão se aplicaNão se aplica",Mercado_Receita!$L$2:$L$469)</f>
        <v>2084.0309999999999</v>
      </c>
      <c r="P17" s="12">
        <f>SUMIF(Mercado_Receita!$S$2:$S$469,"44501B1ConvencionalResidencialResidencialNão se aplicaNão se aplicaPonta",Mercado_Receita!$L$2:$L$469)+SUMIF(Mercado_Receita!$S$2:$S$469,"44501B1ConvencionalResidencialResidencialNão se aplicaNão se aplicaFora ponta",Mercado_Receita!$L$2:$L$469)+SUMIF(Mercado_Receita!$S$2:$S$469,"44501B1ConvencionalResidencialResidencialNão se aplicaNão se aplicaIntermediário",Mercado_Receita!$L$2:$L$469)+SUMIF(Mercado_Receita!$S$2:$S$469,"44501B1ConvencionalResidencialResidencialNão se aplicaNão se aplicaNão se aplica",Mercado_Receita!$L$2:$L$469)</f>
        <v>2061.502</v>
      </c>
      <c r="Q17" s="12">
        <f>SUMIF(Mercado_Receita!$S$2:$S$469,"44531B1ConvencionalResidencialResidencialNão se aplicaNão se aplicaPonta",Mercado_Receita!$L$2:$L$469)+SUMIF(Mercado_Receita!$S$2:$S$469,"44531B1ConvencionalResidencialResidencialNão se aplicaNão se aplicaFora ponta",Mercado_Receita!$L$2:$L$469)+SUMIF(Mercado_Receita!$S$2:$S$469,"44531B1ConvencionalResidencialResidencialNão se aplicaNão se aplicaIntermediário",Mercado_Receita!$L$2:$L$469)+SUMIF(Mercado_Receita!$S$2:$S$469,"44531B1ConvencionalResidencialResidencialNão se aplicaNão se aplicaNão se aplica",Mercado_Receita!$L$2:$L$469)</f>
        <v>2180.89</v>
      </c>
      <c r="R17" s="12">
        <f>SUMIF(Mercado_Receita!$S$2:$S$469,"44562B1ConvencionalResidencialResidencialNão se aplicaNão se aplicaPonta",Mercado_Receita!$L$2:$L$469)+SUMIF(Mercado_Receita!$S$2:$S$469,"44562B1ConvencionalResidencialResidencialNão se aplicaNão se aplicaFora ponta",Mercado_Receita!$L$2:$L$469)+SUMIF(Mercado_Receita!$S$2:$S$469,"44562B1ConvencionalResidencialResidencialNão se aplicaNão se aplicaIntermediário",Mercado_Receita!$L$2:$L$469)+SUMIF(Mercado_Receita!$S$2:$S$469,"44562B1ConvencionalResidencialResidencialNão se aplicaNão se aplicaNão se aplica",Mercado_Receita!$L$2:$L$469)</f>
        <v>2385.4760000000001</v>
      </c>
      <c r="S17" s="12">
        <f>SUMIF(Mercado_Receita!$S$2:$S$469,"44593B1ConvencionalResidencialResidencialNão se aplicaNão se aplicaPonta",Mercado_Receita!$L$2:$L$469)+SUMIF(Mercado_Receita!$S$2:$S$469,"44593B1ConvencionalResidencialResidencialNão se aplicaNão se aplicaFora ponta",Mercado_Receita!$L$2:$L$469)+SUMIF(Mercado_Receita!$S$2:$S$469,"44593B1ConvencionalResidencialResidencialNão se aplicaNão se aplicaIntermediário",Mercado_Receita!$L$2:$L$469)+SUMIF(Mercado_Receita!$S$2:$S$469,"44593B1ConvencionalResidencialResidencialNão se aplicaNão se aplicaNão se aplica",Mercado_Receita!$L$2:$L$469)</f>
        <v>2559.1379999999999</v>
      </c>
      <c r="T17" s="12">
        <f>SUMIF(Mercado_Receita!$S$2:$S$469,"44621B1ConvencionalResidencialResidencialNão se aplicaNão se aplicaPonta",Mercado_Receita!$L$2:$L$469)+SUMIF(Mercado_Receita!$S$2:$S$469,"44621B1ConvencionalResidencialResidencialNão se aplicaNão se aplicaFora ponta",Mercado_Receita!$L$2:$L$469)+SUMIF(Mercado_Receita!$S$2:$S$469,"44621B1ConvencionalResidencialResidencialNão se aplicaNão se aplicaIntermediário",Mercado_Receita!$L$2:$L$469)+SUMIF(Mercado_Receita!$S$2:$S$469,"44621B1ConvencionalResidencialResidencialNão se aplicaNão se aplicaNão se aplica",Mercado_Receita!$L$2:$L$469)</f>
        <v>2438.0280000000002</v>
      </c>
      <c r="U17" s="12">
        <f t="shared" si="0"/>
        <v>26510.091</v>
      </c>
      <c r="V17" s="12"/>
      <c r="W17" s="12"/>
    </row>
    <row r="18" spans="1:23" ht="11.25" customHeight="1" x14ac:dyDescent="0.25">
      <c r="A18" s="116"/>
      <c r="B18" s="116"/>
      <c r="C18" s="116"/>
      <c r="D18" s="13" t="s">
        <v>29</v>
      </c>
      <c r="E18" s="13" t="s">
        <v>25</v>
      </c>
      <c r="F18" s="13" t="s">
        <v>25</v>
      </c>
      <c r="G18" s="12" t="s">
        <v>75</v>
      </c>
      <c r="H18" s="12" t="s">
        <v>71</v>
      </c>
      <c r="I18" s="12">
        <f>SUMIF(Mercado_Receita!$S$2:$S$469,"44287B1ConvencionalResidencialResidencial baixa renda – faixa 01Não se aplicaNão se aplicaPonta",Mercado_Receita!$L$2:$L$469)+SUMIF(Mercado_Receita!$S$2:$S$469,"44287B1ConvencionalResidencialResidencial baixa renda – faixa 01Não se aplicaNão se aplicaFora ponta",Mercado_Receita!$L$2:$L$469)+SUMIF(Mercado_Receita!$S$2:$S$469,"44287B1ConvencionalResidencialResidencial baixa renda – faixa 01Não se aplicaNão se aplicaIntermediário",Mercado_Receita!$L$2:$L$469)+SUMIF(Mercado_Receita!$S$2:$S$469,"44287B1ConvencionalResidencialResidencial baixa renda – faixa 01Não se aplicaNão se aplicaNão se aplica",Mercado_Receita!$L$2:$L$469)</f>
        <v>12.57</v>
      </c>
      <c r="J18" s="12">
        <f>SUMIF(Mercado_Receita!$S$2:$S$469,"44317B1ConvencionalResidencialResidencial baixa renda – faixa 01Não se aplicaNão se aplicaPonta",Mercado_Receita!$L$2:$L$469)+SUMIF(Mercado_Receita!$S$2:$S$469,"44317B1ConvencionalResidencialResidencial baixa renda – faixa 01Não se aplicaNão se aplicaFora ponta",Mercado_Receita!$L$2:$L$469)+SUMIF(Mercado_Receita!$S$2:$S$469,"44317B1ConvencionalResidencialResidencial baixa renda – faixa 01Não se aplicaNão se aplicaIntermediário",Mercado_Receita!$L$2:$L$469)+SUMIF(Mercado_Receita!$S$2:$S$469,"44317B1ConvencionalResidencialResidencial baixa renda – faixa 01Não se aplicaNão se aplicaNão se aplica",Mercado_Receita!$L$2:$L$469)</f>
        <v>14.956999999999999</v>
      </c>
      <c r="K18" s="12">
        <f>SUMIF(Mercado_Receita!$S$2:$S$469,"44348B1ConvencionalResidencialResidencial baixa renda – faixa 01Não se aplicaNão se aplicaPonta",Mercado_Receita!$L$2:$L$469)+SUMIF(Mercado_Receita!$S$2:$S$469,"44348B1ConvencionalResidencialResidencial baixa renda – faixa 01Não se aplicaNão se aplicaFora ponta",Mercado_Receita!$L$2:$L$469)+SUMIF(Mercado_Receita!$S$2:$S$469,"44348B1ConvencionalResidencialResidencial baixa renda – faixa 01Não se aplicaNão se aplicaIntermediário",Mercado_Receita!$L$2:$L$469)+SUMIF(Mercado_Receita!$S$2:$S$469,"44348B1ConvencionalResidencialResidencial baixa renda – faixa 01Não se aplicaNão se aplicaNão se aplica",Mercado_Receita!$L$2:$L$469)</f>
        <v>12.541999999999998</v>
      </c>
      <c r="L18" s="12">
        <f>SUMIF(Mercado_Receita!$S$2:$S$469,"44378B1ConvencionalResidencialResidencial baixa renda – faixa 01Não se aplicaNão se aplicaPonta",Mercado_Receita!$L$2:$L$469)+SUMIF(Mercado_Receita!$S$2:$S$469,"44378B1ConvencionalResidencialResidencial baixa renda – faixa 01Não se aplicaNão se aplicaFora ponta",Mercado_Receita!$L$2:$L$469)+SUMIF(Mercado_Receita!$S$2:$S$469,"44378B1ConvencionalResidencialResidencial baixa renda – faixa 01Não se aplicaNão se aplicaIntermediário",Mercado_Receita!$L$2:$L$469)+SUMIF(Mercado_Receita!$S$2:$S$469,"44378B1ConvencionalResidencialResidencial baixa renda – faixa 01Não se aplicaNão se aplicaNão se aplica",Mercado_Receita!$L$2:$L$469)</f>
        <v>14.85</v>
      </c>
      <c r="M18" s="12">
        <f>SUMIF(Mercado_Receita!$S$2:$S$469,"44409B1ConvencionalResidencialResidencial baixa renda – faixa 01Não se aplicaNão se aplicaPonta",Mercado_Receita!$L$2:$L$469)+SUMIF(Mercado_Receita!$S$2:$S$469,"44409B1ConvencionalResidencialResidencial baixa renda – faixa 01Não se aplicaNão se aplicaFora ponta",Mercado_Receita!$L$2:$L$469)+SUMIF(Mercado_Receita!$S$2:$S$469,"44409B1ConvencionalResidencialResidencial baixa renda – faixa 01Não se aplicaNão se aplicaIntermediário",Mercado_Receita!$L$2:$L$469)+SUMIF(Mercado_Receita!$S$2:$S$469,"44409B1ConvencionalResidencialResidencial baixa renda – faixa 01Não se aplicaNão se aplicaNão se aplica",Mercado_Receita!$L$2:$L$469)</f>
        <v>15.36</v>
      </c>
      <c r="N18" s="12">
        <f>SUMIF(Mercado_Receita!$S$2:$S$469,"44440B1ConvencionalResidencialResidencial baixa renda – faixa 01Não se aplicaNão se aplicaPonta",Mercado_Receita!$L$2:$L$469)+SUMIF(Mercado_Receita!$S$2:$S$469,"44440B1ConvencionalResidencialResidencial baixa renda – faixa 01Não se aplicaNão se aplicaFora ponta",Mercado_Receita!$L$2:$L$469)+SUMIF(Mercado_Receita!$S$2:$S$469,"44440B1ConvencionalResidencialResidencial baixa renda – faixa 01Não se aplicaNão se aplicaIntermediário",Mercado_Receita!$L$2:$L$469)+SUMIF(Mercado_Receita!$S$2:$S$469,"44440B1ConvencionalResidencialResidencial baixa renda – faixa 01Não se aplicaNão se aplicaNão se aplica",Mercado_Receita!$L$2:$L$469)</f>
        <v>15.479999999999999</v>
      </c>
      <c r="O18" s="12">
        <f>SUMIF(Mercado_Receita!$S$2:$S$469,"44470B1ConvencionalResidencialResidencial baixa renda – faixa 01Não se aplicaNão se aplicaPonta",Mercado_Receita!$L$2:$L$469)+SUMIF(Mercado_Receita!$S$2:$S$469,"44470B1ConvencionalResidencialResidencial baixa renda – faixa 01Não se aplicaNão se aplicaFora ponta",Mercado_Receita!$L$2:$L$469)+SUMIF(Mercado_Receita!$S$2:$S$469,"44470B1ConvencionalResidencialResidencial baixa renda – faixa 01Não se aplicaNão se aplicaIntermediário",Mercado_Receita!$L$2:$L$469)+SUMIF(Mercado_Receita!$S$2:$S$469,"44470B1ConvencionalResidencialResidencial baixa renda – faixa 01Não se aplicaNão se aplicaNão se aplica",Mercado_Receita!$L$2:$L$469)</f>
        <v>17.100000000000001</v>
      </c>
      <c r="P18" s="12">
        <f>SUMIF(Mercado_Receita!$S$2:$S$469,"44501B1ConvencionalResidencialResidencial baixa renda – faixa 01Não se aplicaNão se aplicaPonta",Mercado_Receita!$L$2:$L$469)+SUMIF(Mercado_Receita!$S$2:$S$469,"44501B1ConvencionalResidencialResidencial baixa renda – faixa 01Não se aplicaNão se aplicaFora ponta",Mercado_Receita!$L$2:$L$469)+SUMIF(Mercado_Receita!$S$2:$S$469,"44501B1ConvencionalResidencialResidencial baixa renda – faixa 01Não se aplicaNão se aplicaIntermediário",Mercado_Receita!$L$2:$L$469)+SUMIF(Mercado_Receita!$S$2:$S$469,"44501B1ConvencionalResidencialResidencial baixa renda – faixa 01Não se aplicaNão se aplicaNão se aplica",Mercado_Receita!$L$2:$L$469)</f>
        <v>18.094999999999999</v>
      </c>
      <c r="Q18" s="12">
        <f>SUMIF(Mercado_Receita!$S$2:$S$469,"44531B1ConvencionalResidencialResidencial baixa renda – faixa 01Não se aplicaNão se aplicaPonta",Mercado_Receita!$L$2:$L$469)+SUMIF(Mercado_Receita!$S$2:$S$469,"44531B1ConvencionalResidencialResidencial baixa renda – faixa 01Não se aplicaNão se aplicaFora ponta",Mercado_Receita!$L$2:$L$469)+SUMIF(Mercado_Receita!$S$2:$S$469,"44531B1ConvencionalResidencialResidencial baixa renda – faixa 01Não se aplicaNão se aplicaIntermediário",Mercado_Receita!$L$2:$L$469)+SUMIF(Mercado_Receita!$S$2:$S$469,"44531B1ConvencionalResidencialResidencial baixa renda – faixa 01Não se aplicaNão se aplicaNão se aplica",Mercado_Receita!$L$2:$L$469)</f>
        <v>18.84</v>
      </c>
      <c r="R18" s="12">
        <f>SUMIF(Mercado_Receita!$S$2:$S$469,"44562B1ConvencionalResidencialResidencial baixa renda – faixa 01Não se aplicaNão se aplicaPonta",Mercado_Receita!$L$2:$L$469)+SUMIF(Mercado_Receita!$S$2:$S$469,"44562B1ConvencionalResidencialResidencial baixa renda – faixa 01Não se aplicaNão se aplicaFora ponta",Mercado_Receita!$L$2:$L$469)+SUMIF(Mercado_Receita!$S$2:$S$469,"44562B1ConvencionalResidencialResidencial baixa renda – faixa 01Não se aplicaNão se aplicaIntermediário",Mercado_Receita!$L$2:$L$469)+SUMIF(Mercado_Receita!$S$2:$S$469,"44562B1ConvencionalResidencialResidencial baixa renda – faixa 01Não se aplicaNão se aplicaNão se aplica",Mercado_Receita!$L$2:$L$469)</f>
        <v>19.619999999999997</v>
      </c>
      <c r="S18" s="12">
        <f>SUMIF(Mercado_Receita!$S$2:$S$469,"44593B1ConvencionalResidencialResidencial baixa renda – faixa 01Não se aplicaNão se aplicaPonta",Mercado_Receita!$L$2:$L$469)+SUMIF(Mercado_Receita!$S$2:$S$469,"44593B1ConvencionalResidencialResidencial baixa renda – faixa 01Não se aplicaNão se aplicaFora ponta",Mercado_Receita!$L$2:$L$469)+SUMIF(Mercado_Receita!$S$2:$S$469,"44593B1ConvencionalResidencialResidencial baixa renda – faixa 01Não se aplicaNão se aplicaIntermediário",Mercado_Receita!$L$2:$L$469)+SUMIF(Mercado_Receita!$S$2:$S$469,"44593B1ConvencionalResidencialResidencial baixa renda – faixa 01Não se aplicaNão se aplicaNão se aplica",Mercado_Receita!$L$2:$L$469)</f>
        <v>20.61</v>
      </c>
      <c r="T18" s="12">
        <f>SUMIF(Mercado_Receita!$S$2:$S$469,"44621B1ConvencionalResidencialResidencial baixa renda – faixa 01Não se aplicaNão se aplicaPonta",Mercado_Receita!$L$2:$L$469)+SUMIF(Mercado_Receita!$S$2:$S$469,"44621B1ConvencionalResidencialResidencial baixa renda – faixa 01Não se aplicaNão se aplicaFora ponta",Mercado_Receita!$L$2:$L$469)+SUMIF(Mercado_Receita!$S$2:$S$469,"44621B1ConvencionalResidencialResidencial baixa renda – faixa 01Não se aplicaNão se aplicaIntermediário",Mercado_Receita!$L$2:$L$469)+SUMIF(Mercado_Receita!$S$2:$S$469,"44621B1ConvencionalResidencialResidencial baixa renda – faixa 01Não se aplicaNão se aplicaNão se aplica",Mercado_Receita!$L$2:$L$469)</f>
        <v>44.703000000000003</v>
      </c>
      <c r="U18" s="12">
        <f t="shared" si="0"/>
        <v>224.727</v>
      </c>
      <c r="V18" s="12"/>
      <c r="W18" s="12"/>
    </row>
    <row r="19" spans="1:23" ht="11.25" customHeight="1" x14ac:dyDescent="0.25">
      <c r="A19" s="116"/>
      <c r="B19" s="116"/>
      <c r="C19" s="116"/>
      <c r="D19" s="13" t="s">
        <v>30</v>
      </c>
      <c r="E19" s="13" t="s">
        <v>25</v>
      </c>
      <c r="F19" s="13" t="s">
        <v>25</v>
      </c>
      <c r="G19" s="12" t="s">
        <v>75</v>
      </c>
      <c r="H19" s="12" t="s">
        <v>71</v>
      </c>
      <c r="I19" s="12">
        <f>SUMIF(Mercado_Receita!$S$2:$S$469,"44287B1ConvencionalResidencialResidencial baixa renda – faixa 02Não se aplicaNão se aplicaPonta",Mercado_Receita!$L$2:$L$469)+SUMIF(Mercado_Receita!$S$2:$S$469,"44287B1ConvencionalResidencialResidencial baixa renda – faixa 02Não se aplicaNão se aplicaFora ponta",Mercado_Receita!$L$2:$L$469)+SUMIF(Mercado_Receita!$S$2:$S$469,"44287B1ConvencionalResidencialResidencial baixa renda – faixa 02Não se aplicaNão se aplicaIntermediário",Mercado_Receita!$L$2:$L$469)+SUMIF(Mercado_Receita!$S$2:$S$469,"44287B1ConvencionalResidencialResidencial baixa renda – faixa 02Não se aplicaNão se aplicaNão se aplica",Mercado_Receita!$L$2:$L$469)</f>
        <v>26.719000000000001</v>
      </c>
      <c r="J19" s="12">
        <f>SUMIF(Mercado_Receita!$S$2:$S$469,"44317B1ConvencionalResidencialResidencial baixa renda – faixa 02Não se aplicaNão se aplicaPonta",Mercado_Receita!$L$2:$L$469)+SUMIF(Mercado_Receita!$S$2:$S$469,"44317B1ConvencionalResidencialResidencial baixa renda – faixa 02Não se aplicaNão se aplicaFora ponta",Mercado_Receita!$L$2:$L$469)+SUMIF(Mercado_Receita!$S$2:$S$469,"44317B1ConvencionalResidencialResidencial baixa renda – faixa 02Não se aplicaNão se aplicaIntermediário",Mercado_Receita!$L$2:$L$469)+SUMIF(Mercado_Receita!$S$2:$S$469,"44317B1ConvencionalResidencialResidencial baixa renda – faixa 02Não se aplicaNão se aplicaNão se aplica",Mercado_Receita!$L$2:$L$469)</f>
        <v>26.407</v>
      </c>
      <c r="K19" s="12">
        <f>SUMIF(Mercado_Receita!$S$2:$S$469,"44348B1ConvencionalResidencialResidencial baixa renda – faixa 02Não se aplicaNão se aplicaPonta",Mercado_Receita!$L$2:$L$469)+SUMIF(Mercado_Receita!$S$2:$S$469,"44348B1ConvencionalResidencialResidencial baixa renda – faixa 02Não se aplicaNão se aplicaFora ponta",Mercado_Receita!$L$2:$L$469)+SUMIF(Mercado_Receita!$S$2:$S$469,"44348B1ConvencionalResidencialResidencial baixa renda – faixa 02Não se aplicaNão se aplicaIntermediário",Mercado_Receita!$L$2:$L$469)+SUMIF(Mercado_Receita!$S$2:$S$469,"44348B1ConvencionalResidencialResidencial baixa renda – faixa 02Não se aplicaNão se aplicaNão se aplica",Mercado_Receita!$L$2:$L$469)</f>
        <v>29.285</v>
      </c>
      <c r="L19" s="12">
        <f>SUMIF(Mercado_Receita!$S$2:$S$469,"44378B1ConvencionalResidencialResidencial baixa renda – faixa 02Não se aplicaNão se aplicaPonta",Mercado_Receita!$L$2:$L$469)+SUMIF(Mercado_Receita!$S$2:$S$469,"44378B1ConvencionalResidencialResidencial baixa renda – faixa 02Não se aplicaNão se aplicaFora ponta",Mercado_Receita!$L$2:$L$469)+SUMIF(Mercado_Receita!$S$2:$S$469,"44378B1ConvencionalResidencialResidencial baixa renda – faixa 02Não se aplicaNão se aplicaIntermediário",Mercado_Receita!$L$2:$L$469)+SUMIF(Mercado_Receita!$S$2:$S$469,"44378B1ConvencionalResidencialResidencial baixa renda – faixa 02Não se aplicaNão se aplicaNão se aplica",Mercado_Receita!$L$2:$L$469)</f>
        <v>28.423999999999999</v>
      </c>
      <c r="M19" s="12">
        <f>SUMIF(Mercado_Receita!$S$2:$S$469,"44409B1ConvencionalResidencialResidencial baixa renda – faixa 02Não se aplicaNão se aplicaPonta",Mercado_Receita!$L$2:$L$469)+SUMIF(Mercado_Receita!$S$2:$S$469,"44409B1ConvencionalResidencialResidencial baixa renda – faixa 02Não se aplicaNão se aplicaFora ponta",Mercado_Receita!$L$2:$L$469)+SUMIF(Mercado_Receita!$S$2:$S$469,"44409B1ConvencionalResidencialResidencial baixa renda – faixa 02Não se aplicaNão se aplicaIntermediário",Mercado_Receita!$L$2:$L$469)+SUMIF(Mercado_Receita!$S$2:$S$469,"44409B1ConvencionalResidencialResidencial baixa renda – faixa 02Não se aplicaNão se aplicaNão se aplica",Mercado_Receita!$L$2:$L$469)</f>
        <v>29.297999999999998</v>
      </c>
      <c r="N19" s="12">
        <f>SUMIF(Mercado_Receita!$S$2:$S$469,"44440B1ConvencionalResidencialResidencial baixa renda – faixa 02Não se aplicaNão se aplicaPonta",Mercado_Receita!$L$2:$L$469)+SUMIF(Mercado_Receita!$S$2:$S$469,"44440B1ConvencionalResidencialResidencial baixa renda – faixa 02Não se aplicaNão se aplicaFora ponta",Mercado_Receita!$L$2:$L$469)+SUMIF(Mercado_Receita!$S$2:$S$469,"44440B1ConvencionalResidencialResidencial baixa renda – faixa 02Não se aplicaNão se aplicaIntermediário",Mercado_Receita!$L$2:$L$469)+SUMIF(Mercado_Receita!$S$2:$S$469,"44440B1ConvencionalResidencialResidencial baixa renda – faixa 02Não se aplicaNão se aplicaNão se aplica",Mercado_Receita!$L$2:$L$469)</f>
        <v>31.83</v>
      </c>
      <c r="O19" s="12">
        <f>SUMIF(Mercado_Receita!$S$2:$S$469,"44470B1ConvencionalResidencialResidencial baixa renda – faixa 02Não se aplicaNão se aplicaPonta",Mercado_Receita!$L$2:$L$469)+SUMIF(Mercado_Receita!$S$2:$S$469,"44470B1ConvencionalResidencialResidencial baixa renda – faixa 02Não se aplicaNão se aplicaFora ponta",Mercado_Receita!$L$2:$L$469)+SUMIF(Mercado_Receita!$S$2:$S$469,"44470B1ConvencionalResidencialResidencial baixa renda – faixa 02Não se aplicaNão se aplicaIntermediário",Mercado_Receita!$L$2:$L$469)+SUMIF(Mercado_Receita!$S$2:$S$469,"44470B1ConvencionalResidencialResidencial baixa renda – faixa 02Não se aplicaNão se aplicaNão se aplica",Mercado_Receita!$L$2:$L$469)</f>
        <v>34.856999999999999</v>
      </c>
      <c r="P19" s="12">
        <f>SUMIF(Mercado_Receita!$S$2:$S$469,"44501B1ConvencionalResidencialResidencial baixa renda – faixa 02Não se aplicaNão se aplicaPonta",Mercado_Receita!$L$2:$L$469)+SUMIF(Mercado_Receita!$S$2:$S$469,"44501B1ConvencionalResidencialResidencial baixa renda – faixa 02Não se aplicaNão se aplicaFora ponta",Mercado_Receita!$L$2:$L$469)+SUMIF(Mercado_Receita!$S$2:$S$469,"44501B1ConvencionalResidencialResidencial baixa renda – faixa 02Não se aplicaNão se aplicaIntermediário",Mercado_Receita!$L$2:$L$469)+SUMIF(Mercado_Receita!$S$2:$S$469,"44501B1ConvencionalResidencialResidencial baixa renda – faixa 02Não se aplicaNão se aplicaNão se aplica",Mercado_Receita!$L$2:$L$469)</f>
        <v>36.511999999999993</v>
      </c>
      <c r="Q19" s="12">
        <f>SUMIF(Mercado_Receita!$S$2:$S$469,"44531B1ConvencionalResidencialResidencial baixa renda – faixa 02Não se aplicaNão se aplicaPonta",Mercado_Receita!$L$2:$L$469)+SUMIF(Mercado_Receita!$S$2:$S$469,"44531B1ConvencionalResidencialResidencial baixa renda – faixa 02Não se aplicaNão se aplicaFora ponta",Mercado_Receita!$L$2:$L$469)+SUMIF(Mercado_Receita!$S$2:$S$469,"44531B1ConvencionalResidencialResidencial baixa renda – faixa 02Não se aplicaNão se aplicaIntermediário",Mercado_Receita!$L$2:$L$469)+SUMIF(Mercado_Receita!$S$2:$S$469,"44531B1ConvencionalResidencialResidencial baixa renda – faixa 02Não se aplicaNão se aplicaNão se aplica",Mercado_Receita!$L$2:$L$469)</f>
        <v>39.268000000000001</v>
      </c>
      <c r="R19" s="12">
        <f>SUMIF(Mercado_Receita!$S$2:$S$469,"44562B1ConvencionalResidencialResidencial baixa renda – faixa 02Não se aplicaNão se aplicaPonta",Mercado_Receita!$L$2:$L$469)+SUMIF(Mercado_Receita!$S$2:$S$469,"44562B1ConvencionalResidencialResidencial baixa renda – faixa 02Não se aplicaNão se aplicaFora ponta",Mercado_Receita!$L$2:$L$469)+SUMIF(Mercado_Receita!$S$2:$S$469,"44562B1ConvencionalResidencialResidencial baixa renda – faixa 02Não se aplicaNão se aplicaIntermediário",Mercado_Receita!$L$2:$L$469)+SUMIF(Mercado_Receita!$S$2:$S$469,"44562B1ConvencionalResidencialResidencial baixa renda – faixa 02Não se aplicaNão se aplicaNão se aplica",Mercado_Receita!$L$2:$L$469)</f>
        <v>41.498000000000005</v>
      </c>
      <c r="S19" s="12">
        <f>SUMIF(Mercado_Receita!$S$2:$S$469,"44593B1ConvencionalResidencialResidencial baixa renda – faixa 02Não se aplicaNão se aplicaPonta",Mercado_Receita!$L$2:$L$469)+SUMIF(Mercado_Receita!$S$2:$S$469,"44593B1ConvencionalResidencialResidencial baixa renda – faixa 02Não se aplicaNão se aplicaFora ponta",Mercado_Receita!$L$2:$L$469)+SUMIF(Mercado_Receita!$S$2:$S$469,"44593B1ConvencionalResidencialResidencial baixa renda – faixa 02Não se aplicaNão se aplicaIntermediário",Mercado_Receita!$L$2:$L$469)+SUMIF(Mercado_Receita!$S$2:$S$469,"44593B1ConvencionalResidencialResidencial baixa renda – faixa 02Não se aplicaNão se aplicaNão se aplica",Mercado_Receita!$L$2:$L$469)</f>
        <v>44.061999999999998</v>
      </c>
      <c r="T19" s="12">
        <f>SUMIF(Mercado_Receita!$S$2:$S$469,"44621B1ConvencionalResidencialResidencial baixa renda – faixa 02Não se aplicaNão se aplicaPonta",Mercado_Receita!$L$2:$L$469)+SUMIF(Mercado_Receita!$S$2:$S$469,"44621B1ConvencionalResidencialResidencial baixa renda – faixa 02Não se aplicaNão se aplicaFora ponta",Mercado_Receita!$L$2:$L$469)+SUMIF(Mercado_Receita!$S$2:$S$469,"44621B1ConvencionalResidencialResidencial baixa renda – faixa 02Não se aplicaNão se aplicaIntermediário",Mercado_Receita!$L$2:$L$469)+SUMIF(Mercado_Receita!$S$2:$S$469,"44621B1ConvencionalResidencialResidencial baixa renda – faixa 02Não se aplicaNão se aplicaNão se aplica",Mercado_Receita!$L$2:$L$469)</f>
        <v>89.283999999999992</v>
      </c>
      <c r="U19" s="12">
        <f t="shared" si="0"/>
        <v>457.44400000000002</v>
      </c>
      <c r="V19" s="12"/>
      <c r="W19" s="12"/>
    </row>
    <row r="20" spans="1:23" ht="11.25" customHeight="1" x14ac:dyDescent="0.25">
      <c r="A20" s="116"/>
      <c r="B20" s="116"/>
      <c r="C20" s="116"/>
      <c r="D20" s="13" t="s">
        <v>31</v>
      </c>
      <c r="E20" s="13" t="s">
        <v>25</v>
      </c>
      <c r="F20" s="13" t="s">
        <v>25</v>
      </c>
      <c r="G20" s="12" t="s">
        <v>75</v>
      </c>
      <c r="H20" s="12" t="s">
        <v>71</v>
      </c>
      <c r="I20" s="12">
        <f>SUMIF(Mercado_Receita!$S$2:$S$469,"44287B1ConvencionalResidencialResidencial baixa renda – faixa 03Não se aplicaNão se aplicaPonta",Mercado_Receita!$L$2:$L$469)+SUMIF(Mercado_Receita!$S$2:$S$469,"44287B1ConvencionalResidencialResidencial baixa renda – faixa 03Não se aplicaNão se aplicaFora ponta",Mercado_Receita!$L$2:$L$469)+SUMIF(Mercado_Receita!$S$2:$S$469,"44287B1ConvencionalResidencialResidencial baixa renda – faixa 03Não se aplicaNão se aplicaIntermediário",Mercado_Receita!$L$2:$L$469)+SUMIF(Mercado_Receita!$S$2:$S$469,"44287B1ConvencionalResidencialResidencial baixa renda – faixa 03Não se aplicaNão se aplicaNão se aplica",Mercado_Receita!$L$2:$L$469)</f>
        <v>25.189</v>
      </c>
      <c r="J20" s="12">
        <f>SUMIF(Mercado_Receita!$S$2:$S$469,"44317B1ConvencionalResidencialResidencial baixa renda – faixa 03Não se aplicaNão se aplicaPonta",Mercado_Receita!$L$2:$L$469)+SUMIF(Mercado_Receita!$S$2:$S$469,"44317B1ConvencionalResidencialResidencial baixa renda – faixa 03Não se aplicaNão se aplicaFora ponta",Mercado_Receita!$L$2:$L$469)+SUMIF(Mercado_Receita!$S$2:$S$469,"44317B1ConvencionalResidencialResidencial baixa renda – faixa 03Não se aplicaNão se aplicaIntermediário",Mercado_Receita!$L$2:$L$469)+SUMIF(Mercado_Receita!$S$2:$S$469,"44317B1ConvencionalResidencialResidencial baixa renda – faixa 03Não se aplicaNão se aplicaNão se aplica",Mercado_Receita!$L$2:$L$469)</f>
        <v>20.131</v>
      </c>
      <c r="K20" s="12">
        <f>SUMIF(Mercado_Receita!$S$2:$S$469,"44348B1ConvencionalResidencialResidencial baixa renda – faixa 03Não se aplicaNão se aplicaPonta",Mercado_Receita!$L$2:$L$469)+SUMIF(Mercado_Receita!$S$2:$S$469,"44348B1ConvencionalResidencialResidencial baixa renda – faixa 03Não se aplicaNão se aplicaFora ponta",Mercado_Receita!$L$2:$L$469)+SUMIF(Mercado_Receita!$S$2:$S$469,"44348B1ConvencionalResidencialResidencial baixa renda – faixa 03Não se aplicaNão se aplicaIntermediário",Mercado_Receita!$L$2:$L$469)+SUMIF(Mercado_Receita!$S$2:$S$469,"44348B1ConvencionalResidencialResidencial baixa renda – faixa 03Não se aplicaNão se aplicaNão se aplica",Mercado_Receita!$L$2:$L$469)</f>
        <v>21.241</v>
      </c>
      <c r="L20" s="12">
        <f>SUMIF(Mercado_Receita!$S$2:$S$469,"44378B1ConvencionalResidencialResidencial baixa renda – faixa 03Não se aplicaNão se aplicaPonta",Mercado_Receita!$L$2:$L$469)+SUMIF(Mercado_Receita!$S$2:$S$469,"44378B1ConvencionalResidencialResidencial baixa renda – faixa 03Não se aplicaNão se aplicaFora ponta",Mercado_Receita!$L$2:$L$469)+SUMIF(Mercado_Receita!$S$2:$S$469,"44378B1ConvencionalResidencialResidencial baixa renda – faixa 03Não se aplicaNão se aplicaIntermediário",Mercado_Receita!$L$2:$L$469)+SUMIF(Mercado_Receita!$S$2:$S$469,"44378B1ConvencionalResidencialResidencial baixa renda – faixa 03Não se aplicaNão se aplicaNão se aplica",Mercado_Receita!$L$2:$L$469)</f>
        <v>16.478999999999999</v>
      </c>
      <c r="M20" s="12">
        <f>SUMIF(Mercado_Receita!$S$2:$S$469,"44409B1ConvencionalResidencialResidencial baixa renda – faixa 03Não se aplicaNão se aplicaPonta",Mercado_Receita!$L$2:$L$469)+SUMIF(Mercado_Receita!$S$2:$S$469,"44409B1ConvencionalResidencialResidencial baixa renda – faixa 03Não se aplicaNão se aplicaFora ponta",Mercado_Receita!$L$2:$L$469)+SUMIF(Mercado_Receita!$S$2:$S$469,"44409B1ConvencionalResidencialResidencial baixa renda – faixa 03Não se aplicaNão se aplicaIntermediário",Mercado_Receita!$L$2:$L$469)+SUMIF(Mercado_Receita!$S$2:$S$469,"44409B1ConvencionalResidencialResidencial baixa renda – faixa 03Não se aplicaNão se aplicaNão se aplica",Mercado_Receita!$L$2:$L$469)</f>
        <v>17.116</v>
      </c>
      <c r="N20" s="12">
        <f>SUMIF(Mercado_Receita!$S$2:$S$469,"44440B1ConvencionalResidencialResidencial baixa renda – faixa 03Não se aplicaNão se aplicaPonta",Mercado_Receita!$L$2:$L$469)+SUMIF(Mercado_Receita!$S$2:$S$469,"44440B1ConvencionalResidencialResidencial baixa renda – faixa 03Não se aplicaNão se aplicaFora ponta",Mercado_Receita!$L$2:$L$469)+SUMIF(Mercado_Receita!$S$2:$S$469,"44440B1ConvencionalResidencialResidencial baixa renda – faixa 03Não se aplicaNão se aplicaIntermediário",Mercado_Receita!$L$2:$L$469)+SUMIF(Mercado_Receita!$S$2:$S$469,"44440B1ConvencionalResidencialResidencial baixa renda – faixa 03Não se aplicaNão se aplicaNão se aplica",Mercado_Receita!$L$2:$L$469)</f>
        <v>25.048999999999999</v>
      </c>
      <c r="O20" s="12">
        <f>SUMIF(Mercado_Receita!$S$2:$S$469,"44470B1ConvencionalResidencialResidencial baixa renda – faixa 03Não se aplicaNão se aplicaPonta",Mercado_Receita!$L$2:$L$469)+SUMIF(Mercado_Receita!$S$2:$S$469,"44470B1ConvencionalResidencialResidencial baixa renda – faixa 03Não se aplicaNão se aplicaFora ponta",Mercado_Receita!$L$2:$L$469)+SUMIF(Mercado_Receita!$S$2:$S$469,"44470B1ConvencionalResidencialResidencial baixa renda – faixa 03Não se aplicaNão se aplicaIntermediário",Mercado_Receita!$L$2:$L$469)+SUMIF(Mercado_Receita!$S$2:$S$469,"44470B1ConvencionalResidencialResidencial baixa renda – faixa 03Não se aplicaNão se aplicaNão se aplica",Mercado_Receita!$L$2:$L$469)</f>
        <v>25.533000000000001</v>
      </c>
      <c r="P20" s="12">
        <f>SUMIF(Mercado_Receita!$S$2:$S$469,"44501B1ConvencionalResidencialResidencial baixa renda – faixa 03Não se aplicaNão se aplicaPonta",Mercado_Receita!$L$2:$L$469)+SUMIF(Mercado_Receita!$S$2:$S$469,"44501B1ConvencionalResidencialResidencial baixa renda – faixa 03Não se aplicaNão se aplicaFora ponta",Mercado_Receita!$L$2:$L$469)+SUMIF(Mercado_Receita!$S$2:$S$469,"44501B1ConvencionalResidencialResidencial baixa renda – faixa 03Não se aplicaNão se aplicaIntermediário",Mercado_Receita!$L$2:$L$469)+SUMIF(Mercado_Receita!$S$2:$S$469,"44501B1ConvencionalResidencialResidencial baixa renda – faixa 03Não se aplicaNão se aplicaNão se aplica",Mercado_Receita!$L$2:$L$469)</f>
        <v>26.920999999999999</v>
      </c>
      <c r="Q20" s="12">
        <f>SUMIF(Mercado_Receita!$S$2:$S$469,"44531B1ConvencionalResidencialResidencial baixa renda – faixa 03Não se aplicaNão se aplicaPonta",Mercado_Receita!$L$2:$L$469)+SUMIF(Mercado_Receita!$S$2:$S$469,"44531B1ConvencionalResidencialResidencial baixa renda – faixa 03Não se aplicaNão se aplicaFora ponta",Mercado_Receita!$L$2:$L$469)+SUMIF(Mercado_Receita!$S$2:$S$469,"44531B1ConvencionalResidencialResidencial baixa renda – faixa 03Não se aplicaNão se aplicaIntermediário",Mercado_Receita!$L$2:$L$469)+SUMIF(Mercado_Receita!$S$2:$S$469,"44531B1ConvencionalResidencialResidencial baixa renda – faixa 03Não se aplicaNão se aplicaNão se aplica",Mercado_Receita!$L$2:$L$469)</f>
        <v>30.305</v>
      </c>
      <c r="R20" s="12">
        <f>SUMIF(Mercado_Receita!$S$2:$S$469,"44562B1ConvencionalResidencialResidencial baixa renda – faixa 03Não se aplicaNão se aplicaPonta",Mercado_Receita!$L$2:$L$469)+SUMIF(Mercado_Receita!$S$2:$S$469,"44562B1ConvencionalResidencialResidencial baixa renda – faixa 03Não se aplicaNão se aplicaFora ponta",Mercado_Receita!$L$2:$L$469)+SUMIF(Mercado_Receita!$S$2:$S$469,"44562B1ConvencionalResidencialResidencial baixa renda – faixa 03Não se aplicaNão se aplicaIntermediário",Mercado_Receita!$L$2:$L$469)+SUMIF(Mercado_Receita!$S$2:$S$469,"44562B1ConvencionalResidencialResidencial baixa renda – faixa 03Não se aplicaNão se aplicaNão se aplica",Mercado_Receita!$L$2:$L$469)</f>
        <v>38.073</v>
      </c>
      <c r="S20" s="12">
        <f>SUMIF(Mercado_Receita!$S$2:$S$469,"44593B1ConvencionalResidencialResidencial baixa renda – faixa 03Não se aplicaNão se aplicaPonta",Mercado_Receita!$L$2:$L$469)+SUMIF(Mercado_Receita!$S$2:$S$469,"44593B1ConvencionalResidencialResidencial baixa renda – faixa 03Não se aplicaNão se aplicaFora ponta",Mercado_Receita!$L$2:$L$469)+SUMIF(Mercado_Receita!$S$2:$S$469,"44593B1ConvencionalResidencialResidencial baixa renda – faixa 03Não se aplicaNão se aplicaIntermediário",Mercado_Receita!$L$2:$L$469)+SUMIF(Mercado_Receita!$S$2:$S$469,"44593B1ConvencionalResidencialResidencial baixa renda – faixa 03Não se aplicaNão se aplicaNão se aplica",Mercado_Receita!$L$2:$L$469)</f>
        <v>44.082000000000001</v>
      </c>
      <c r="T20" s="12">
        <f>SUMIF(Mercado_Receita!$S$2:$S$469,"44621B1ConvencionalResidencialResidencial baixa renda – faixa 03Não se aplicaNão se aplicaPonta",Mercado_Receita!$L$2:$L$469)+SUMIF(Mercado_Receita!$S$2:$S$469,"44621B1ConvencionalResidencialResidencial baixa renda – faixa 03Não se aplicaNão se aplicaFora ponta",Mercado_Receita!$L$2:$L$469)+SUMIF(Mercado_Receita!$S$2:$S$469,"44621B1ConvencionalResidencialResidencial baixa renda – faixa 03Não se aplicaNão se aplicaIntermediário",Mercado_Receita!$L$2:$L$469)+SUMIF(Mercado_Receita!$S$2:$S$469,"44621B1ConvencionalResidencialResidencial baixa renda – faixa 03Não se aplicaNão se aplicaNão se aplica",Mercado_Receita!$L$2:$L$469)</f>
        <v>75.806999999999988</v>
      </c>
      <c r="U20" s="12">
        <f t="shared" si="0"/>
        <v>365.92600000000004</v>
      </c>
      <c r="V20" s="12"/>
      <c r="W20" s="12"/>
    </row>
    <row r="21" spans="1:23" ht="11.25" customHeight="1" x14ac:dyDescent="0.25">
      <c r="A21" s="116"/>
      <c r="B21" s="116"/>
      <c r="C21" s="116"/>
      <c r="D21" s="13" t="s">
        <v>32</v>
      </c>
      <c r="E21" s="13" t="s">
        <v>25</v>
      </c>
      <c r="F21" s="13" t="s">
        <v>25</v>
      </c>
      <c r="G21" s="12" t="s">
        <v>75</v>
      </c>
      <c r="H21" s="12" t="s">
        <v>71</v>
      </c>
      <c r="I21" s="12">
        <f>SUMIF(Mercado_Receita!$S$2:$S$469,"44287B1ConvencionalResidencialResidencial baixa renda – faixa 04Não se aplicaNão se aplicaPonta",Mercado_Receita!$L$2:$L$469)+SUMIF(Mercado_Receita!$S$2:$S$469,"44287B1ConvencionalResidencialResidencial baixa renda – faixa 04Não se aplicaNão se aplicaFora ponta",Mercado_Receita!$L$2:$L$469)+SUMIF(Mercado_Receita!$S$2:$S$469,"44287B1ConvencionalResidencialResidencial baixa renda – faixa 04Não se aplicaNão se aplicaIntermediário",Mercado_Receita!$L$2:$L$469)+SUMIF(Mercado_Receita!$S$2:$S$469,"44287B1ConvencionalResidencialResidencial baixa renda – faixa 04Não se aplicaNão se aplicaNão se aplica",Mercado_Receita!$L$2:$L$469)</f>
        <v>7.2460000000000004</v>
      </c>
      <c r="J21" s="12">
        <f>SUMIF(Mercado_Receita!$S$2:$S$469,"44317B1ConvencionalResidencialResidencial baixa renda – faixa 04Não se aplicaNão se aplicaPonta",Mercado_Receita!$L$2:$L$469)+SUMIF(Mercado_Receita!$S$2:$S$469,"44317B1ConvencionalResidencialResidencial baixa renda – faixa 04Não se aplicaNão se aplicaFora ponta",Mercado_Receita!$L$2:$L$469)+SUMIF(Mercado_Receita!$S$2:$S$469,"44317B1ConvencionalResidencialResidencial baixa renda – faixa 04Não se aplicaNão se aplicaIntermediário",Mercado_Receita!$L$2:$L$469)+SUMIF(Mercado_Receita!$S$2:$S$469,"44317B1ConvencionalResidencialResidencial baixa renda – faixa 04Não se aplicaNão se aplicaNão se aplica",Mercado_Receita!$L$2:$L$469)</f>
        <v>3.5270000000000001</v>
      </c>
      <c r="K21" s="12">
        <f>SUMIF(Mercado_Receita!$S$2:$S$469,"44348B1ConvencionalResidencialResidencial baixa renda – faixa 04Não se aplicaNão se aplicaPonta",Mercado_Receita!$L$2:$L$469)+SUMIF(Mercado_Receita!$S$2:$S$469,"44348B1ConvencionalResidencialResidencial baixa renda – faixa 04Não se aplicaNão se aplicaFora ponta",Mercado_Receita!$L$2:$L$469)+SUMIF(Mercado_Receita!$S$2:$S$469,"44348B1ConvencionalResidencialResidencial baixa renda – faixa 04Não se aplicaNão se aplicaIntermediário",Mercado_Receita!$L$2:$L$469)+SUMIF(Mercado_Receita!$S$2:$S$469,"44348B1ConvencionalResidencialResidencial baixa renda – faixa 04Não se aplicaNão se aplicaNão se aplica",Mercado_Receita!$L$2:$L$469)</f>
        <v>3.3679999999999999</v>
      </c>
      <c r="L21" s="12">
        <f>SUMIF(Mercado_Receita!$S$2:$S$469,"44378B1ConvencionalResidencialResidencial baixa renda – faixa 04Não se aplicaNão se aplicaPonta",Mercado_Receita!$L$2:$L$469)+SUMIF(Mercado_Receita!$S$2:$S$469,"44378B1ConvencionalResidencialResidencial baixa renda – faixa 04Não se aplicaNão se aplicaFora ponta",Mercado_Receita!$L$2:$L$469)+SUMIF(Mercado_Receita!$S$2:$S$469,"44378B1ConvencionalResidencialResidencial baixa renda – faixa 04Não se aplicaNão se aplicaIntermediário",Mercado_Receita!$L$2:$L$469)+SUMIF(Mercado_Receita!$S$2:$S$469,"44378B1ConvencionalResidencialResidencial baixa renda – faixa 04Não se aplicaNão se aplicaNão se aplica",Mercado_Receita!$L$2:$L$469)</f>
        <v>2.0070000000000001</v>
      </c>
      <c r="M21" s="12">
        <f>SUMIF(Mercado_Receita!$S$2:$S$469,"44409B1ConvencionalResidencialResidencial baixa renda – faixa 04Não se aplicaNão se aplicaPonta",Mercado_Receita!$L$2:$L$469)+SUMIF(Mercado_Receita!$S$2:$S$469,"44409B1ConvencionalResidencialResidencial baixa renda – faixa 04Não se aplicaNão se aplicaFora ponta",Mercado_Receita!$L$2:$L$469)+SUMIF(Mercado_Receita!$S$2:$S$469,"44409B1ConvencionalResidencialResidencial baixa renda – faixa 04Não se aplicaNão se aplicaIntermediário",Mercado_Receita!$L$2:$L$469)+SUMIF(Mercado_Receita!$S$2:$S$469,"44409B1ConvencionalResidencialResidencial baixa renda – faixa 04Não se aplicaNão se aplicaNão se aplica",Mercado_Receita!$L$2:$L$469)</f>
        <v>1.996</v>
      </c>
      <c r="N21" s="12">
        <f>SUMIF(Mercado_Receita!$S$2:$S$469,"44440B1ConvencionalResidencialResidencial baixa renda – faixa 04Não se aplicaNão se aplicaPonta",Mercado_Receita!$L$2:$L$469)+SUMIF(Mercado_Receita!$S$2:$S$469,"44440B1ConvencionalResidencialResidencial baixa renda – faixa 04Não se aplicaNão se aplicaFora ponta",Mercado_Receita!$L$2:$L$469)+SUMIF(Mercado_Receita!$S$2:$S$469,"44440B1ConvencionalResidencialResidencial baixa renda – faixa 04Não se aplicaNão se aplicaIntermediário",Mercado_Receita!$L$2:$L$469)+SUMIF(Mercado_Receita!$S$2:$S$469,"44440B1ConvencionalResidencialResidencial baixa renda – faixa 04Não se aplicaNão se aplicaNão se aplica",Mercado_Receita!$L$2:$L$469)</f>
        <v>4.6749999999999998</v>
      </c>
      <c r="O21" s="12">
        <f>SUMIF(Mercado_Receita!$S$2:$S$469,"44470B1ConvencionalResidencialResidencial baixa renda – faixa 04Não se aplicaNão se aplicaPonta",Mercado_Receita!$L$2:$L$469)+SUMIF(Mercado_Receita!$S$2:$S$469,"44470B1ConvencionalResidencialResidencial baixa renda – faixa 04Não se aplicaNão se aplicaFora ponta",Mercado_Receita!$L$2:$L$469)+SUMIF(Mercado_Receita!$S$2:$S$469,"44470B1ConvencionalResidencialResidencial baixa renda – faixa 04Não se aplicaNão se aplicaIntermediário",Mercado_Receita!$L$2:$L$469)+SUMIF(Mercado_Receita!$S$2:$S$469,"44470B1ConvencionalResidencialResidencial baixa renda – faixa 04Não se aplicaNão se aplicaNão se aplica",Mercado_Receita!$L$2:$L$469)</f>
        <v>4.0620000000000003</v>
      </c>
      <c r="P21" s="12">
        <f>SUMIF(Mercado_Receita!$S$2:$S$469,"44501B1ConvencionalResidencialResidencial baixa renda – faixa 04Não se aplicaNão se aplicaPonta",Mercado_Receita!$L$2:$L$469)+SUMIF(Mercado_Receita!$S$2:$S$469,"44501B1ConvencionalResidencialResidencial baixa renda – faixa 04Não se aplicaNão se aplicaFora ponta",Mercado_Receita!$L$2:$L$469)+SUMIF(Mercado_Receita!$S$2:$S$469,"44501B1ConvencionalResidencialResidencial baixa renda – faixa 04Não se aplicaNão se aplicaIntermediário",Mercado_Receita!$L$2:$L$469)+SUMIF(Mercado_Receita!$S$2:$S$469,"44501B1ConvencionalResidencialResidencial baixa renda – faixa 04Não se aplicaNão se aplicaNão se aplica",Mercado_Receita!$L$2:$L$469)</f>
        <v>4.5039999999999996</v>
      </c>
      <c r="Q21" s="12">
        <f>SUMIF(Mercado_Receita!$S$2:$S$469,"44531B1ConvencionalResidencialResidencial baixa renda – faixa 04Não se aplicaNão se aplicaPonta",Mercado_Receita!$L$2:$L$469)+SUMIF(Mercado_Receita!$S$2:$S$469,"44531B1ConvencionalResidencialResidencial baixa renda – faixa 04Não se aplicaNão se aplicaFora ponta",Mercado_Receita!$L$2:$L$469)+SUMIF(Mercado_Receita!$S$2:$S$469,"44531B1ConvencionalResidencialResidencial baixa renda – faixa 04Não se aplicaNão se aplicaIntermediário",Mercado_Receita!$L$2:$L$469)+SUMIF(Mercado_Receita!$S$2:$S$469,"44531B1ConvencionalResidencialResidencial baixa renda – faixa 04Não se aplicaNão se aplicaNão se aplica",Mercado_Receita!$L$2:$L$469)</f>
        <v>5.1580000000000004</v>
      </c>
      <c r="R21" s="12">
        <f>SUMIF(Mercado_Receita!$S$2:$S$469,"44562B1ConvencionalResidencialResidencial baixa renda – faixa 04Não se aplicaNão se aplicaPonta",Mercado_Receita!$L$2:$L$469)+SUMIF(Mercado_Receita!$S$2:$S$469,"44562B1ConvencionalResidencialResidencial baixa renda – faixa 04Não se aplicaNão se aplicaFora ponta",Mercado_Receita!$L$2:$L$469)+SUMIF(Mercado_Receita!$S$2:$S$469,"44562B1ConvencionalResidencialResidencial baixa renda – faixa 04Não se aplicaNão se aplicaIntermediário",Mercado_Receita!$L$2:$L$469)+SUMIF(Mercado_Receita!$S$2:$S$469,"44562B1ConvencionalResidencialResidencial baixa renda – faixa 04Não se aplicaNão se aplicaNão se aplica",Mercado_Receita!$L$2:$L$469)</f>
        <v>9.8369999999999997</v>
      </c>
      <c r="S21" s="12">
        <f>SUMIF(Mercado_Receita!$S$2:$S$469,"44593B1ConvencionalResidencialResidencial baixa renda – faixa 04Não se aplicaNão se aplicaPonta",Mercado_Receita!$L$2:$L$469)+SUMIF(Mercado_Receita!$S$2:$S$469,"44593B1ConvencionalResidencialResidencial baixa renda – faixa 04Não se aplicaNão se aplicaFora ponta",Mercado_Receita!$L$2:$L$469)+SUMIF(Mercado_Receita!$S$2:$S$469,"44593B1ConvencionalResidencialResidencial baixa renda – faixa 04Não se aplicaNão se aplicaIntermediário",Mercado_Receita!$L$2:$L$469)+SUMIF(Mercado_Receita!$S$2:$S$469,"44593B1ConvencionalResidencialResidencial baixa renda – faixa 04Não se aplicaNão se aplicaNão se aplica",Mercado_Receita!$L$2:$L$469)</f>
        <v>14.343999999999999</v>
      </c>
      <c r="T21" s="12">
        <f>SUMIF(Mercado_Receita!$S$2:$S$469,"44621B1ConvencionalResidencialResidencial baixa renda – faixa 04Não se aplicaNão se aplicaPonta",Mercado_Receita!$L$2:$L$469)+SUMIF(Mercado_Receita!$S$2:$S$469,"44621B1ConvencionalResidencialResidencial baixa renda – faixa 04Não se aplicaNão se aplicaFora ponta",Mercado_Receita!$L$2:$L$469)+SUMIF(Mercado_Receita!$S$2:$S$469,"44621B1ConvencionalResidencialResidencial baixa renda – faixa 04Não se aplicaNão se aplicaIntermediário",Mercado_Receita!$L$2:$L$469)+SUMIF(Mercado_Receita!$S$2:$S$469,"44621B1ConvencionalResidencialResidencial baixa renda – faixa 04Não se aplicaNão se aplicaNão se aplica",Mercado_Receita!$L$2:$L$469)</f>
        <v>21.021999999999998</v>
      </c>
      <c r="U21" s="12">
        <f t="shared" si="0"/>
        <v>81.745999999999995</v>
      </c>
      <c r="V21" s="12"/>
      <c r="W21" s="12"/>
    </row>
    <row r="22" spans="1:23" ht="11.25" customHeight="1" x14ac:dyDescent="0.25">
      <c r="A22" s="116"/>
      <c r="B22" s="115" t="s">
        <v>86</v>
      </c>
      <c r="C22" s="115" t="s">
        <v>24</v>
      </c>
      <c r="D22" s="13" t="s">
        <v>24</v>
      </c>
      <c r="E22" s="13" t="s">
        <v>25</v>
      </c>
      <c r="F22" s="13" t="s">
        <v>25</v>
      </c>
      <c r="G22" s="12" t="s">
        <v>75</v>
      </c>
      <c r="H22" s="12" t="s">
        <v>71</v>
      </c>
      <c r="I22" s="12">
        <f>SUMIF(Mercado_Receita!$S$2:$S$469,"44287B1Convencional pré-pagamentoResidencialResidencialNão se aplicaNão se aplicaPonta",Mercado_Receita!$L$2:$L$469)+SUMIF(Mercado_Receita!$S$2:$S$469,"44287B1Convencional pré-pagamentoResidencialResidencialNão se aplicaNão se aplicaFora ponta",Mercado_Receita!$L$2:$L$469)+SUMIF(Mercado_Receita!$S$2:$S$469,"44287B1Convencional pré-pagamentoResidencialResidencialNão se aplicaNão se aplicaIntermediário",Mercado_Receita!$L$2:$L$469)+SUMIF(Mercado_Receita!$S$2:$S$469,"44287B1Convencional pré-pagamentoResidencialResidencialNão se aplicaNão se aplicaNão se aplica",Mercado_Receita!$L$2:$L$469)</f>
        <v>0</v>
      </c>
      <c r="J22" s="12">
        <f>SUMIF(Mercado_Receita!$S$2:$S$469,"44317B1Convencional pré-pagamentoResidencialResidencialNão se aplicaNão se aplicaPonta",Mercado_Receita!$L$2:$L$469)+SUMIF(Mercado_Receita!$S$2:$S$469,"44317B1Convencional pré-pagamentoResidencialResidencialNão se aplicaNão se aplicaFora ponta",Mercado_Receita!$L$2:$L$469)+SUMIF(Mercado_Receita!$S$2:$S$469,"44317B1Convencional pré-pagamentoResidencialResidencialNão se aplicaNão se aplicaIntermediário",Mercado_Receita!$L$2:$L$469)+SUMIF(Mercado_Receita!$S$2:$S$469,"44317B1Convencional pré-pagamentoResidencialResidencialNão se aplicaNão se aplicaNão se aplica",Mercado_Receita!$L$2:$L$469)</f>
        <v>0</v>
      </c>
      <c r="K22" s="12">
        <f>SUMIF(Mercado_Receita!$S$2:$S$469,"44348B1Convencional pré-pagamentoResidencialResidencialNão se aplicaNão se aplicaPonta",Mercado_Receita!$L$2:$L$469)+SUMIF(Mercado_Receita!$S$2:$S$469,"44348B1Convencional pré-pagamentoResidencialResidencialNão se aplicaNão se aplicaFora ponta",Mercado_Receita!$L$2:$L$469)+SUMIF(Mercado_Receita!$S$2:$S$469,"44348B1Convencional pré-pagamentoResidencialResidencialNão se aplicaNão se aplicaIntermediário",Mercado_Receita!$L$2:$L$469)+SUMIF(Mercado_Receita!$S$2:$S$469,"44348B1Convencional pré-pagamentoResidencialResidencialNão se aplicaNão se aplicaNão se aplica",Mercado_Receita!$L$2:$L$469)</f>
        <v>0</v>
      </c>
      <c r="L22" s="12">
        <f>SUMIF(Mercado_Receita!$S$2:$S$469,"44378B1Convencional pré-pagamentoResidencialResidencialNão se aplicaNão se aplicaPonta",Mercado_Receita!$L$2:$L$469)+SUMIF(Mercado_Receita!$S$2:$S$469,"44378B1Convencional pré-pagamentoResidencialResidencialNão se aplicaNão se aplicaFora ponta",Mercado_Receita!$L$2:$L$469)+SUMIF(Mercado_Receita!$S$2:$S$469,"44378B1Convencional pré-pagamentoResidencialResidencialNão se aplicaNão se aplicaIntermediário",Mercado_Receita!$L$2:$L$469)+SUMIF(Mercado_Receita!$S$2:$S$469,"44378B1Convencional pré-pagamentoResidencialResidencialNão se aplicaNão se aplicaNão se aplica",Mercado_Receita!$L$2:$L$469)</f>
        <v>0</v>
      </c>
      <c r="M22" s="12">
        <f>SUMIF(Mercado_Receita!$S$2:$S$469,"44409B1Convencional pré-pagamentoResidencialResidencialNão se aplicaNão se aplicaPonta",Mercado_Receita!$L$2:$L$469)+SUMIF(Mercado_Receita!$S$2:$S$469,"44409B1Convencional pré-pagamentoResidencialResidencialNão se aplicaNão se aplicaFora ponta",Mercado_Receita!$L$2:$L$469)+SUMIF(Mercado_Receita!$S$2:$S$469,"44409B1Convencional pré-pagamentoResidencialResidencialNão se aplicaNão se aplicaIntermediário",Mercado_Receita!$L$2:$L$469)+SUMIF(Mercado_Receita!$S$2:$S$469,"44409B1Convencional pré-pagamentoResidencialResidencialNão se aplicaNão se aplicaNão se aplica",Mercado_Receita!$L$2:$L$469)</f>
        <v>0</v>
      </c>
      <c r="N22" s="12">
        <f>SUMIF(Mercado_Receita!$S$2:$S$469,"44440B1Convencional pré-pagamentoResidencialResidencialNão se aplicaNão se aplicaPonta",Mercado_Receita!$L$2:$L$469)+SUMIF(Mercado_Receita!$S$2:$S$469,"44440B1Convencional pré-pagamentoResidencialResidencialNão se aplicaNão se aplicaFora ponta",Mercado_Receita!$L$2:$L$469)+SUMIF(Mercado_Receita!$S$2:$S$469,"44440B1Convencional pré-pagamentoResidencialResidencialNão se aplicaNão se aplicaIntermediário",Mercado_Receita!$L$2:$L$469)+SUMIF(Mercado_Receita!$S$2:$S$469,"44440B1Convencional pré-pagamentoResidencialResidencialNão se aplicaNão se aplicaNão se aplica",Mercado_Receita!$L$2:$L$469)</f>
        <v>0</v>
      </c>
      <c r="O22" s="12">
        <f>SUMIF(Mercado_Receita!$S$2:$S$469,"44470B1Convencional pré-pagamentoResidencialResidencialNão se aplicaNão se aplicaPonta",Mercado_Receita!$L$2:$L$469)+SUMIF(Mercado_Receita!$S$2:$S$469,"44470B1Convencional pré-pagamentoResidencialResidencialNão se aplicaNão se aplicaFora ponta",Mercado_Receita!$L$2:$L$469)+SUMIF(Mercado_Receita!$S$2:$S$469,"44470B1Convencional pré-pagamentoResidencialResidencialNão se aplicaNão se aplicaIntermediário",Mercado_Receita!$L$2:$L$469)+SUMIF(Mercado_Receita!$S$2:$S$469,"44470B1Convencional pré-pagamentoResidencialResidencialNão se aplicaNão se aplicaNão se aplica",Mercado_Receita!$L$2:$L$469)</f>
        <v>0</v>
      </c>
      <c r="P22" s="12">
        <f>SUMIF(Mercado_Receita!$S$2:$S$469,"44501B1Convencional pré-pagamentoResidencialResidencialNão se aplicaNão se aplicaPonta",Mercado_Receita!$L$2:$L$469)+SUMIF(Mercado_Receita!$S$2:$S$469,"44501B1Convencional pré-pagamentoResidencialResidencialNão se aplicaNão se aplicaFora ponta",Mercado_Receita!$L$2:$L$469)+SUMIF(Mercado_Receita!$S$2:$S$469,"44501B1Convencional pré-pagamentoResidencialResidencialNão se aplicaNão se aplicaIntermediário",Mercado_Receita!$L$2:$L$469)+SUMIF(Mercado_Receita!$S$2:$S$469,"44501B1Convencional pré-pagamentoResidencialResidencialNão se aplicaNão se aplicaNão se aplica",Mercado_Receita!$L$2:$L$469)</f>
        <v>0</v>
      </c>
      <c r="Q22" s="12">
        <f>SUMIF(Mercado_Receita!$S$2:$S$469,"44531B1Convencional pré-pagamentoResidencialResidencialNão se aplicaNão se aplicaPonta",Mercado_Receita!$L$2:$L$469)+SUMIF(Mercado_Receita!$S$2:$S$469,"44531B1Convencional pré-pagamentoResidencialResidencialNão se aplicaNão se aplicaFora ponta",Mercado_Receita!$L$2:$L$469)+SUMIF(Mercado_Receita!$S$2:$S$469,"44531B1Convencional pré-pagamentoResidencialResidencialNão se aplicaNão se aplicaIntermediário",Mercado_Receita!$L$2:$L$469)+SUMIF(Mercado_Receita!$S$2:$S$469,"44531B1Convencional pré-pagamentoResidencialResidencialNão se aplicaNão se aplicaNão se aplica",Mercado_Receita!$L$2:$L$469)</f>
        <v>0</v>
      </c>
      <c r="R22" s="12">
        <f>SUMIF(Mercado_Receita!$S$2:$S$469,"44562B1Convencional pré-pagamentoResidencialResidencialNão se aplicaNão se aplicaPonta",Mercado_Receita!$L$2:$L$469)+SUMIF(Mercado_Receita!$S$2:$S$469,"44562B1Convencional pré-pagamentoResidencialResidencialNão se aplicaNão se aplicaFora ponta",Mercado_Receita!$L$2:$L$469)+SUMIF(Mercado_Receita!$S$2:$S$469,"44562B1Convencional pré-pagamentoResidencialResidencialNão se aplicaNão se aplicaIntermediário",Mercado_Receita!$L$2:$L$469)+SUMIF(Mercado_Receita!$S$2:$S$469,"44562B1Convencional pré-pagamentoResidencialResidencialNão se aplicaNão se aplicaNão se aplica",Mercado_Receita!$L$2:$L$469)</f>
        <v>0</v>
      </c>
      <c r="S22" s="12">
        <f>SUMIF(Mercado_Receita!$S$2:$S$469,"44593B1Convencional pré-pagamentoResidencialResidencialNão se aplicaNão se aplicaPonta",Mercado_Receita!$L$2:$L$469)+SUMIF(Mercado_Receita!$S$2:$S$469,"44593B1Convencional pré-pagamentoResidencialResidencialNão se aplicaNão se aplicaFora ponta",Mercado_Receita!$L$2:$L$469)+SUMIF(Mercado_Receita!$S$2:$S$469,"44593B1Convencional pré-pagamentoResidencialResidencialNão se aplicaNão se aplicaIntermediário",Mercado_Receita!$L$2:$L$469)+SUMIF(Mercado_Receita!$S$2:$S$469,"44593B1Convencional pré-pagamentoResidencialResidencialNão se aplicaNão se aplicaNão se aplica",Mercado_Receita!$L$2:$L$469)</f>
        <v>0</v>
      </c>
      <c r="T22" s="12">
        <f>SUMIF(Mercado_Receita!$S$2:$S$469,"44621B1Convencional pré-pagamentoResidencialResidencialNão se aplicaNão se aplicaPonta",Mercado_Receita!$L$2:$L$469)+SUMIF(Mercado_Receita!$S$2:$S$469,"44621B1Convencional pré-pagamentoResidencialResidencialNão se aplicaNão se aplicaFora ponta",Mercado_Receita!$L$2:$L$469)+SUMIF(Mercado_Receita!$S$2:$S$469,"44621B1Convencional pré-pagamentoResidencialResidencialNão se aplicaNão se aplicaIntermediário",Mercado_Receita!$L$2:$L$469)+SUMIF(Mercado_Receita!$S$2:$S$469,"44621B1Convencional pré-pagamentoResidencialResidencialNão se aplicaNão se aplicaNão se aplica",Mercado_Receita!$L$2:$L$469)</f>
        <v>0</v>
      </c>
      <c r="U22" s="12">
        <f t="shared" si="0"/>
        <v>0</v>
      </c>
      <c r="V22" s="12"/>
      <c r="W22" s="12"/>
    </row>
    <row r="23" spans="1:23" ht="11.25" customHeight="1" x14ac:dyDescent="0.25">
      <c r="A23" s="116"/>
      <c r="B23" s="116"/>
      <c r="C23" s="116"/>
      <c r="D23" s="13" t="s">
        <v>29</v>
      </c>
      <c r="E23" s="13" t="s">
        <v>25</v>
      </c>
      <c r="F23" s="13" t="s">
        <v>25</v>
      </c>
      <c r="G23" s="12" t="s">
        <v>75</v>
      </c>
      <c r="H23" s="12" t="s">
        <v>71</v>
      </c>
      <c r="I23" s="12">
        <f>SUMIF(Mercado_Receita!$S$2:$S$469,"44287B1Convencional pré-pagamentoResidencialResidencial baixa renda – faixa 01Não se aplicaNão se aplicaPonta",Mercado_Receita!$L$2:$L$469)+SUMIF(Mercado_Receita!$S$2:$S$469,"44287B1Convencional pré-pagamentoResidencialResidencial baixa renda – faixa 01Não se aplicaNão se aplicaFora ponta",Mercado_Receita!$L$2:$L$469)+SUMIF(Mercado_Receita!$S$2:$S$469,"44287B1Convencional pré-pagamentoResidencialResidencial baixa renda – faixa 01Não se aplicaNão se aplicaIntermediário",Mercado_Receita!$L$2:$L$469)+SUMIF(Mercado_Receita!$S$2:$S$469,"44287B1Convencional pré-pagamentoResidencialResidencial baixa renda – faixa 01Não se aplicaNão se aplicaNão se aplica",Mercado_Receita!$L$2:$L$469)</f>
        <v>0</v>
      </c>
      <c r="J23" s="12">
        <f>SUMIF(Mercado_Receita!$S$2:$S$469,"44317B1Convencional pré-pagamentoResidencialResidencial baixa renda – faixa 01Não se aplicaNão se aplicaPonta",Mercado_Receita!$L$2:$L$469)+SUMIF(Mercado_Receita!$S$2:$S$469,"44317B1Convencional pré-pagamentoResidencialResidencial baixa renda – faixa 01Não se aplicaNão se aplicaFora ponta",Mercado_Receita!$L$2:$L$469)+SUMIF(Mercado_Receita!$S$2:$S$469,"44317B1Convencional pré-pagamentoResidencialResidencial baixa renda – faixa 01Não se aplicaNão se aplicaIntermediário",Mercado_Receita!$L$2:$L$469)+SUMIF(Mercado_Receita!$S$2:$S$469,"44317B1Convencional pré-pagamentoResidencialResidencial baixa renda – faixa 01Não se aplicaNão se aplicaNão se aplica",Mercado_Receita!$L$2:$L$469)</f>
        <v>0</v>
      </c>
      <c r="K23" s="12">
        <f>SUMIF(Mercado_Receita!$S$2:$S$469,"44348B1Convencional pré-pagamentoResidencialResidencial baixa renda – faixa 01Não se aplicaNão se aplicaPonta",Mercado_Receita!$L$2:$L$469)+SUMIF(Mercado_Receita!$S$2:$S$469,"44348B1Convencional pré-pagamentoResidencialResidencial baixa renda – faixa 01Não se aplicaNão se aplicaFora ponta",Mercado_Receita!$L$2:$L$469)+SUMIF(Mercado_Receita!$S$2:$S$469,"44348B1Convencional pré-pagamentoResidencialResidencial baixa renda – faixa 01Não se aplicaNão se aplicaIntermediário",Mercado_Receita!$L$2:$L$469)+SUMIF(Mercado_Receita!$S$2:$S$469,"44348B1Convencional pré-pagamentoResidencialResidencial baixa renda – faixa 01Não se aplicaNão se aplicaNão se aplica",Mercado_Receita!$L$2:$L$469)</f>
        <v>0</v>
      </c>
      <c r="L23" s="12">
        <f>SUMIF(Mercado_Receita!$S$2:$S$469,"44378B1Convencional pré-pagamentoResidencialResidencial baixa renda – faixa 01Não se aplicaNão se aplicaPonta",Mercado_Receita!$L$2:$L$469)+SUMIF(Mercado_Receita!$S$2:$S$469,"44378B1Convencional pré-pagamentoResidencialResidencial baixa renda – faixa 01Não se aplicaNão se aplicaFora ponta",Mercado_Receita!$L$2:$L$469)+SUMIF(Mercado_Receita!$S$2:$S$469,"44378B1Convencional pré-pagamentoResidencialResidencial baixa renda – faixa 01Não se aplicaNão se aplicaIntermediário",Mercado_Receita!$L$2:$L$469)+SUMIF(Mercado_Receita!$S$2:$S$469,"44378B1Convencional pré-pagamentoResidencialResidencial baixa renda – faixa 01Não se aplicaNão se aplicaNão se aplica",Mercado_Receita!$L$2:$L$469)</f>
        <v>0</v>
      </c>
      <c r="M23" s="12">
        <f>SUMIF(Mercado_Receita!$S$2:$S$469,"44409B1Convencional pré-pagamentoResidencialResidencial baixa renda – faixa 01Não se aplicaNão se aplicaPonta",Mercado_Receita!$L$2:$L$469)+SUMIF(Mercado_Receita!$S$2:$S$469,"44409B1Convencional pré-pagamentoResidencialResidencial baixa renda – faixa 01Não se aplicaNão se aplicaFora ponta",Mercado_Receita!$L$2:$L$469)+SUMIF(Mercado_Receita!$S$2:$S$469,"44409B1Convencional pré-pagamentoResidencialResidencial baixa renda – faixa 01Não se aplicaNão se aplicaIntermediário",Mercado_Receita!$L$2:$L$469)+SUMIF(Mercado_Receita!$S$2:$S$469,"44409B1Convencional pré-pagamentoResidencialResidencial baixa renda – faixa 01Não se aplicaNão se aplicaNão se aplica",Mercado_Receita!$L$2:$L$469)</f>
        <v>0</v>
      </c>
      <c r="N23" s="12">
        <f>SUMIF(Mercado_Receita!$S$2:$S$469,"44440B1Convencional pré-pagamentoResidencialResidencial baixa renda – faixa 01Não se aplicaNão se aplicaPonta",Mercado_Receita!$L$2:$L$469)+SUMIF(Mercado_Receita!$S$2:$S$469,"44440B1Convencional pré-pagamentoResidencialResidencial baixa renda – faixa 01Não se aplicaNão se aplicaFora ponta",Mercado_Receita!$L$2:$L$469)+SUMIF(Mercado_Receita!$S$2:$S$469,"44440B1Convencional pré-pagamentoResidencialResidencial baixa renda – faixa 01Não se aplicaNão se aplicaIntermediário",Mercado_Receita!$L$2:$L$469)+SUMIF(Mercado_Receita!$S$2:$S$469,"44440B1Convencional pré-pagamentoResidencialResidencial baixa renda – faixa 01Não se aplicaNão se aplicaNão se aplica",Mercado_Receita!$L$2:$L$469)</f>
        <v>0</v>
      </c>
      <c r="O23" s="12">
        <f>SUMIF(Mercado_Receita!$S$2:$S$469,"44470B1Convencional pré-pagamentoResidencialResidencial baixa renda – faixa 01Não se aplicaNão se aplicaPonta",Mercado_Receita!$L$2:$L$469)+SUMIF(Mercado_Receita!$S$2:$S$469,"44470B1Convencional pré-pagamentoResidencialResidencial baixa renda – faixa 01Não se aplicaNão se aplicaFora ponta",Mercado_Receita!$L$2:$L$469)+SUMIF(Mercado_Receita!$S$2:$S$469,"44470B1Convencional pré-pagamentoResidencialResidencial baixa renda – faixa 01Não se aplicaNão se aplicaIntermediário",Mercado_Receita!$L$2:$L$469)+SUMIF(Mercado_Receita!$S$2:$S$469,"44470B1Convencional pré-pagamentoResidencialResidencial baixa renda – faixa 01Não se aplicaNão se aplicaNão se aplica",Mercado_Receita!$L$2:$L$469)</f>
        <v>0</v>
      </c>
      <c r="P23" s="12">
        <f>SUMIF(Mercado_Receita!$S$2:$S$469,"44501B1Convencional pré-pagamentoResidencialResidencial baixa renda – faixa 01Não se aplicaNão se aplicaPonta",Mercado_Receita!$L$2:$L$469)+SUMIF(Mercado_Receita!$S$2:$S$469,"44501B1Convencional pré-pagamentoResidencialResidencial baixa renda – faixa 01Não se aplicaNão se aplicaFora ponta",Mercado_Receita!$L$2:$L$469)+SUMIF(Mercado_Receita!$S$2:$S$469,"44501B1Convencional pré-pagamentoResidencialResidencial baixa renda – faixa 01Não se aplicaNão se aplicaIntermediário",Mercado_Receita!$L$2:$L$469)+SUMIF(Mercado_Receita!$S$2:$S$469,"44501B1Convencional pré-pagamentoResidencialResidencial baixa renda – faixa 01Não se aplicaNão se aplicaNão se aplica",Mercado_Receita!$L$2:$L$469)</f>
        <v>0</v>
      </c>
      <c r="Q23" s="12">
        <f>SUMIF(Mercado_Receita!$S$2:$S$469,"44531B1Convencional pré-pagamentoResidencialResidencial baixa renda – faixa 01Não se aplicaNão se aplicaPonta",Mercado_Receita!$L$2:$L$469)+SUMIF(Mercado_Receita!$S$2:$S$469,"44531B1Convencional pré-pagamentoResidencialResidencial baixa renda – faixa 01Não se aplicaNão se aplicaFora ponta",Mercado_Receita!$L$2:$L$469)+SUMIF(Mercado_Receita!$S$2:$S$469,"44531B1Convencional pré-pagamentoResidencialResidencial baixa renda – faixa 01Não se aplicaNão se aplicaIntermediário",Mercado_Receita!$L$2:$L$469)+SUMIF(Mercado_Receita!$S$2:$S$469,"44531B1Convencional pré-pagamentoResidencialResidencial baixa renda – faixa 01Não se aplicaNão se aplicaNão se aplica",Mercado_Receita!$L$2:$L$469)</f>
        <v>0</v>
      </c>
      <c r="R23" s="12">
        <f>SUMIF(Mercado_Receita!$S$2:$S$469,"44562B1Convencional pré-pagamentoResidencialResidencial baixa renda – faixa 01Não se aplicaNão se aplicaPonta",Mercado_Receita!$L$2:$L$469)+SUMIF(Mercado_Receita!$S$2:$S$469,"44562B1Convencional pré-pagamentoResidencialResidencial baixa renda – faixa 01Não se aplicaNão se aplicaFora ponta",Mercado_Receita!$L$2:$L$469)+SUMIF(Mercado_Receita!$S$2:$S$469,"44562B1Convencional pré-pagamentoResidencialResidencial baixa renda – faixa 01Não se aplicaNão se aplicaIntermediário",Mercado_Receita!$L$2:$L$469)+SUMIF(Mercado_Receita!$S$2:$S$469,"44562B1Convencional pré-pagamentoResidencialResidencial baixa renda – faixa 01Não se aplicaNão se aplicaNão se aplica",Mercado_Receita!$L$2:$L$469)</f>
        <v>0</v>
      </c>
      <c r="S23" s="12">
        <f>SUMIF(Mercado_Receita!$S$2:$S$469,"44593B1Convencional pré-pagamentoResidencialResidencial baixa renda – faixa 01Não se aplicaNão se aplicaPonta",Mercado_Receita!$L$2:$L$469)+SUMIF(Mercado_Receita!$S$2:$S$469,"44593B1Convencional pré-pagamentoResidencialResidencial baixa renda – faixa 01Não se aplicaNão se aplicaFora ponta",Mercado_Receita!$L$2:$L$469)+SUMIF(Mercado_Receita!$S$2:$S$469,"44593B1Convencional pré-pagamentoResidencialResidencial baixa renda – faixa 01Não se aplicaNão se aplicaIntermediário",Mercado_Receita!$L$2:$L$469)+SUMIF(Mercado_Receita!$S$2:$S$469,"44593B1Convencional pré-pagamentoResidencialResidencial baixa renda – faixa 01Não se aplicaNão se aplicaNão se aplica",Mercado_Receita!$L$2:$L$469)</f>
        <v>0</v>
      </c>
      <c r="T23" s="12">
        <f>SUMIF(Mercado_Receita!$S$2:$S$469,"44621B1Convencional pré-pagamentoResidencialResidencial baixa renda – faixa 01Não se aplicaNão se aplicaPonta",Mercado_Receita!$L$2:$L$469)+SUMIF(Mercado_Receita!$S$2:$S$469,"44621B1Convencional pré-pagamentoResidencialResidencial baixa renda – faixa 01Não se aplicaNão se aplicaFora ponta",Mercado_Receita!$L$2:$L$469)+SUMIF(Mercado_Receita!$S$2:$S$469,"44621B1Convencional pré-pagamentoResidencialResidencial baixa renda – faixa 01Não se aplicaNão se aplicaIntermediário",Mercado_Receita!$L$2:$L$469)+SUMIF(Mercado_Receita!$S$2:$S$469,"44621B1Convencional pré-pagamentoResidencialResidencial baixa renda – faixa 01Não se aplicaNão se aplicaNão se aplica",Mercado_Receita!$L$2:$L$469)</f>
        <v>0</v>
      </c>
      <c r="U23" s="12">
        <f t="shared" si="0"/>
        <v>0</v>
      </c>
      <c r="V23" s="12"/>
      <c r="W23" s="12"/>
    </row>
    <row r="24" spans="1:23" ht="11.25" customHeight="1" x14ac:dyDescent="0.25">
      <c r="A24" s="116"/>
      <c r="B24" s="116"/>
      <c r="C24" s="116"/>
      <c r="D24" s="13" t="s">
        <v>30</v>
      </c>
      <c r="E24" s="13" t="s">
        <v>25</v>
      </c>
      <c r="F24" s="13" t="s">
        <v>25</v>
      </c>
      <c r="G24" s="12" t="s">
        <v>75</v>
      </c>
      <c r="H24" s="12" t="s">
        <v>71</v>
      </c>
      <c r="I24" s="12">
        <f>SUMIF(Mercado_Receita!$S$2:$S$469,"44287B1Convencional pré-pagamentoResidencialResidencial baixa renda – faixa 02Não se aplicaNão se aplicaPonta",Mercado_Receita!$L$2:$L$469)+SUMIF(Mercado_Receita!$S$2:$S$469,"44287B1Convencional pré-pagamentoResidencialResidencial baixa renda – faixa 02Não se aplicaNão se aplicaFora ponta",Mercado_Receita!$L$2:$L$469)+SUMIF(Mercado_Receita!$S$2:$S$469,"44287B1Convencional pré-pagamentoResidencialResidencial baixa renda – faixa 02Não se aplicaNão se aplicaIntermediário",Mercado_Receita!$L$2:$L$469)+SUMIF(Mercado_Receita!$S$2:$S$469,"44287B1Convencional pré-pagamentoResidencialResidencial baixa renda – faixa 02Não se aplicaNão se aplicaNão se aplica",Mercado_Receita!$L$2:$L$469)</f>
        <v>0</v>
      </c>
      <c r="J24" s="12">
        <f>SUMIF(Mercado_Receita!$S$2:$S$469,"44317B1Convencional pré-pagamentoResidencialResidencial baixa renda – faixa 02Não se aplicaNão se aplicaPonta",Mercado_Receita!$L$2:$L$469)+SUMIF(Mercado_Receita!$S$2:$S$469,"44317B1Convencional pré-pagamentoResidencialResidencial baixa renda – faixa 02Não se aplicaNão se aplicaFora ponta",Mercado_Receita!$L$2:$L$469)+SUMIF(Mercado_Receita!$S$2:$S$469,"44317B1Convencional pré-pagamentoResidencialResidencial baixa renda – faixa 02Não se aplicaNão se aplicaIntermediário",Mercado_Receita!$L$2:$L$469)+SUMIF(Mercado_Receita!$S$2:$S$469,"44317B1Convencional pré-pagamentoResidencialResidencial baixa renda – faixa 02Não se aplicaNão se aplicaNão se aplica",Mercado_Receita!$L$2:$L$469)</f>
        <v>0</v>
      </c>
      <c r="K24" s="12">
        <f>SUMIF(Mercado_Receita!$S$2:$S$469,"44348B1Convencional pré-pagamentoResidencialResidencial baixa renda – faixa 02Não se aplicaNão se aplicaPonta",Mercado_Receita!$L$2:$L$469)+SUMIF(Mercado_Receita!$S$2:$S$469,"44348B1Convencional pré-pagamentoResidencialResidencial baixa renda – faixa 02Não se aplicaNão se aplicaFora ponta",Mercado_Receita!$L$2:$L$469)+SUMIF(Mercado_Receita!$S$2:$S$469,"44348B1Convencional pré-pagamentoResidencialResidencial baixa renda – faixa 02Não se aplicaNão se aplicaIntermediário",Mercado_Receita!$L$2:$L$469)+SUMIF(Mercado_Receita!$S$2:$S$469,"44348B1Convencional pré-pagamentoResidencialResidencial baixa renda – faixa 02Não se aplicaNão se aplicaNão se aplica",Mercado_Receita!$L$2:$L$469)</f>
        <v>0</v>
      </c>
      <c r="L24" s="12">
        <f>SUMIF(Mercado_Receita!$S$2:$S$469,"44378B1Convencional pré-pagamentoResidencialResidencial baixa renda – faixa 02Não se aplicaNão se aplicaPonta",Mercado_Receita!$L$2:$L$469)+SUMIF(Mercado_Receita!$S$2:$S$469,"44378B1Convencional pré-pagamentoResidencialResidencial baixa renda – faixa 02Não se aplicaNão se aplicaFora ponta",Mercado_Receita!$L$2:$L$469)+SUMIF(Mercado_Receita!$S$2:$S$469,"44378B1Convencional pré-pagamentoResidencialResidencial baixa renda – faixa 02Não se aplicaNão se aplicaIntermediário",Mercado_Receita!$L$2:$L$469)+SUMIF(Mercado_Receita!$S$2:$S$469,"44378B1Convencional pré-pagamentoResidencialResidencial baixa renda – faixa 02Não se aplicaNão se aplicaNão se aplica",Mercado_Receita!$L$2:$L$469)</f>
        <v>0</v>
      </c>
      <c r="M24" s="12">
        <f>SUMIF(Mercado_Receita!$S$2:$S$469,"44409B1Convencional pré-pagamentoResidencialResidencial baixa renda – faixa 02Não se aplicaNão se aplicaPonta",Mercado_Receita!$L$2:$L$469)+SUMIF(Mercado_Receita!$S$2:$S$469,"44409B1Convencional pré-pagamentoResidencialResidencial baixa renda – faixa 02Não se aplicaNão se aplicaFora ponta",Mercado_Receita!$L$2:$L$469)+SUMIF(Mercado_Receita!$S$2:$S$469,"44409B1Convencional pré-pagamentoResidencialResidencial baixa renda – faixa 02Não se aplicaNão se aplicaIntermediário",Mercado_Receita!$L$2:$L$469)+SUMIF(Mercado_Receita!$S$2:$S$469,"44409B1Convencional pré-pagamentoResidencialResidencial baixa renda – faixa 02Não se aplicaNão se aplicaNão se aplica",Mercado_Receita!$L$2:$L$469)</f>
        <v>0</v>
      </c>
      <c r="N24" s="12">
        <f>SUMIF(Mercado_Receita!$S$2:$S$469,"44440B1Convencional pré-pagamentoResidencialResidencial baixa renda – faixa 02Não se aplicaNão se aplicaPonta",Mercado_Receita!$L$2:$L$469)+SUMIF(Mercado_Receita!$S$2:$S$469,"44440B1Convencional pré-pagamentoResidencialResidencial baixa renda – faixa 02Não se aplicaNão se aplicaFora ponta",Mercado_Receita!$L$2:$L$469)+SUMIF(Mercado_Receita!$S$2:$S$469,"44440B1Convencional pré-pagamentoResidencialResidencial baixa renda – faixa 02Não se aplicaNão se aplicaIntermediário",Mercado_Receita!$L$2:$L$469)+SUMIF(Mercado_Receita!$S$2:$S$469,"44440B1Convencional pré-pagamentoResidencialResidencial baixa renda – faixa 02Não se aplicaNão se aplicaNão se aplica",Mercado_Receita!$L$2:$L$469)</f>
        <v>0</v>
      </c>
      <c r="O24" s="12">
        <f>SUMIF(Mercado_Receita!$S$2:$S$469,"44470B1Convencional pré-pagamentoResidencialResidencial baixa renda – faixa 02Não se aplicaNão se aplicaPonta",Mercado_Receita!$L$2:$L$469)+SUMIF(Mercado_Receita!$S$2:$S$469,"44470B1Convencional pré-pagamentoResidencialResidencial baixa renda – faixa 02Não se aplicaNão se aplicaFora ponta",Mercado_Receita!$L$2:$L$469)+SUMIF(Mercado_Receita!$S$2:$S$469,"44470B1Convencional pré-pagamentoResidencialResidencial baixa renda – faixa 02Não se aplicaNão se aplicaIntermediário",Mercado_Receita!$L$2:$L$469)+SUMIF(Mercado_Receita!$S$2:$S$469,"44470B1Convencional pré-pagamentoResidencialResidencial baixa renda – faixa 02Não se aplicaNão se aplicaNão se aplica",Mercado_Receita!$L$2:$L$469)</f>
        <v>0</v>
      </c>
      <c r="P24" s="12">
        <f>SUMIF(Mercado_Receita!$S$2:$S$469,"44501B1Convencional pré-pagamentoResidencialResidencial baixa renda – faixa 02Não se aplicaNão se aplicaPonta",Mercado_Receita!$L$2:$L$469)+SUMIF(Mercado_Receita!$S$2:$S$469,"44501B1Convencional pré-pagamentoResidencialResidencial baixa renda – faixa 02Não se aplicaNão se aplicaFora ponta",Mercado_Receita!$L$2:$L$469)+SUMIF(Mercado_Receita!$S$2:$S$469,"44501B1Convencional pré-pagamentoResidencialResidencial baixa renda – faixa 02Não se aplicaNão se aplicaIntermediário",Mercado_Receita!$L$2:$L$469)+SUMIF(Mercado_Receita!$S$2:$S$469,"44501B1Convencional pré-pagamentoResidencialResidencial baixa renda – faixa 02Não se aplicaNão se aplicaNão se aplica",Mercado_Receita!$L$2:$L$469)</f>
        <v>0</v>
      </c>
      <c r="Q24" s="12">
        <f>SUMIF(Mercado_Receita!$S$2:$S$469,"44531B1Convencional pré-pagamentoResidencialResidencial baixa renda – faixa 02Não se aplicaNão se aplicaPonta",Mercado_Receita!$L$2:$L$469)+SUMIF(Mercado_Receita!$S$2:$S$469,"44531B1Convencional pré-pagamentoResidencialResidencial baixa renda – faixa 02Não se aplicaNão se aplicaFora ponta",Mercado_Receita!$L$2:$L$469)+SUMIF(Mercado_Receita!$S$2:$S$469,"44531B1Convencional pré-pagamentoResidencialResidencial baixa renda – faixa 02Não se aplicaNão se aplicaIntermediário",Mercado_Receita!$L$2:$L$469)+SUMIF(Mercado_Receita!$S$2:$S$469,"44531B1Convencional pré-pagamentoResidencialResidencial baixa renda – faixa 02Não se aplicaNão se aplicaNão se aplica",Mercado_Receita!$L$2:$L$469)</f>
        <v>0</v>
      </c>
      <c r="R24" s="12">
        <f>SUMIF(Mercado_Receita!$S$2:$S$469,"44562B1Convencional pré-pagamentoResidencialResidencial baixa renda – faixa 02Não se aplicaNão se aplicaPonta",Mercado_Receita!$L$2:$L$469)+SUMIF(Mercado_Receita!$S$2:$S$469,"44562B1Convencional pré-pagamentoResidencialResidencial baixa renda – faixa 02Não se aplicaNão se aplicaFora ponta",Mercado_Receita!$L$2:$L$469)+SUMIF(Mercado_Receita!$S$2:$S$469,"44562B1Convencional pré-pagamentoResidencialResidencial baixa renda – faixa 02Não se aplicaNão se aplicaIntermediário",Mercado_Receita!$L$2:$L$469)+SUMIF(Mercado_Receita!$S$2:$S$469,"44562B1Convencional pré-pagamentoResidencialResidencial baixa renda – faixa 02Não se aplicaNão se aplicaNão se aplica",Mercado_Receita!$L$2:$L$469)</f>
        <v>0</v>
      </c>
      <c r="S24" s="12">
        <f>SUMIF(Mercado_Receita!$S$2:$S$469,"44593B1Convencional pré-pagamentoResidencialResidencial baixa renda – faixa 02Não se aplicaNão se aplicaPonta",Mercado_Receita!$L$2:$L$469)+SUMIF(Mercado_Receita!$S$2:$S$469,"44593B1Convencional pré-pagamentoResidencialResidencial baixa renda – faixa 02Não se aplicaNão se aplicaFora ponta",Mercado_Receita!$L$2:$L$469)+SUMIF(Mercado_Receita!$S$2:$S$469,"44593B1Convencional pré-pagamentoResidencialResidencial baixa renda – faixa 02Não se aplicaNão se aplicaIntermediário",Mercado_Receita!$L$2:$L$469)+SUMIF(Mercado_Receita!$S$2:$S$469,"44593B1Convencional pré-pagamentoResidencialResidencial baixa renda – faixa 02Não se aplicaNão se aplicaNão se aplica",Mercado_Receita!$L$2:$L$469)</f>
        <v>0</v>
      </c>
      <c r="T24" s="12">
        <f>SUMIF(Mercado_Receita!$S$2:$S$469,"44621B1Convencional pré-pagamentoResidencialResidencial baixa renda – faixa 02Não se aplicaNão se aplicaPonta",Mercado_Receita!$L$2:$L$469)+SUMIF(Mercado_Receita!$S$2:$S$469,"44621B1Convencional pré-pagamentoResidencialResidencial baixa renda – faixa 02Não se aplicaNão se aplicaFora ponta",Mercado_Receita!$L$2:$L$469)+SUMIF(Mercado_Receita!$S$2:$S$469,"44621B1Convencional pré-pagamentoResidencialResidencial baixa renda – faixa 02Não se aplicaNão se aplicaIntermediário",Mercado_Receita!$L$2:$L$469)+SUMIF(Mercado_Receita!$S$2:$S$469,"44621B1Convencional pré-pagamentoResidencialResidencial baixa renda – faixa 02Não se aplicaNão se aplicaNão se aplica",Mercado_Receita!$L$2:$L$469)</f>
        <v>0</v>
      </c>
      <c r="U24" s="12">
        <f t="shared" si="0"/>
        <v>0</v>
      </c>
      <c r="V24" s="12"/>
      <c r="W24" s="12"/>
    </row>
    <row r="25" spans="1:23" ht="11.25" customHeight="1" x14ac:dyDescent="0.25">
      <c r="A25" s="116"/>
      <c r="B25" s="116"/>
      <c r="C25" s="116"/>
      <c r="D25" s="13" t="s">
        <v>31</v>
      </c>
      <c r="E25" s="13" t="s">
        <v>25</v>
      </c>
      <c r="F25" s="13" t="s">
        <v>25</v>
      </c>
      <c r="G25" s="12" t="s">
        <v>75</v>
      </c>
      <c r="H25" s="12" t="s">
        <v>71</v>
      </c>
      <c r="I25" s="12">
        <f>SUMIF(Mercado_Receita!$S$2:$S$469,"44287B1Convencional pré-pagamentoResidencialResidencial baixa renda – faixa 03Não se aplicaNão se aplicaPonta",Mercado_Receita!$L$2:$L$469)+SUMIF(Mercado_Receita!$S$2:$S$469,"44287B1Convencional pré-pagamentoResidencialResidencial baixa renda – faixa 03Não se aplicaNão se aplicaFora ponta",Mercado_Receita!$L$2:$L$469)+SUMIF(Mercado_Receita!$S$2:$S$469,"44287B1Convencional pré-pagamentoResidencialResidencial baixa renda – faixa 03Não se aplicaNão se aplicaIntermediário",Mercado_Receita!$L$2:$L$469)+SUMIF(Mercado_Receita!$S$2:$S$469,"44287B1Convencional pré-pagamentoResidencialResidencial baixa renda – faixa 03Não se aplicaNão se aplicaNão se aplica",Mercado_Receita!$L$2:$L$469)</f>
        <v>0</v>
      </c>
      <c r="J25" s="12">
        <f>SUMIF(Mercado_Receita!$S$2:$S$469,"44317B1Convencional pré-pagamentoResidencialResidencial baixa renda – faixa 03Não se aplicaNão se aplicaPonta",Mercado_Receita!$L$2:$L$469)+SUMIF(Mercado_Receita!$S$2:$S$469,"44317B1Convencional pré-pagamentoResidencialResidencial baixa renda – faixa 03Não se aplicaNão se aplicaFora ponta",Mercado_Receita!$L$2:$L$469)+SUMIF(Mercado_Receita!$S$2:$S$469,"44317B1Convencional pré-pagamentoResidencialResidencial baixa renda – faixa 03Não se aplicaNão se aplicaIntermediário",Mercado_Receita!$L$2:$L$469)+SUMIF(Mercado_Receita!$S$2:$S$469,"44317B1Convencional pré-pagamentoResidencialResidencial baixa renda – faixa 03Não se aplicaNão se aplicaNão se aplica",Mercado_Receita!$L$2:$L$469)</f>
        <v>0</v>
      </c>
      <c r="K25" s="12">
        <f>SUMIF(Mercado_Receita!$S$2:$S$469,"44348B1Convencional pré-pagamentoResidencialResidencial baixa renda – faixa 03Não se aplicaNão se aplicaPonta",Mercado_Receita!$L$2:$L$469)+SUMIF(Mercado_Receita!$S$2:$S$469,"44348B1Convencional pré-pagamentoResidencialResidencial baixa renda – faixa 03Não se aplicaNão se aplicaFora ponta",Mercado_Receita!$L$2:$L$469)+SUMIF(Mercado_Receita!$S$2:$S$469,"44348B1Convencional pré-pagamentoResidencialResidencial baixa renda – faixa 03Não se aplicaNão se aplicaIntermediário",Mercado_Receita!$L$2:$L$469)+SUMIF(Mercado_Receita!$S$2:$S$469,"44348B1Convencional pré-pagamentoResidencialResidencial baixa renda – faixa 03Não se aplicaNão se aplicaNão se aplica",Mercado_Receita!$L$2:$L$469)</f>
        <v>0</v>
      </c>
      <c r="L25" s="12">
        <f>SUMIF(Mercado_Receita!$S$2:$S$469,"44378B1Convencional pré-pagamentoResidencialResidencial baixa renda – faixa 03Não se aplicaNão se aplicaPonta",Mercado_Receita!$L$2:$L$469)+SUMIF(Mercado_Receita!$S$2:$S$469,"44378B1Convencional pré-pagamentoResidencialResidencial baixa renda – faixa 03Não se aplicaNão se aplicaFora ponta",Mercado_Receita!$L$2:$L$469)+SUMIF(Mercado_Receita!$S$2:$S$469,"44378B1Convencional pré-pagamentoResidencialResidencial baixa renda – faixa 03Não se aplicaNão se aplicaIntermediário",Mercado_Receita!$L$2:$L$469)+SUMIF(Mercado_Receita!$S$2:$S$469,"44378B1Convencional pré-pagamentoResidencialResidencial baixa renda – faixa 03Não se aplicaNão se aplicaNão se aplica",Mercado_Receita!$L$2:$L$469)</f>
        <v>0</v>
      </c>
      <c r="M25" s="12">
        <f>SUMIF(Mercado_Receita!$S$2:$S$469,"44409B1Convencional pré-pagamentoResidencialResidencial baixa renda – faixa 03Não se aplicaNão se aplicaPonta",Mercado_Receita!$L$2:$L$469)+SUMIF(Mercado_Receita!$S$2:$S$469,"44409B1Convencional pré-pagamentoResidencialResidencial baixa renda – faixa 03Não se aplicaNão se aplicaFora ponta",Mercado_Receita!$L$2:$L$469)+SUMIF(Mercado_Receita!$S$2:$S$469,"44409B1Convencional pré-pagamentoResidencialResidencial baixa renda – faixa 03Não se aplicaNão se aplicaIntermediário",Mercado_Receita!$L$2:$L$469)+SUMIF(Mercado_Receita!$S$2:$S$469,"44409B1Convencional pré-pagamentoResidencialResidencial baixa renda – faixa 03Não se aplicaNão se aplicaNão se aplica",Mercado_Receita!$L$2:$L$469)</f>
        <v>0</v>
      </c>
      <c r="N25" s="12">
        <f>SUMIF(Mercado_Receita!$S$2:$S$469,"44440B1Convencional pré-pagamentoResidencialResidencial baixa renda – faixa 03Não se aplicaNão se aplicaPonta",Mercado_Receita!$L$2:$L$469)+SUMIF(Mercado_Receita!$S$2:$S$469,"44440B1Convencional pré-pagamentoResidencialResidencial baixa renda – faixa 03Não se aplicaNão se aplicaFora ponta",Mercado_Receita!$L$2:$L$469)+SUMIF(Mercado_Receita!$S$2:$S$469,"44440B1Convencional pré-pagamentoResidencialResidencial baixa renda – faixa 03Não se aplicaNão se aplicaIntermediário",Mercado_Receita!$L$2:$L$469)+SUMIF(Mercado_Receita!$S$2:$S$469,"44440B1Convencional pré-pagamentoResidencialResidencial baixa renda – faixa 03Não se aplicaNão se aplicaNão se aplica",Mercado_Receita!$L$2:$L$469)</f>
        <v>0</v>
      </c>
      <c r="O25" s="12">
        <f>SUMIF(Mercado_Receita!$S$2:$S$469,"44470B1Convencional pré-pagamentoResidencialResidencial baixa renda – faixa 03Não se aplicaNão se aplicaPonta",Mercado_Receita!$L$2:$L$469)+SUMIF(Mercado_Receita!$S$2:$S$469,"44470B1Convencional pré-pagamentoResidencialResidencial baixa renda – faixa 03Não se aplicaNão se aplicaFora ponta",Mercado_Receita!$L$2:$L$469)+SUMIF(Mercado_Receita!$S$2:$S$469,"44470B1Convencional pré-pagamentoResidencialResidencial baixa renda – faixa 03Não se aplicaNão se aplicaIntermediário",Mercado_Receita!$L$2:$L$469)+SUMIF(Mercado_Receita!$S$2:$S$469,"44470B1Convencional pré-pagamentoResidencialResidencial baixa renda – faixa 03Não se aplicaNão se aplicaNão se aplica",Mercado_Receita!$L$2:$L$469)</f>
        <v>0</v>
      </c>
      <c r="P25" s="12">
        <f>SUMIF(Mercado_Receita!$S$2:$S$469,"44501B1Convencional pré-pagamentoResidencialResidencial baixa renda – faixa 03Não se aplicaNão se aplicaPonta",Mercado_Receita!$L$2:$L$469)+SUMIF(Mercado_Receita!$S$2:$S$469,"44501B1Convencional pré-pagamentoResidencialResidencial baixa renda – faixa 03Não se aplicaNão se aplicaFora ponta",Mercado_Receita!$L$2:$L$469)+SUMIF(Mercado_Receita!$S$2:$S$469,"44501B1Convencional pré-pagamentoResidencialResidencial baixa renda – faixa 03Não se aplicaNão se aplicaIntermediário",Mercado_Receita!$L$2:$L$469)+SUMIF(Mercado_Receita!$S$2:$S$469,"44501B1Convencional pré-pagamentoResidencialResidencial baixa renda – faixa 03Não se aplicaNão se aplicaNão se aplica",Mercado_Receita!$L$2:$L$469)</f>
        <v>0</v>
      </c>
      <c r="Q25" s="12">
        <f>SUMIF(Mercado_Receita!$S$2:$S$469,"44531B1Convencional pré-pagamentoResidencialResidencial baixa renda – faixa 03Não se aplicaNão se aplicaPonta",Mercado_Receita!$L$2:$L$469)+SUMIF(Mercado_Receita!$S$2:$S$469,"44531B1Convencional pré-pagamentoResidencialResidencial baixa renda – faixa 03Não se aplicaNão se aplicaFora ponta",Mercado_Receita!$L$2:$L$469)+SUMIF(Mercado_Receita!$S$2:$S$469,"44531B1Convencional pré-pagamentoResidencialResidencial baixa renda – faixa 03Não se aplicaNão se aplicaIntermediário",Mercado_Receita!$L$2:$L$469)+SUMIF(Mercado_Receita!$S$2:$S$469,"44531B1Convencional pré-pagamentoResidencialResidencial baixa renda – faixa 03Não se aplicaNão se aplicaNão se aplica",Mercado_Receita!$L$2:$L$469)</f>
        <v>0</v>
      </c>
      <c r="R25" s="12">
        <f>SUMIF(Mercado_Receita!$S$2:$S$469,"44562B1Convencional pré-pagamentoResidencialResidencial baixa renda – faixa 03Não se aplicaNão se aplicaPonta",Mercado_Receita!$L$2:$L$469)+SUMIF(Mercado_Receita!$S$2:$S$469,"44562B1Convencional pré-pagamentoResidencialResidencial baixa renda – faixa 03Não se aplicaNão se aplicaFora ponta",Mercado_Receita!$L$2:$L$469)+SUMIF(Mercado_Receita!$S$2:$S$469,"44562B1Convencional pré-pagamentoResidencialResidencial baixa renda – faixa 03Não se aplicaNão se aplicaIntermediário",Mercado_Receita!$L$2:$L$469)+SUMIF(Mercado_Receita!$S$2:$S$469,"44562B1Convencional pré-pagamentoResidencialResidencial baixa renda – faixa 03Não se aplicaNão se aplicaNão se aplica",Mercado_Receita!$L$2:$L$469)</f>
        <v>0</v>
      </c>
      <c r="S25" s="12">
        <f>SUMIF(Mercado_Receita!$S$2:$S$469,"44593B1Convencional pré-pagamentoResidencialResidencial baixa renda – faixa 03Não se aplicaNão se aplicaPonta",Mercado_Receita!$L$2:$L$469)+SUMIF(Mercado_Receita!$S$2:$S$469,"44593B1Convencional pré-pagamentoResidencialResidencial baixa renda – faixa 03Não se aplicaNão se aplicaFora ponta",Mercado_Receita!$L$2:$L$469)+SUMIF(Mercado_Receita!$S$2:$S$469,"44593B1Convencional pré-pagamentoResidencialResidencial baixa renda – faixa 03Não se aplicaNão se aplicaIntermediário",Mercado_Receita!$L$2:$L$469)+SUMIF(Mercado_Receita!$S$2:$S$469,"44593B1Convencional pré-pagamentoResidencialResidencial baixa renda – faixa 03Não se aplicaNão se aplicaNão se aplica",Mercado_Receita!$L$2:$L$469)</f>
        <v>0</v>
      </c>
      <c r="T25" s="12">
        <f>SUMIF(Mercado_Receita!$S$2:$S$469,"44621B1Convencional pré-pagamentoResidencialResidencial baixa renda – faixa 03Não se aplicaNão se aplicaPonta",Mercado_Receita!$L$2:$L$469)+SUMIF(Mercado_Receita!$S$2:$S$469,"44621B1Convencional pré-pagamentoResidencialResidencial baixa renda – faixa 03Não se aplicaNão se aplicaFora ponta",Mercado_Receita!$L$2:$L$469)+SUMIF(Mercado_Receita!$S$2:$S$469,"44621B1Convencional pré-pagamentoResidencialResidencial baixa renda – faixa 03Não se aplicaNão se aplicaIntermediário",Mercado_Receita!$L$2:$L$469)+SUMIF(Mercado_Receita!$S$2:$S$469,"44621B1Convencional pré-pagamentoResidencialResidencial baixa renda – faixa 03Não se aplicaNão se aplicaNão se aplica",Mercado_Receita!$L$2:$L$469)</f>
        <v>0</v>
      </c>
      <c r="U25" s="12">
        <f t="shared" si="0"/>
        <v>0</v>
      </c>
      <c r="V25" s="12"/>
      <c r="W25" s="12"/>
    </row>
    <row r="26" spans="1:23" ht="11.25" customHeight="1" x14ac:dyDescent="0.25">
      <c r="A26" s="116"/>
      <c r="B26" s="116"/>
      <c r="C26" s="116"/>
      <c r="D26" s="13" t="s">
        <v>32</v>
      </c>
      <c r="E26" s="13" t="s">
        <v>25</v>
      </c>
      <c r="F26" s="13" t="s">
        <v>25</v>
      </c>
      <c r="G26" s="12" t="s">
        <v>75</v>
      </c>
      <c r="H26" s="12" t="s">
        <v>71</v>
      </c>
      <c r="I26" s="12">
        <f>SUMIF(Mercado_Receita!$S$2:$S$469,"44287B1Convencional pré-pagamentoResidencialResidencial baixa renda – faixa 04Não se aplicaNão se aplicaPonta",Mercado_Receita!$L$2:$L$469)+SUMIF(Mercado_Receita!$S$2:$S$469,"44287B1Convencional pré-pagamentoResidencialResidencial baixa renda – faixa 04Não se aplicaNão se aplicaFora ponta",Mercado_Receita!$L$2:$L$469)+SUMIF(Mercado_Receita!$S$2:$S$469,"44287B1Convencional pré-pagamentoResidencialResidencial baixa renda – faixa 04Não se aplicaNão se aplicaIntermediário",Mercado_Receita!$L$2:$L$469)+SUMIF(Mercado_Receita!$S$2:$S$469,"44287B1Convencional pré-pagamentoResidencialResidencial baixa renda – faixa 04Não se aplicaNão se aplicaNão se aplica",Mercado_Receita!$L$2:$L$469)</f>
        <v>0</v>
      </c>
      <c r="J26" s="12">
        <f>SUMIF(Mercado_Receita!$S$2:$S$469,"44317B1Convencional pré-pagamentoResidencialResidencial baixa renda – faixa 04Não se aplicaNão se aplicaPonta",Mercado_Receita!$L$2:$L$469)+SUMIF(Mercado_Receita!$S$2:$S$469,"44317B1Convencional pré-pagamentoResidencialResidencial baixa renda – faixa 04Não se aplicaNão se aplicaFora ponta",Mercado_Receita!$L$2:$L$469)+SUMIF(Mercado_Receita!$S$2:$S$469,"44317B1Convencional pré-pagamentoResidencialResidencial baixa renda – faixa 04Não se aplicaNão se aplicaIntermediário",Mercado_Receita!$L$2:$L$469)+SUMIF(Mercado_Receita!$S$2:$S$469,"44317B1Convencional pré-pagamentoResidencialResidencial baixa renda – faixa 04Não se aplicaNão se aplicaNão se aplica",Mercado_Receita!$L$2:$L$469)</f>
        <v>0</v>
      </c>
      <c r="K26" s="12">
        <f>SUMIF(Mercado_Receita!$S$2:$S$469,"44348B1Convencional pré-pagamentoResidencialResidencial baixa renda – faixa 04Não se aplicaNão se aplicaPonta",Mercado_Receita!$L$2:$L$469)+SUMIF(Mercado_Receita!$S$2:$S$469,"44348B1Convencional pré-pagamentoResidencialResidencial baixa renda – faixa 04Não se aplicaNão se aplicaFora ponta",Mercado_Receita!$L$2:$L$469)+SUMIF(Mercado_Receita!$S$2:$S$469,"44348B1Convencional pré-pagamentoResidencialResidencial baixa renda – faixa 04Não se aplicaNão se aplicaIntermediário",Mercado_Receita!$L$2:$L$469)+SUMIF(Mercado_Receita!$S$2:$S$469,"44348B1Convencional pré-pagamentoResidencialResidencial baixa renda – faixa 04Não se aplicaNão se aplicaNão se aplica",Mercado_Receita!$L$2:$L$469)</f>
        <v>0</v>
      </c>
      <c r="L26" s="12">
        <f>SUMIF(Mercado_Receita!$S$2:$S$469,"44378B1Convencional pré-pagamentoResidencialResidencial baixa renda – faixa 04Não se aplicaNão se aplicaPonta",Mercado_Receita!$L$2:$L$469)+SUMIF(Mercado_Receita!$S$2:$S$469,"44378B1Convencional pré-pagamentoResidencialResidencial baixa renda – faixa 04Não se aplicaNão se aplicaFora ponta",Mercado_Receita!$L$2:$L$469)+SUMIF(Mercado_Receita!$S$2:$S$469,"44378B1Convencional pré-pagamentoResidencialResidencial baixa renda – faixa 04Não se aplicaNão se aplicaIntermediário",Mercado_Receita!$L$2:$L$469)+SUMIF(Mercado_Receita!$S$2:$S$469,"44378B1Convencional pré-pagamentoResidencialResidencial baixa renda – faixa 04Não se aplicaNão se aplicaNão se aplica",Mercado_Receita!$L$2:$L$469)</f>
        <v>0</v>
      </c>
      <c r="M26" s="12">
        <f>SUMIF(Mercado_Receita!$S$2:$S$469,"44409B1Convencional pré-pagamentoResidencialResidencial baixa renda – faixa 04Não se aplicaNão se aplicaPonta",Mercado_Receita!$L$2:$L$469)+SUMIF(Mercado_Receita!$S$2:$S$469,"44409B1Convencional pré-pagamentoResidencialResidencial baixa renda – faixa 04Não se aplicaNão se aplicaFora ponta",Mercado_Receita!$L$2:$L$469)+SUMIF(Mercado_Receita!$S$2:$S$469,"44409B1Convencional pré-pagamentoResidencialResidencial baixa renda – faixa 04Não se aplicaNão se aplicaIntermediário",Mercado_Receita!$L$2:$L$469)+SUMIF(Mercado_Receita!$S$2:$S$469,"44409B1Convencional pré-pagamentoResidencialResidencial baixa renda – faixa 04Não se aplicaNão se aplicaNão se aplica",Mercado_Receita!$L$2:$L$469)</f>
        <v>0</v>
      </c>
      <c r="N26" s="12">
        <f>SUMIF(Mercado_Receita!$S$2:$S$469,"44440B1Convencional pré-pagamentoResidencialResidencial baixa renda – faixa 04Não se aplicaNão se aplicaPonta",Mercado_Receita!$L$2:$L$469)+SUMIF(Mercado_Receita!$S$2:$S$469,"44440B1Convencional pré-pagamentoResidencialResidencial baixa renda – faixa 04Não se aplicaNão se aplicaFora ponta",Mercado_Receita!$L$2:$L$469)+SUMIF(Mercado_Receita!$S$2:$S$469,"44440B1Convencional pré-pagamentoResidencialResidencial baixa renda – faixa 04Não se aplicaNão se aplicaIntermediário",Mercado_Receita!$L$2:$L$469)+SUMIF(Mercado_Receita!$S$2:$S$469,"44440B1Convencional pré-pagamentoResidencialResidencial baixa renda – faixa 04Não se aplicaNão se aplicaNão se aplica",Mercado_Receita!$L$2:$L$469)</f>
        <v>0</v>
      </c>
      <c r="O26" s="12">
        <f>SUMIF(Mercado_Receita!$S$2:$S$469,"44470B1Convencional pré-pagamentoResidencialResidencial baixa renda – faixa 04Não se aplicaNão se aplicaPonta",Mercado_Receita!$L$2:$L$469)+SUMIF(Mercado_Receita!$S$2:$S$469,"44470B1Convencional pré-pagamentoResidencialResidencial baixa renda – faixa 04Não se aplicaNão se aplicaFora ponta",Mercado_Receita!$L$2:$L$469)+SUMIF(Mercado_Receita!$S$2:$S$469,"44470B1Convencional pré-pagamentoResidencialResidencial baixa renda – faixa 04Não se aplicaNão se aplicaIntermediário",Mercado_Receita!$L$2:$L$469)+SUMIF(Mercado_Receita!$S$2:$S$469,"44470B1Convencional pré-pagamentoResidencialResidencial baixa renda – faixa 04Não se aplicaNão se aplicaNão se aplica",Mercado_Receita!$L$2:$L$469)</f>
        <v>0</v>
      </c>
      <c r="P26" s="12">
        <f>SUMIF(Mercado_Receita!$S$2:$S$469,"44501B1Convencional pré-pagamentoResidencialResidencial baixa renda – faixa 04Não se aplicaNão se aplicaPonta",Mercado_Receita!$L$2:$L$469)+SUMIF(Mercado_Receita!$S$2:$S$469,"44501B1Convencional pré-pagamentoResidencialResidencial baixa renda – faixa 04Não se aplicaNão se aplicaFora ponta",Mercado_Receita!$L$2:$L$469)+SUMIF(Mercado_Receita!$S$2:$S$469,"44501B1Convencional pré-pagamentoResidencialResidencial baixa renda – faixa 04Não se aplicaNão se aplicaIntermediário",Mercado_Receita!$L$2:$L$469)+SUMIF(Mercado_Receita!$S$2:$S$469,"44501B1Convencional pré-pagamentoResidencialResidencial baixa renda – faixa 04Não se aplicaNão se aplicaNão se aplica",Mercado_Receita!$L$2:$L$469)</f>
        <v>0</v>
      </c>
      <c r="Q26" s="12">
        <f>SUMIF(Mercado_Receita!$S$2:$S$469,"44531B1Convencional pré-pagamentoResidencialResidencial baixa renda – faixa 04Não se aplicaNão se aplicaPonta",Mercado_Receita!$L$2:$L$469)+SUMIF(Mercado_Receita!$S$2:$S$469,"44531B1Convencional pré-pagamentoResidencialResidencial baixa renda – faixa 04Não se aplicaNão se aplicaFora ponta",Mercado_Receita!$L$2:$L$469)+SUMIF(Mercado_Receita!$S$2:$S$469,"44531B1Convencional pré-pagamentoResidencialResidencial baixa renda – faixa 04Não se aplicaNão se aplicaIntermediário",Mercado_Receita!$L$2:$L$469)+SUMIF(Mercado_Receita!$S$2:$S$469,"44531B1Convencional pré-pagamentoResidencialResidencial baixa renda – faixa 04Não se aplicaNão se aplicaNão se aplica",Mercado_Receita!$L$2:$L$469)</f>
        <v>0</v>
      </c>
      <c r="R26" s="12">
        <f>SUMIF(Mercado_Receita!$S$2:$S$469,"44562B1Convencional pré-pagamentoResidencialResidencial baixa renda – faixa 04Não se aplicaNão se aplicaPonta",Mercado_Receita!$L$2:$L$469)+SUMIF(Mercado_Receita!$S$2:$S$469,"44562B1Convencional pré-pagamentoResidencialResidencial baixa renda – faixa 04Não se aplicaNão se aplicaFora ponta",Mercado_Receita!$L$2:$L$469)+SUMIF(Mercado_Receita!$S$2:$S$469,"44562B1Convencional pré-pagamentoResidencialResidencial baixa renda – faixa 04Não se aplicaNão se aplicaIntermediário",Mercado_Receita!$L$2:$L$469)+SUMIF(Mercado_Receita!$S$2:$S$469,"44562B1Convencional pré-pagamentoResidencialResidencial baixa renda – faixa 04Não se aplicaNão se aplicaNão se aplica",Mercado_Receita!$L$2:$L$469)</f>
        <v>0</v>
      </c>
      <c r="S26" s="12">
        <f>SUMIF(Mercado_Receita!$S$2:$S$469,"44593B1Convencional pré-pagamentoResidencialResidencial baixa renda – faixa 04Não se aplicaNão se aplicaPonta",Mercado_Receita!$L$2:$L$469)+SUMIF(Mercado_Receita!$S$2:$S$469,"44593B1Convencional pré-pagamentoResidencialResidencial baixa renda – faixa 04Não se aplicaNão se aplicaFora ponta",Mercado_Receita!$L$2:$L$469)+SUMIF(Mercado_Receita!$S$2:$S$469,"44593B1Convencional pré-pagamentoResidencialResidencial baixa renda – faixa 04Não se aplicaNão se aplicaIntermediário",Mercado_Receita!$L$2:$L$469)+SUMIF(Mercado_Receita!$S$2:$S$469,"44593B1Convencional pré-pagamentoResidencialResidencial baixa renda – faixa 04Não se aplicaNão se aplicaNão se aplica",Mercado_Receita!$L$2:$L$469)</f>
        <v>0</v>
      </c>
      <c r="T26" s="12">
        <f>SUMIF(Mercado_Receita!$S$2:$S$469,"44621B1Convencional pré-pagamentoResidencialResidencial baixa renda – faixa 04Não se aplicaNão se aplicaPonta",Mercado_Receita!$L$2:$L$469)+SUMIF(Mercado_Receita!$S$2:$S$469,"44621B1Convencional pré-pagamentoResidencialResidencial baixa renda – faixa 04Não se aplicaNão se aplicaFora ponta",Mercado_Receita!$L$2:$L$469)+SUMIF(Mercado_Receita!$S$2:$S$469,"44621B1Convencional pré-pagamentoResidencialResidencial baixa renda – faixa 04Não se aplicaNão se aplicaIntermediário",Mercado_Receita!$L$2:$L$469)+SUMIF(Mercado_Receita!$S$2:$S$469,"44621B1Convencional pré-pagamentoResidencialResidencial baixa renda – faixa 04Não se aplicaNão se aplicaNão se aplica",Mercado_Receita!$L$2:$L$469)</f>
        <v>0</v>
      </c>
      <c r="U26" s="12">
        <f t="shared" si="0"/>
        <v>0</v>
      </c>
      <c r="V26" s="12"/>
      <c r="W26" s="12"/>
    </row>
    <row r="27" spans="1:23" ht="11.25" customHeight="1" x14ac:dyDescent="0.25">
      <c r="A27" s="115" t="s">
        <v>43</v>
      </c>
      <c r="B27" s="115" t="s">
        <v>37</v>
      </c>
      <c r="C27" s="115" t="s">
        <v>44</v>
      </c>
      <c r="D27" s="115" t="s">
        <v>25</v>
      </c>
      <c r="E27" s="115" t="s">
        <v>25</v>
      </c>
      <c r="F27" s="115" t="s">
        <v>25</v>
      </c>
      <c r="G27" s="12" t="s">
        <v>72</v>
      </c>
      <c r="H27" s="12" t="s">
        <v>71</v>
      </c>
      <c r="I27" s="12">
        <f>SUMIF(Mercado_Receita!$S$2:$S$469,"44287B2BrancaRuralNão se aplicaNão se aplicaNão se aplicaPonta",Mercado_Receita!$L$2:$L$469)</f>
        <v>0</v>
      </c>
      <c r="J27" s="12">
        <f>SUMIF(Mercado_Receita!$S$2:$S$469,"44317B2BrancaRuralNão se aplicaNão se aplicaNão se aplicaPonta",Mercado_Receita!$L$2:$L$469)</f>
        <v>0</v>
      </c>
      <c r="K27" s="12">
        <f>SUMIF(Mercado_Receita!$S$2:$S$469,"44348B2BrancaRuralNão se aplicaNão se aplicaNão se aplicaPonta",Mercado_Receita!$L$2:$L$469)</f>
        <v>0</v>
      </c>
      <c r="L27" s="12">
        <f>SUMIF(Mercado_Receita!$S$2:$S$469,"44378B2BrancaRuralNão se aplicaNão se aplicaNão se aplicaPonta",Mercado_Receita!$L$2:$L$469)</f>
        <v>0</v>
      </c>
      <c r="M27" s="12">
        <f>SUMIF(Mercado_Receita!$S$2:$S$469,"44409B2BrancaRuralNão se aplicaNão se aplicaNão se aplicaPonta",Mercado_Receita!$L$2:$L$469)</f>
        <v>0</v>
      </c>
      <c r="N27" s="12">
        <f>SUMIF(Mercado_Receita!$S$2:$S$469,"44440B2BrancaRuralNão se aplicaNão se aplicaNão se aplicaPonta",Mercado_Receita!$L$2:$L$469)</f>
        <v>0</v>
      </c>
      <c r="O27" s="12">
        <f>SUMIF(Mercado_Receita!$S$2:$S$469,"44470B2BrancaRuralNão se aplicaNão se aplicaNão se aplicaPonta",Mercado_Receita!$L$2:$L$469)</f>
        <v>0</v>
      </c>
      <c r="P27" s="12">
        <f>SUMIF(Mercado_Receita!$S$2:$S$469,"44501B2BrancaRuralNão se aplicaNão se aplicaNão se aplicaPonta",Mercado_Receita!$L$2:$L$469)</f>
        <v>0</v>
      </c>
      <c r="Q27" s="12">
        <f>SUMIF(Mercado_Receita!$S$2:$S$469,"44531B2BrancaRuralNão se aplicaNão se aplicaNão se aplicaPonta",Mercado_Receita!$L$2:$L$469)</f>
        <v>0</v>
      </c>
      <c r="R27" s="12">
        <f>SUMIF(Mercado_Receita!$S$2:$S$469,"44562B2BrancaRuralNão se aplicaNão se aplicaNão se aplicaPonta",Mercado_Receita!$L$2:$L$469)</f>
        <v>0</v>
      </c>
      <c r="S27" s="12">
        <f>SUMIF(Mercado_Receita!$S$2:$S$469,"44593B2BrancaRuralNão se aplicaNão se aplicaNão se aplicaPonta",Mercado_Receita!$L$2:$L$469)</f>
        <v>0</v>
      </c>
      <c r="T27" s="12">
        <f>SUMIF(Mercado_Receita!$S$2:$S$469,"44621B2BrancaRuralNão se aplicaNão se aplicaNão se aplicaPonta",Mercado_Receita!$L$2:$L$469)</f>
        <v>0</v>
      </c>
      <c r="U27" s="12">
        <f t="shared" si="0"/>
        <v>0</v>
      </c>
      <c r="V27" s="12"/>
      <c r="W27" s="12"/>
    </row>
    <row r="28" spans="1:23" ht="11.25" customHeight="1" x14ac:dyDescent="0.25">
      <c r="A28" s="116"/>
      <c r="B28" s="116"/>
      <c r="C28" s="116"/>
      <c r="D28" s="116"/>
      <c r="E28" s="116"/>
      <c r="F28" s="116"/>
      <c r="G28" s="12" t="s">
        <v>84</v>
      </c>
      <c r="H28" s="12" t="s">
        <v>71</v>
      </c>
      <c r="I28" s="12">
        <f>SUMIF(Mercado_Receita!$S$2:$S$469,"44287B2BrancaRuralNão se aplicaNão se aplicaNão se aplicaIntermediário",Mercado_Receita!$L$2:$L$469)</f>
        <v>0</v>
      </c>
      <c r="J28" s="12">
        <f>SUMIF(Mercado_Receita!$S$2:$S$469,"44317B2BrancaRuralNão se aplicaNão se aplicaNão se aplicaIntermediário",Mercado_Receita!$L$2:$L$469)</f>
        <v>0</v>
      </c>
      <c r="K28" s="12">
        <f>SUMIF(Mercado_Receita!$S$2:$S$469,"44348B2BrancaRuralNão se aplicaNão se aplicaNão se aplicaIntermediário",Mercado_Receita!$L$2:$L$469)</f>
        <v>0</v>
      </c>
      <c r="L28" s="12">
        <f>SUMIF(Mercado_Receita!$S$2:$S$469,"44378B2BrancaRuralNão se aplicaNão se aplicaNão se aplicaIntermediário",Mercado_Receita!$L$2:$L$469)</f>
        <v>0</v>
      </c>
      <c r="M28" s="12">
        <f>SUMIF(Mercado_Receita!$S$2:$S$469,"44409B2BrancaRuralNão se aplicaNão se aplicaNão se aplicaIntermediário",Mercado_Receita!$L$2:$L$469)</f>
        <v>0</v>
      </c>
      <c r="N28" s="12">
        <f>SUMIF(Mercado_Receita!$S$2:$S$469,"44440B2BrancaRuralNão se aplicaNão se aplicaNão se aplicaIntermediário",Mercado_Receita!$L$2:$L$469)</f>
        <v>0</v>
      </c>
      <c r="O28" s="12">
        <f>SUMIF(Mercado_Receita!$S$2:$S$469,"44470B2BrancaRuralNão se aplicaNão se aplicaNão se aplicaIntermediário",Mercado_Receita!$L$2:$L$469)</f>
        <v>0</v>
      </c>
      <c r="P28" s="12">
        <f>SUMIF(Mercado_Receita!$S$2:$S$469,"44501B2BrancaRuralNão se aplicaNão se aplicaNão se aplicaIntermediário",Mercado_Receita!$L$2:$L$469)</f>
        <v>0</v>
      </c>
      <c r="Q28" s="12">
        <f>SUMIF(Mercado_Receita!$S$2:$S$469,"44531B2BrancaRuralNão se aplicaNão se aplicaNão se aplicaIntermediário",Mercado_Receita!$L$2:$L$469)</f>
        <v>0</v>
      </c>
      <c r="R28" s="12">
        <f>SUMIF(Mercado_Receita!$S$2:$S$469,"44562B2BrancaRuralNão se aplicaNão se aplicaNão se aplicaIntermediário",Mercado_Receita!$L$2:$L$469)</f>
        <v>0</v>
      </c>
      <c r="S28" s="12">
        <f>SUMIF(Mercado_Receita!$S$2:$S$469,"44593B2BrancaRuralNão se aplicaNão se aplicaNão se aplicaIntermediário",Mercado_Receita!$L$2:$L$469)</f>
        <v>0</v>
      </c>
      <c r="T28" s="12">
        <f>SUMIF(Mercado_Receita!$S$2:$S$469,"44621B2BrancaRuralNão se aplicaNão se aplicaNão se aplicaIntermediário",Mercado_Receita!$L$2:$L$469)</f>
        <v>0</v>
      </c>
      <c r="U28" s="12">
        <f t="shared" si="0"/>
        <v>0</v>
      </c>
      <c r="V28" s="12"/>
      <c r="W28" s="12"/>
    </row>
    <row r="29" spans="1:23" ht="11.25" customHeight="1" x14ac:dyDescent="0.25">
      <c r="A29" s="116"/>
      <c r="B29" s="116"/>
      <c r="C29" s="116"/>
      <c r="D29" s="116"/>
      <c r="E29" s="116"/>
      <c r="F29" s="116"/>
      <c r="G29" s="12" t="s">
        <v>73</v>
      </c>
      <c r="H29" s="12" t="s">
        <v>71</v>
      </c>
      <c r="I29" s="12">
        <f>SUMIF(Mercado_Receita!$S$2:$S$469,"44287B2BrancaRuralNão se aplicaNão se aplicaNão se aplicaFora ponta",Mercado_Receita!$L$2:$L$469)</f>
        <v>0</v>
      </c>
      <c r="J29" s="12">
        <f>SUMIF(Mercado_Receita!$S$2:$S$469,"44317B2BrancaRuralNão se aplicaNão se aplicaNão se aplicaFora ponta",Mercado_Receita!$L$2:$L$469)</f>
        <v>0</v>
      </c>
      <c r="K29" s="12">
        <f>SUMIF(Mercado_Receita!$S$2:$S$469,"44348B2BrancaRuralNão se aplicaNão se aplicaNão se aplicaFora ponta",Mercado_Receita!$L$2:$L$469)</f>
        <v>0</v>
      </c>
      <c r="L29" s="12">
        <f>SUMIF(Mercado_Receita!$S$2:$S$469,"44378B2BrancaRuralNão se aplicaNão se aplicaNão se aplicaFora ponta",Mercado_Receita!$L$2:$L$469)</f>
        <v>0</v>
      </c>
      <c r="M29" s="12">
        <f>SUMIF(Mercado_Receita!$S$2:$S$469,"44409B2BrancaRuralNão se aplicaNão se aplicaNão se aplicaFora ponta",Mercado_Receita!$L$2:$L$469)</f>
        <v>0</v>
      </c>
      <c r="N29" s="12">
        <f>SUMIF(Mercado_Receita!$S$2:$S$469,"44440B2BrancaRuralNão se aplicaNão se aplicaNão se aplicaFora ponta",Mercado_Receita!$L$2:$L$469)</f>
        <v>0</v>
      </c>
      <c r="O29" s="12">
        <f>SUMIF(Mercado_Receita!$S$2:$S$469,"44470B2BrancaRuralNão se aplicaNão se aplicaNão se aplicaFora ponta",Mercado_Receita!$L$2:$L$469)</f>
        <v>0</v>
      </c>
      <c r="P29" s="12">
        <f>SUMIF(Mercado_Receita!$S$2:$S$469,"44501B2BrancaRuralNão se aplicaNão se aplicaNão se aplicaFora ponta",Mercado_Receita!$L$2:$L$469)</f>
        <v>0</v>
      </c>
      <c r="Q29" s="12">
        <f>SUMIF(Mercado_Receita!$S$2:$S$469,"44531B2BrancaRuralNão se aplicaNão se aplicaNão se aplicaFora ponta",Mercado_Receita!$L$2:$L$469)</f>
        <v>0</v>
      </c>
      <c r="R29" s="12">
        <f>SUMIF(Mercado_Receita!$S$2:$S$469,"44562B2BrancaRuralNão se aplicaNão se aplicaNão se aplicaFora ponta",Mercado_Receita!$L$2:$L$469)</f>
        <v>0</v>
      </c>
      <c r="S29" s="12">
        <f>SUMIF(Mercado_Receita!$S$2:$S$469,"44593B2BrancaRuralNão se aplicaNão se aplicaNão se aplicaFora ponta",Mercado_Receita!$L$2:$L$469)</f>
        <v>0</v>
      </c>
      <c r="T29" s="12">
        <f>SUMIF(Mercado_Receita!$S$2:$S$469,"44621B2BrancaRuralNão se aplicaNão se aplicaNão se aplicaFora ponta",Mercado_Receita!$L$2:$L$469)</f>
        <v>0</v>
      </c>
      <c r="U29" s="12">
        <f t="shared" si="0"/>
        <v>0</v>
      </c>
      <c r="V29" s="12"/>
      <c r="W29" s="12"/>
    </row>
    <row r="30" spans="1:23" ht="11.25" customHeight="1" x14ac:dyDescent="0.25">
      <c r="A30" s="116"/>
      <c r="B30" s="13" t="s">
        <v>23</v>
      </c>
      <c r="C30" s="13" t="s">
        <v>44</v>
      </c>
      <c r="D30" s="13" t="s">
        <v>25</v>
      </c>
      <c r="E30" s="13" t="s">
        <v>25</v>
      </c>
      <c r="F30" s="13" t="s">
        <v>25</v>
      </c>
      <c r="G30" s="12" t="s">
        <v>75</v>
      </c>
      <c r="H30" s="12" t="s">
        <v>71</v>
      </c>
      <c r="I30" s="12">
        <f>SUMIF(Mercado_Receita!$S$2:$S$469,"44287B2ConvencionalRuralNão se aplicaNão se aplicaNão se aplicaPonta",Mercado_Receita!$L$2:$L$469)+SUMIF(Mercado_Receita!$S$2:$S$469,"44287B2ConvencionalRuralNão se aplicaNão se aplicaNão se aplicaFora ponta",Mercado_Receita!$L$2:$L$469)+SUMIF(Mercado_Receita!$S$2:$S$469,"44287B2ConvencionalRuralNão se aplicaNão se aplicaNão se aplicaIntermediário",Mercado_Receita!$L$2:$L$469)+SUMIF(Mercado_Receita!$S$2:$S$469,"44287B2ConvencionalRuralNão se aplicaNão se aplicaNão se aplicaNão se aplica",Mercado_Receita!$L$2:$L$469)</f>
        <v>350.065</v>
      </c>
      <c r="J30" s="12">
        <f>SUMIF(Mercado_Receita!$S$2:$S$469,"44317B2ConvencionalRuralNão se aplicaNão se aplicaNão se aplicaPonta",Mercado_Receita!$L$2:$L$469)+SUMIF(Mercado_Receita!$S$2:$S$469,"44317B2ConvencionalRuralNão se aplicaNão se aplicaNão se aplicaFora ponta",Mercado_Receita!$L$2:$L$469)+SUMIF(Mercado_Receita!$S$2:$S$469,"44317B2ConvencionalRuralNão se aplicaNão se aplicaNão se aplicaIntermediário",Mercado_Receita!$L$2:$L$469)+SUMIF(Mercado_Receita!$S$2:$S$469,"44317B2ConvencionalRuralNão se aplicaNão se aplicaNão se aplicaNão se aplica",Mercado_Receita!$L$2:$L$469)</f>
        <v>283.28200000000004</v>
      </c>
      <c r="K30" s="12">
        <f>SUMIF(Mercado_Receita!$S$2:$S$469,"44348B2ConvencionalRuralNão se aplicaNão se aplicaNão se aplicaPonta",Mercado_Receita!$L$2:$L$469)+SUMIF(Mercado_Receita!$S$2:$S$469,"44348B2ConvencionalRuralNão se aplicaNão se aplicaNão se aplicaFora ponta",Mercado_Receita!$L$2:$L$469)+SUMIF(Mercado_Receita!$S$2:$S$469,"44348B2ConvencionalRuralNão se aplicaNão se aplicaNão se aplicaIntermediário",Mercado_Receita!$L$2:$L$469)+SUMIF(Mercado_Receita!$S$2:$S$469,"44348B2ConvencionalRuralNão se aplicaNão se aplicaNão se aplicaNão se aplica",Mercado_Receita!$L$2:$L$469)</f>
        <v>274.66800000000001</v>
      </c>
      <c r="L30" s="12">
        <f>SUMIF(Mercado_Receita!$S$2:$S$469,"44378B2ConvencionalRuralNão se aplicaNão se aplicaNão se aplicaPonta",Mercado_Receita!$L$2:$L$469)+SUMIF(Mercado_Receita!$S$2:$S$469,"44378B2ConvencionalRuralNão se aplicaNão se aplicaNão se aplicaFora ponta",Mercado_Receita!$L$2:$L$469)+SUMIF(Mercado_Receita!$S$2:$S$469,"44378B2ConvencionalRuralNão se aplicaNão se aplicaNão se aplicaIntermediário",Mercado_Receita!$L$2:$L$469)+SUMIF(Mercado_Receita!$S$2:$S$469,"44378B2ConvencionalRuralNão se aplicaNão se aplicaNão se aplicaNão se aplica",Mercado_Receita!$L$2:$L$469)</f>
        <v>263.56799999999998</v>
      </c>
      <c r="M30" s="12">
        <f>SUMIF(Mercado_Receita!$S$2:$S$469,"44409B2ConvencionalRuralNão se aplicaNão se aplicaNão se aplicaPonta",Mercado_Receita!$L$2:$L$469)+SUMIF(Mercado_Receita!$S$2:$S$469,"44409B2ConvencionalRuralNão se aplicaNão se aplicaNão se aplicaFora ponta",Mercado_Receita!$L$2:$L$469)+SUMIF(Mercado_Receita!$S$2:$S$469,"44409B2ConvencionalRuralNão se aplicaNão se aplicaNão se aplicaIntermediário",Mercado_Receita!$L$2:$L$469)+SUMIF(Mercado_Receita!$S$2:$S$469,"44409B2ConvencionalRuralNão se aplicaNão se aplicaNão se aplicaNão se aplica",Mercado_Receita!$L$2:$L$469)</f>
        <v>252.08099999999999</v>
      </c>
      <c r="N30" s="12">
        <f>SUMIF(Mercado_Receita!$S$2:$S$469,"44440B2ConvencionalRuralNão se aplicaNão se aplicaNão se aplicaPonta",Mercado_Receita!$L$2:$L$469)+SUMIF(Mercado_Receita!$S$2:$S$469,"44440B2ConvencionalRuralNão se aplicaNão se aplicaNão se aplicaFora ponta",Mercado_Receita!$L$2:$L$469)+SUMIF(Mercado_Receita!$S$2:$S$469,"44440B2ConvencionalRuralNão se aplicaNão se aplicaNão se aplicaIntermediário",Mercado_Receita!$L$2:$L$469)+SUMIF(Mercado_Receita!$S$2:$S$469,"44440B2ConvencionalRuralNão se aplicaNão se aplicaNão se aplicaNão se aplica",Mercado_Receita!$L$2:$L$469)</f>
        <v>279.64100000000002</v>
      </c>
      <c r="O30" s="12">
        <f>SUMIF(Mercado_Receita!$S$2:$S$469,"44470B2ConvencionalRuralNão se aplicaNão se aplicaNão se aplicaPonta",Mercado_Receita!$L$2:$L$469)+SUMIF(Mercado_Receita!$S$2:$S$469,"44470B2ConvencionalRuralNão se aplicaNão se aplicaNão se aplicaFora ponta",Mercado_Receita!$L$2:$L$469)+SUMIF(Mercado_Receita!$S$2:$S$469,"44470B2ConvencionalRuralNão se aplicaNão se aplicaNão se aplicaIntermediário",Mercado_Receita!$L$2:$L$469)+SUMIF(Mercado_Receita!$S$2:$S$469,"44470B2ConvencionalRuralNão se aplicaNão se aplicaNão se aplicaNão se aplica",Mercado_Receita!$L$2:$L$469)</f>
        <v>268.90499999999997</v>
      </c>
      <c r="P30" s="12">
        <f>SUMIF(Mercado_Receita!$S$2:$S$469,"44501B2ConvencionalRuralNão se aplicaNão se aplicaNão se aplicaPonta",Mercado_Receita!$L$2:$L$469)+SUMIF(Mercado_Receita!$S$2:$S$469,"44501B2ConvencionalRuralNão se aplicaNão se aplicaNão se aplicaFora ponta",Mercado_Receita!$L$2:$L$469)+SUMIF(Mercado_Receita!$S$2:$S$469,"44501B2ConvencionalRuralNão se aplicaNão se aplicaNão se aplicaIntermediário",Mercado_Receita!$L$2:$L$469)+SUMIF(Mercado_Receita!$S$2:$S$469,"44501B2ConvencionalRuralNão se aplicaNão se aplicaNão se aplicaNão se aplica",Mercado_Receita!$L$2:$L$469)</f>
        <v>258.03300000000002</v>
      </c>
      <c r="Q30" s="12">
        <f>SUMIF(Mercado_Receita!$S$2:$S$469,"44531B2ConvencionalRuralNão se aplicaNão se aplicaNão se aplicaPonta",Mercado_Receita!$L$2:$L$469)+SUMIF(Mercado_Receita!$S$2:$S$469,"44531B2ConvencionalRuralNão se aplicaNão se aplicaNão se aplicaFora ponta",Mercado_Receita!$L$2:$L$469)+SUMIF(Mercado_Receita!$S$2:$S$469,"44531B2ConvencionalRuralNão se aplicaNão se aplicaNão se aplicaIntermediário",Mercado_Receita!$L$2:$L$469)+SUMIF(Mercado_Receita!$S$2:$S$469,"44531B2ConvencionalRuralNão se aplicaNão se aplicaNão se aplicaNão se aplica",Mercado_Receita!$L$2:$L$469)</f>
        <v>255.23299999999998</v>
      </c>
      <c r="R30" s="12">
        <f>SUMIF(Mercado_Receita!$S$2:$S$469,"44562B2ConvencionalRuralNão se aplicaNão se aplicaNão se aplicaPonta",Mercado_Receita!$L$2:$L$469)+SUMIF(Mercado_Receita!$S$2:$S$469,"44562B2ConvencionalRuralNão se aplicaNão se aplicaNão se aplicaFora ponta",Mercado_Receita!$L$2:$L$469)+SUMIF(Mercado_Receita!$S$2:$S$469,"44562B2ConvencionalRuralNão se aplicaNão se aplicaNão se aplicaIntermediário",Mercado_Receita!$L$2:$L$469)+SUMIF(Mercado_Receita!$S$2:$S$469,"44562B2ConvencionalRuralNão se aplicaNão se aplicaNão se aplicaNão se aplica",Mercado_Receita!$L$2:$L$469)</f>
        <v>282.613</v>
      </c>
      <c r="S30" s="12">
        <f>SUMIF(Mercado_Receita!$S$2:$S$469,"44593B2ConvencionalRuralNão se aplicaNão se aplicaNão se aplicaPonta",Mercado_Receita!$L$2:$L$469)+SUMIF(Mercado_Receita!$S$2:$S$469,"44593B2ConvencionalRuralNão se aplicaNão se aplicaNão se aplicaFora ponta",Mercado_Receita!$L$2:$L$469)+SUMIF(Mercado_Receita!$S$2:$S$469,"44593B2ConvencionalRuralNão se aplicaNão se aplicaNão se aplicaIntermediário",Mercado_Receita!$L$2:$L$469)+SUMIF(Mercado_Receita!$S$2:$S$469,"44593B2ConvencionalRuralNão se aplicaNão se aplicaNão se aplicaNão se aplica",Mercado_Receita!$L$2:$L$469)</f>
        <v>275.13</v>
      </c>
      <c r="T30" s="12">
        <f>SUMIF(Mercado_Receita!$S$2:$S$469,"44621B2ConvencionalRuralNão se aplicaNão se aplicaNão se aplicaPonta",Mercado_Receita!$L$2:$L$469)+SUMIF(Mercado_Receita!$S$2:$S$469,"44621B2ConvencionalRuralNão se aplicaNão se aplicaNão se aplicaFora ponta",Mercado_Receita!$L$2:$L$469)+SUMIF(Mercado_Receita!$S$2:$S$469,"44621B2ConvencionalRuralNão se aplicaNão se aplicaNão se aplicaIntermediário",Mercado_Receita!$L$2:$L$469)+SUMIF(Mercado_Receita!$S$2:$S$469,"44621B2ConvencionalRuralNão se aplicaNão se aplicaNão se aplicaNão se aplica",Mercado_Receita!$L$2:$L$469)</f>
        <v>270.18599999999998</v>
      </c>
      <c r="U30" s="12">
        <f t="shared" si="0"/>
        <v>3313.4050000000002</v>
      </c>
      <c r="V30" s="12"/>
      <c r="W30" s="12"/>
    </row>
    <row r="31" spans="1:23" ht="11.25" customHeight="1" x14ac:dyDescent="0.25">
      <c r="A31" s="116"/>
      <c r="B31" s="115" t="s">
        <v>37</v>
      </c>
      <c r="C31" s="115" t="s">
        <v>44</v>
      </c>
      <c r="D31" s="115" t="s">
        <v>87</v>
      </c>
      <c r="E31" s="115" t="s">
        <v>25</v>
      </c>
      <c r="F31" s="115" t="s">
        <v>25</v>
      </c>
      <c r="G31" s="12" t="s">
        <v>72</v>
      </c>
      <c r="H31" s="12" t="s">
        <v>71</v>
      </c>
      <c r="I31" s="12">
        <f>SUMIF(Mercado_Receita!$S$2:$S$469,"44287B2BrancaRuralCooperativa de eletrificação ruralNão se aplicaNão se aplicaPonta",Mercado_Receita!$L$2:$L$469)</f>
        <v>0</v>
      </c>
      <c r="J31" s="12">
        <f>SUMIF(Mercado_Receita!$S$2:$S$469,"44317B2BrancaRuralCooperativa de eletrificação ruralNão se aplicaNão se aplicaPonta",Mercado_Receita!$L$2:$L$469)</f>
        <v>0</v>
      </c>
      <c r="K31" s="12">
        <f>SUMIF(Mercado_Receita!$S$2:$S$469,"44348B2BrancaRuralCooperativa de eletrificação ruralNão se aplicaNão se aplicaPonta",Mercado_Receita!$L$2:$L$469)</f>
        <v>0</v>
      </c>
      <c r="L31" s="12">
        <f>SUMIF(Mercado_Receita!$S$2:$S$469,"44378B2BrancaRuralCooperativa de eletrificação ruralNão se aplicaNão se aplicaPonta",Mercado_Receita!$L$2:$L$469)</f>
        <v>0</v>
      </c>
      <c r="M31" s="12">
        <f>SUMIF(Mercado_Receita!$S$2:$S$469,"44409B2BrancaRuralCooperativa de eletrificação ruralNão se aplicaNão se aplicaPonta",Mercado_Receita!$L$2:$L$469)</f>
        <v>0</v>
      </c>
      <c r="N31" s="12">
        <f>SUMIF(Mercado_Receita!$S$2:$S$469,"44440B2BrancaRuralCooperativa de eletrificação ruralNão se aplicaNão se aplicaPonta",Mercado_Receita!$L$2:$L$469)</f>
        <v>0</v>
      </c>
      <c r="O31" s="12">
        <f>SUMIF(Mercado_Receita!$S$2:$S$469,"44470B2BrancaRuralCooperativa de eletrificação ruralNão se aplicaNão se aplicaPonta",Mercado_Receita!$L$2:$L$469)</f>
        <v>0</v>
      </c>
      <c r="P31" s="12">
        <f>SUMIF(Mercado_Receita!$S$2:$S$469,"44501B2BrancaRuralCooperativa de eletrificação ruralNão se aplicaNão se aplicaPonta",Mercado_Receita!$L$2:$L$469)</f>
        <v>0</v>
      </c>
      <c r="Q31" s="12">
        <f>SUMIF(Mercado_Receita!$S$2:$S$469,"44531B2BrancaRuralCooperativa de eletrificação ruralNão se aplicaNão se aplicaPonta",Mercado_Receita!$L$2:$L$469)</f>
        <v>0</v>
      </c>
      <c r="R31" s="12">
        <f>SUMIF(Mercado_Receita!$S$2:$S$469,"44562B2BrancaRuralCooperativa de eletrificação ruralNão se aplicaNão se aplicaPonta",Mercado_Receita!$L$2:$L$469)</f>
        <v>0</v>
      </c>
      <c r="S31" s="12">
        <f>SUMIF(Mercado_Receita!$S$2:$S$469,"44593B2BrancaRuralCooperativa de eletrificação ruralNão se aplicaNão se aplicaPonta",Mercado_Receita!$L$2:$L$469)</f>
        <v>0</v>
      </c>
      <c r="T31" s="12">
        <f>SUMIF(Mercado_Receita!$S$2:$S$469,"44621B2BrancaRuralCooperativa de eletrificação ruralNão se aplicaNão se aplicaPonta",Mercado_Receita!$L$2:$L$469)</f>
        <v>0</v>
      </c>
      <c r="U31" s="12">
        <f t="shared" si="0"/>
        <v>0</v>
      </c>
      <c r="V31" s="12"/>
      <c r="W31" s="12"/>
    </row>
    <row r="32" spans="1:23" ht="11.25" customHeight="1" x14ac:dyDescent="0.25">
      <c r="A32" s="116"/>
      <c r="B32" s="116"/>
      <c r="C32" s="116"/>
      <c r="D32" s="116"/>
      <c r="E32" s="116"/>
      <c r="F32" s="116"/>
      <c r="G32" s="12" t="s">
        <v>84</v>
      </c>
      <c r="H32" s="12" t="s">
        <v>71</v>
      </c>
      <c r="I32" s="12">
        <f>SUMIF(Mercado_Receita!$S$2:$S$469,"44287B2BrancaRuralCooperativa de eletrificação ruralNão se aplicaNão se aplicaIntermediário",Mercado_Receita!$L$2:$L$469)</f>
        <v>0</v>
      </c>
      <c r="J32" s="12">
        <f>SUMIF(Mercado_Receita!$S$2:$S$469,"44317B2BrancaRuralCooperativa de eletrificação ruralNão se aplicaNão se aplicaIntermediário",Mercado_Receita!$L$2:$L$469)</f>
        <v>0</v>
      </c>
      <c r="K32" s="12">
        <f>SUMIF(Mercado_Receita!$S$2:$S$469,"44348B2BrancaRuralCooperativa de eletrificação ruralNão se aplicaNão se aplicaIntermediário",Mercado_Receita!$L$2:$L$469)</f>
        <v>0</v>
      </c>
      <c r="L32" s="12">
        <f>SUMIF(Mercado_Receita!$S$2:$S$469,"44378B2BrancaRuralCooperativa de eletrificação ruralNão se aplicaNão se aplicaIntermediário",Mercado_Receita!$L$2:$L$469)</f>
        <v>0</v>
      </c>
      <c r="M32" s="12">
        <f>SUMIF(Mercado_Receita!$S$2:$S$469,"44409B2BrancaRuralCooperativa de eletrificação ruralNão se aplicaNão se aplicaIntermediário",Mercado_Receita!$L$2:$L$469)</f>
        <v>0</v>
      </c>
      <c r="N32" s="12">
        <f>SUMIF(Mercado_Receita!$S$2:$S$469,"44440B2BrancaRuralCooperativa de eletrificação ruralNão se aplicaNão se aplicaIntermediário",Mercado_Receita!$L$2:$L$469)</f>
        <v>0</v>
      </c>
      <c r="O32" s="12">
        <f>SUMIF(Mercado_Receita!$S$2:$S$469,"44470B2BrancaRuralCooperativa de eletrificação ruralNão se aplicaNão se aplicaIntermediário",Mercado_Receita!$L$2:$L$469)</f>
        <v>0</v>
      </c>
      <c r="P32" s="12">
        <f>SUMIF(Mercado_Receita!$S$2:$S$469,"44501B2BrancaRuralCooperativa de eletrificação ruralNão se aplicaNão se aplicaIntermediário",Mercado_Receita!$L$2:$L$469)</f>
        <v>0</v>
      </c>
      <c r="Q32" s="12">
        <f>SUMIF(Mercado_Receita!$S$2:$S$469,"44531B2BrancaRuralCooperativa de eletrificação ruralNão se aplicaNão se aplicaIntermediário",Mercado_Receita!$L$2:$L$469)</f>
        <v>0</v>
      </c>
      <c r="R32" s="12">
        <f>SUMIF(Mercado_Receita!$S$2:$S$469,"44562B2BrancaRuralCooperativa de eletrificação ruralNão se aplicaNão se aplicaIntermediário",Mercado_Receita!$L$2:$L$469)</f>
        <v>0</v>
      </c>
      <c r="S32" s="12">
        <f>SUMIF(Mercado_Receita!$S$2:$S$469,"44593B2BrancaRuralCooperativa de eletrificação ruralNão se aplicaNão se aplicaIntermediário",Mercado_Receita!$L$2:$L$469)</f>
        <v>0</v>
      </c>
      <c r="T32" s="12">
        <f>SUMIF(Mercado_Receita!$S$2:$S$469,"44621B2BrancaRuralCooperativa de eletrificação ruralNão se aplicaNão se aplicaIntermediário",Mercado_Receita!$L$2:$L$469)</f>
        <v>0</v>
      </c>
      <c r="U32" s="12">
        <f t="shared" si="0"/>
        <v>0</v>
      </c>
      <c r="V32" s="12"/>
      <c r="W32" s="12"/>
    </row>
    <row r="33" spans="1:23" ht="11.25" customHeight="1" x14ac:dyDescent="0.25">
      <c r="A33" s="116"/>
      <c r="B33" s="116"/>
      <c r="C33" s="116"/>
      <c r="D33" s="116"/>
      <c r="E33" s="116"/>
      <c r="F33" s="116"/>
      <c r="G33" s="12" t="s">
        <v>73</v>
      </c>
      <c r="H33" s="12" t="s">
        <v>71</v>
      </c>
      <c r="I33" s="12">
        <f>SUMIF(Mercado_Receita!$S$2:$S$469,"44287B2BrancaRuralCooperativa de eletrificação ruralNão se aplicaNão se aplicaFora ponta",Mercado_Receita!$L$2:$L$469)</f>
        <v>0</v>
      </c>
      <c r="J33" s="12">
        <f>SUMIF(Mercado_Receita!$S$2:$S$469,"44317B2BrancaRuralCooperativa de eletrificação ruralNão se aplicaNão se aplicaFora ponta",Mercado_Receita!$L$2:$L$469)</f>
        <v>0</v>
      </c>
      <c r="K33" s="12">
        <f>SUMIF(Mercado_Receita!$S$2:$S$469,"44348B2BrancaRuralCooperativa de eletrificação ruralNão se aplicaNão se aplicaFora ponta",Mercado_Receita!$L$2:$L$469)</f>
        <v>0</v>
      </c>
      <c r="L33" s="12">
        <f>SUMIF(Mercado_Receita!$S$2:$S$469,"44378B2BrancaRuralCooperativa de eletrificação ruralNão se aplicaNão se aplicaFora ponta",Mercado_Receita!$L$2:$L$469)</f>
        <v>0</v>
      </c>
      <c r="M33" s="12">
        <f>SUMIF(Mercado_Receita!$S$2:$S$469,"44409B2BrancaRuralCooperativa de eletrificação ruralNão se aplicaNão se aplicaFora ponta",Mercado_Receita!$L$2:$L$469)</f>
        <v>0</v>
      </c>
      <c r="N33" s="12">
        <f>SUMIF(Mercado_Receita!$S$2:$S$469,"44440B2BrancaRuralCooperativa de eletrificação ruralNão se aplicaNão se aplicaFora ponta",Mercado_Receita!$L$2:$L$469)</f>
        <v>0</v>
      </c>
      <c r="O33" s="12">
        <f>SUMIF(Mercado_Receita!$S$2:$S$469,"44470B2BrancaRuralCooperativa de eletrificação ruralNão se aplicaNão se aplicaFora ponta",Mercado_Receita!$L$2:$L$469)</f>
        <v>0</v>
      </c>
      <c r="P33" s="12">
        <f>SUMIF(Mercado_Receita!$S$2:$S$469,"44501B2BrancaRuralCooperativa de eletrificação ruralNão se aplicaNão se aplicaFora ponta",Mercado_Receita!$L$2:$L$469)</f>
        <v>0</v>
      </c>
      <c r="Q33" s="12">
        <f>SUMIF(Mercado_Receita!$S$2:$S$469,"44531B2BrancaRuralCooperativa de eletrificação ruralNão se aplicaNão se aplicaFora ponta",Mercado_Receita!$L$2:$L$469)</f>
        <v>0</v>
      </c>
      <c r="R33" s="12">
        <f>SUMIF(Mercado_Receita!$S$2:$S$469,"44562B2BrancaRuralCooperativa de eletrificação ruralNão se aplicaNão se aplicaFora ponta",Mercado_Receita!$L$2:$L$469)</f>
        <v>0</v>
      </c>
      <c r="S33" s="12">
        <f>SUMIF(Mercado_Receita!$S$2:$S$469,"44593B2BrancaRuralCooperativa de eletrificação ruralNão se aplicaNão se aplicaFora ponta",Mercado_Receita!$L$2:$L$469)</f>
        <v>0</v>
      </c>
      <c r="T33" s="12">
        <f>SUMIF(Mercado_Receita!$S$2:$S$469,"44621B2BrancaRuralCooperativa de eletrificação ruralNão se aplicaNão se aplicaFora ponta",Mercado_Receita!$L$2:$L$469)</f>
        <v>0</v>
      </c>
      <c r="U33" s="12">
        <f t="shared" si="0"/>
        <v>0</v>
      </c>
      <c r="V33" s="12"/>
      <c r="W33" s="12"/>
    </row>
    <row r="34" spans="1:23" ht="11.25" customHeight="1" x14ac:dyDescent="0.25">
      <c r="A34" s="116"/>
      <c r="B34" s="13" t="s">
        <v>23</v>
      </c>
      <c r="C34" s="13" t="s">
        <v>44</v>
      </c>
      <c r="D34" s="13" t="s">
        <v>87</v>
      </c>
      <c r="E34" s="13" t="s">
        <v>25</v>
      </c>
      <c r="F34" s="13" t="s">
        <v>25</v>
      </c>
      <c r="G34" s="12" t="s">
        <v>75</v>
      </c>
      <c r="H34" s="12" t="s">
        <v>71</v>
      </c>
      <c r="I34" s="12">
        <f>SUMIF(Mercado_Receita!$S$2:$S$469,"44287B2ConvencionalRuralCooperativa de eletrificação ruralNão se aplicaNão se aplicaPonta",Mercado_Receita!$L$2:$L$469)+SUMIF(Mercado_Receita!$S$2:$S$469,"44287B2ConvencionalRuralCooperativa de eletrificação ruralNão se aplicaNão se aplicaFora ponta",Mercado_Receita!$L$2:$L$469)+SUMIF(Mercado_Receita!$S$2:$S$469,"44287B2ConvencionalRuralCooperativa de eletrificação ruralNão se aplicaNão se aplicaIntermediário",Mercado_Receita!$L$2:$L$469)+SUMIF(Mercado_Receita!$S$2:$S$469,"44287B2ConvencionalRuralCooperativa de eletrificação ruralNão se aplicaNão se aplicaNão se aplica",Mercado_Receita!$L$2:$L$469)</f>
        <v>0</v>
      </c>
      <c r="J34" s="12">
        <f>SUMIF(Mercado_Receita!$S$2:$S$469,"44317B2ConvencionalRuralCooperativa de eletrificação ruralNão se aplicaNão se aplicaPonta",Mercado_Receita!$L$2:$L$469)+SUMIF(Mercado_Receita!$S$2:$S$469,"44317B2ConvencionalRuralCooperativa de eletrificação ruralNão se aplicaNão se aplicaFora ponta",Mercado_Receita!$L$2:$L$469)+SUMIF(Mercado_Receita!$S$2:$S$469,"44317B2ConvencionalRuralCooperativa de eletrificação ruralNão se aplicaNão se aplicaIntermediário",Mercado_Receita!$L$2:$L$469)+SUMIF(Mercado_Receita!$S$2:$S$469,"44317B2ConvencionalRuralCooperativa de eletrificação ruralNão se aplicaNão se aplicaNão se aplica",Mercado_Receita!$L$2:$L$469)</f>
        <v>0</v>
      </c>
      <c r="K34" s="12">
        <f>SUMIF(Mercado_Receita!$S$2:$S$469,"44348B2ConvencionalRuralCooperativa de eletrificação ruralNão se aplicaNão se aplicaPonta",Mercado_Receita!$L$2:$L$469)+SUMIF(Mercado_Receita!$S$2:$S$469,"44348B2ConvencionalRuralCooperativa de eletrificação ruralNão se aplicaNão se aplicaFora ponta",Mercado_Receita!$L$2:$L$469)+SUMIF(Mercado_Receita!$S$2:$S$469,"44348B2ConvencionalRuralCooperativa de eletrificação ruralNão se aplicaNão se aplicaIntermediário",Mercado_Receita!$L$2:$L$469)+SUMIF(Mercado_Receita!$S$2:$S$469,"44348B2ConvencionalRuralCooperativa de eletrificação ruralNão se aplicaNão se aplicaNão se aplica",Mercado_Receita!$L$2:$L$469)</f>
        <v>0</v>
      </c>
      <c r="L34" s="12">
        <f>SUMIF(Mercado_Receita!$S$2:$S$469,"44378B2ConvencionalRuralCooperativa de eletrificação ruralNão se aplicaNão se aplicaPonta",Mercado_Receita!$L$2:$L$469)+SUMIF(Mercado_Receita!$S$2:$S$469,"44378B2ConvencionalRuralCooperativa de eletrificação ruralNão se aplicaNão se aplicaFora ponta",Mercado_Receita!$L$2:$L$469)+SUMIF(Mercado_Receita!$S$2:$S$469,"44378B2ConvencionalRuralCooperativa de eletrificação ruralNão se aplicaNão se aplicaIntermediário",Mercado_Receita!$L$2:$L$469)+SUMIF(Mercado_Receita!$S$2:$S$469,"44378B2ConvencionalRuralCooperativa de eletrificação ruralNão se aplicaNão se aplicaNão se aplica",Mercado_Receita!$L$2:$L$469)</f>
        <v>0</v>
      </c>
      <c r="M34" s="12">
        <f>SUMIF(Mercado_Receita!$S$2:$S$469,"44409B2ConvencionalRuralCooperativa de eletrificação ruralNão se aplicaNão se aplicaPonta",Mercado_Receita!$L$2:$L$469)+SUMIF(Mercado_Receita!$S$2:$S$469,"44409B2ConvencionalRuralCooperativa de eletrificação ruralNão se aplicaNão se aplicaFora ponta",Mercado_Receita!$L$2:$L$469)+SUMIF(Mercado_Receita!$S$2:$S$469,"44409B2ConvencionalRuralCooperativa de eletrificação ruralNão se aplicaNão se aplicaIntermediário",Mercado_Receita!$L$2:$L$469)+SUMIF(Mercado_Receita!$S$2:$S$469,"44409B2ConvencionalRuralCooperativa de eletrificação ruralNão se aplicaNão se aplicaNão se aplica",Mercado_Receita!$L$2:$L$469)</f>
        <v>0</v>
      </c>
      <c r="N34" s="12">
        <f>SUMIF(Mercado_Receita!$S$2:$S$469,"44440B2ConvencionalRuralCooperativa de eletrificação ruralNão se aplicaNão se aplicaPonta",Mercado_Receita!$L$2:$L$469)+SUMIF(Mercado_Receita!$S$2:$S$469,"44440B2ConvencionalRuralCooperativa de eletrificação ruralNão se aplicaNão se aplicaFora ponta",Mercado_Receita!$L$2:$L$469)+SUMIF(Mercado_Receita!$S$2:$S$469,"44440B2ConvencionalRuralCooperativa de eletrificação ruralNão se aplicaNão se aplicaIntermediário",Mercado_Receita!$L$2:$L$469)+SUMIF(Mercado_Receita!$S$2:$S$469,"44440B2ConvencionalRuralCooperativa de eletrificação ruralNão se aplicaNão se aplicaNão se aplica",Mercado_Receita!$L$2:$L$469)</f>
        <v>0</v>
      </c>
      <c r="O34" s="12">
        <f>SUMIF(Mercado_Receita!$S$2:$S$469,"44470B2ConvencionalRuralCooperativa de eletrificação ruralNão se aplicaNão se aplicaPonta",Mercado_Receita!$L$2:$L$469)+SUMIF(Mercado_Receita!$S$2:$S$469,"44470B2ConvencionalRuralCooperativa de eletrificação ruralNão se aplicaNão se aplicaFora ponta",Mercado_Receita!$L$2:$L$469)+SUMIF(Mercado_Receita!$S$2:$S$469,"44470B2ConvencionalRuralCooperativa de eletrificação ruralNão se aplicaNão se aplicaIntermediário",Mercado_Receita!$L$2:$L$469)+SUMIF(Mercado_Receita!$S$2:$S$469,"44470B2ConvencionalRuralCooperativa de eletrificação ruralNão se aplicaNão se aplicaNão se aplica",Mercado_Receita!$L$2:$L$469)</f>
        <v>0</v>
      </c>
      <c r="P34" s="12">
        <f>SUMIF(Mercado_Receita!$S$2:$S$469,"44501B2ConvencionalRuralCooperativa de eletrificação ruralNão se aplicaNão se aplicaPonta",Mercado_Receita!$L$2:$L$469)+SUMIF(Mercado_Receita!$S$2:$S$469,"44501B2ConvencionalRuralCooperativa de eletrificação ruralNão se aplicaNão se aplicaFora ponta",Mercado_Receita!$L$2:$L$469)+SUMIF(Mercado_Receita!$S$2:$S$469,"44501B2ConvencionalRuralCooperativa de eletrificação ruralNão se aplicaNão se aplicaIntermediário",Mercado_Receita!$L$2:$L$469)+SUMIF(Mercado_Receita!$S$2:$S$469,"44501B2ConvencionalRuralCooperativa de eletrificação ruralNão se aplicaNão se aplicaNão se aplica",Mercado_Receita!$L$2:$L$469)</f>
        <v>0</v>
      </c>
      <c r="Q34" s="12">
        <f>SUMIF(Mercado_Receita!$S$2:$S$469,"44531B2ConvencionalRuralCooperativa de eletrificação ruralNão se aplicaNão se aplicaPonta",Mercado_Receita!$L$2:$L$469)+SUMIF(Mercado_Receita!$S$2:$S$469,"44531B2ConvencionalRuralCooperativa de eletrificação ruralNão se aplicaNão se aplicaFora ponta",Mercado_Receita!$L$2:$L$469)+SUMIF(Mercado_Receita!$S$2:$S$469,"44531B2ConvencionalRuralCooperativa de eletrificação ruralNão se aplicaNão se aplicaIntermediário",Mercado_Receita!$L$2:$L$469)+SUMIF(Mercado_Receita!$S$2:$S$469,"44531B2ConvencionalRuralCooperativa de eletrificação ruralNão se aplicaNão se aplicaNão se aplica",Mercado_Receita!$L$2:$L$469)</f>
        <v>0</v>
      </c>
      <c r="R34" s="12">
        <f>SUMIF(Mercado_Receita!$S$2:$S$469,"44562B2ConvencionalRuralCooperativa de eletrificação ruralNão se aplicaNão se aplicaPonta",Mercado_Receita!$L$2:$L$469)+SUMIF(Mercado_Receita!$S$2:$S$469,"44562B2ConvencionalRuralCooperativa de eletrificação ruralNão se aplicaNão se aplicaFora ponta",Mercado_Receita!$L$2:$L$469)+SUMIF(Mercado_Receita!$S$2:$S$469,"44562B2ConvencionalRuralCooperativa de eletrificação ruralNão se aplicaNão se aplicaIntermediário",Mercado_Receita!$L$2:$L$469)+SUMIF(Mercado_Receita!$S$2:$S$469,"44562B2ConvencionalRuralCooperativa de eletrificação ruralNão se aplicaNão se aplicaNão se aplica",Mercado_Receita!$L$2:$L$469)</f>
        <v>0</v>
      </c>
      <c r="S34" s="12">
        <f>SUMIF(Mercado_Receita!$S$2:$S$469,"44593B2ConvencionalRuralCooperativa de eletrificação ruralNão se aplicaNão se aplicaPonta",Mercado_Receita!$L$2:$L$469)+SUMIF(Mercado_Receita!$S$2:$S$469,"44593B2ConvencionalRuralCooperativa de eletrificação ruralNão se aplicaNão se aplicaFora ponta",Mercado_Receita!$L$2:$L$469)+SUMIF(Mercado_Receita!$S$2:$S$469,"44593B2ConvencionalRuralCooperativa de eletrificação ruralNão se aplicaNão se aplicaIntermediário",Mercado_Receita!$L$2:$L$469)+SUMIF(Mercado_Receita!$S$2:$S$469,"44593B2ConvencionalRuralCooperativa de eletrificação ruralNão se aplicaNão se aplicaNão se aplica",Mercado_Receita!$L$2:$L$469)</f>
        <v>0</v>
      </c>
      <c r="T34" s="12">
        <f>SUMIF(Mercado_Receita!$S$2:$S$469,"44621B2ConvencionalRuralCooperativa de eletrificação ruralNão se aplicaNão se aplicaPonta",Mercado_Receita!$L$2:$L$469)+SUMIF(Mercado_Receita!$S$2:$S$469,"44621B2ConvencionalRuralCooperativa de eletrificação ruralNão se aplicaNão se aplicaFora ponta",Mercado_Receita!$L$2:$L$469)+SUMIF(Mercado_Receita!$S$2:$S$469,"44621B2ConvencionalRuralCooperativa de eletrificação ruralNão se aplicaNão se aplicaIntermediário",Mercado_Receita!$L$2:$L$469)+SUMIF(Mercado_Receita!$S$2:$S$469,"44621B2ConvencionalRuralCooperativa de eletrificação ruralNão se aplicaNão se aplicaNão se aplica",Mercado_Receita!$L$2:$L$469)</f>
        <v>0</v>
      </c>
      <c r="U34" s="12">
        <f t="shared" si="0"/>
        <v>0</v>
      </c>
      <c r="V34" s="12"/>
      <c r="W34" s="12"/>
    </row>
    <row r="35" spans="1:23" ht="11.25" customHeight="1" x14ac:dyDescent="0.25">
      <c r="A35" s="116"/>
      <c r="B35" s="115" t="s">
        <v>37</v>
      </c>
      <c r="C35" s="115" t="s">
        <v>44</v>
      </c>
      <c r="D35" s="115" t="s">
        <v>88</v>
      </c>
      <c r="E35" s="115" t="s">
        <v>25</v>
      </c>
      <c r="F35" s="115" t="s">
        <v>25</v>
      </c>
      <c r="G35" s="12" t="s">
        <v>72</v>
      </c>
      <c r="H35" s="12" t="s">
        <v>71</v>
      </c>
      <c r="I35" s="12">
        <f>SUMIF(Mercado_Receita!$S$2:$S$469,"44287B2BrancaRuralServiço público de irrigação ruralNão se aplicaNão se aplicaPonta",Mercado_Receita!$L$2:$L$469)</f>
        <v>0</v>
      </c>
      <c r="J35" s="12">
        <f>SUMIF(Mercado_Receita!$S$2:$S$469,"44317B2BrancaRuralServiço público de irrigação ruralNão se aplicaNão se aplicaPonta",Mercado_Receita!$L$2:$L$469)</f>
        <v>0</v>
      </c>
      <c r="K35" s="12">
        <f>SUMIF(Mercado_Receita!$S$2:$S$469,"44348B2BrancaRuralServiço público de irrigação ruralNão se aplicaNão se aplicaPonta",Mercado_Receita!$L$2:$L$469)</f>
        <v>0</v>
      </c>
      <c r="L35" s="12">
        <f>SUMIF(Mercado_Receita!$S$2:$S$469,"44378B2BrancaRuralServiço público de irrigação ruralNão se aplicaNão se aplicaPonta",Mercado_Receita!$L$2:$L$469)</f>
        <v>0</v>
      </c>
      <c r="M35" s="12">
        <f>SUMIF(Mercado_Receita!$S$2:$S$469,"44409B2BrancaRuralServiço público de irrigação ruralNão se aplicaNão se aplicaPonta",Mercado_Receita!$L$2:$L$469)</f>
        <v>0</v>
      </c>
      <c r="N35" s="12">
        <f>SUMIF(Mercado_Receita!$S$2:$S$469,"44440B2BrancaRuralServiço público de irrigação ruralNão se aplicaNão se aplicaPonta",Mercado_Receita!$L$2:$L$469)</f>
        <v>0</v>
      </c>
      <c r="O35" s="12">
        <f>SUMIF(Mercado_Receita!$S$2:$S$469,"44470B2BrancaRuralServiço público de irrigação ruralNão se aplicaNão se aplicaPonta",Mercado_Receita!$L$2:$L$469)</f>
        <v>0</v>
      </c>
      <c r="P35" s="12">
        <f>SUMIF(Mercado_Receita!$S$2:$S$469,"44501B2BrancaRuralServiço público de irrigação ruralNão se aplicaNão se aplicaPonta",Mercado_Receita!$L$2:$L$469)</f>
        <v>0</v>
      </c>
      <c r="Q35" s="12">
        <f>SUMIF(Mercado_Receita!$S$2:$S$469,"44531B2BrancaRuralServiço público de irrigação ruralNão se aplicaNão se aplicaPonta",Mercado_Receita!$L$2:$L$469)</f>
        <v>0</v>
      </c>
      <c r="R35" s="12">
        <f>SUMIF(Mercado_Receita!$S$2:$S$469,"44562B2BrancaRuralServiço público de irrigação ruralNão se aplicaNão se aplicaPonta",Mercado_Receita!$L$2:$L$469)</f>
        <v>0</v>
      </c>
      <c r="S35" s="12">
        <f>SUMIF(Mercado_Receita!$S$2:$S$469,"44593B2BrancaRuralServiço público de irrigação ruralNão se aplicaNão se aplicaPonta",Mercado_Receita!$L$2:$L$469)</f>
        <v>0</v>
      </c>
      <c r="T35" s="12">
        <f>SUMIF(Mercado_Receita!$S$2:$S$469,"44621B2BrancaRuralServiço público de irrigação ruralNão se aplicaNão se aplicaPonta",Mercado_Receita!$L$2:$L$469)</f>
        <v>0</v>
      </c>
      <c r="U35" s="12">
        <f t="shared" si="0"/>
        <v>0</v>
      </c>
      <c r="V35" s="12"/>
      <c r="W35" s="12"/>
    </row>
    <row r="36" spans="1:23" ht="11.25" customHeight="1" x14ac:dyDescent="0.25">
      <c r="A36" s="116"/>
      <c r="B36" s="116"/>
      <c r="C36" s="116"/>
      <c r="D36" s="116"/>
      <c r="E36" s="116"/>
      <c r="F36" s="116"/>
      <c r="G36" s="12" t="s">
        <v>84</v>
      </c>
      <c r="H36" s="12" t="s">
        <v>71</v>
      </c>
      <c r="I36" s="12">
        <f>SUMIF(Mercado_Receita!$S$2:$S$469,"44287B2BrancaRuralServiço público de irrigação ruralNão se aplicaNão se aplicaIntermediário",Mercado_Receita!$L$2:$L$469)</f>
        <v>0</v>
      </c>
      <c r="J36" s="12">
        <f>SUMIF(Mercado_Receita!$S$2:$S$469,"44317B2BrancaRuralServiço público de irrigação ruralNão se aplicaNão se aplicaIntermediário",Mercado_Receita!$L$2:$L$469)</f>
        <v>0</v>
      </c>
      <c r="K36" s="12">
        <f>SUMIF(Mercado_Receita!$S$2:$S$469,"44348B2BrancaRuralServiço público de irrigação ruralNão se aplicaNão se aplicaIntermediário",Mercado_Receita!$L$2:$L$469)</f>
        <v>0</v>
      </c>
      <c r="L36" s="12">
        <f>SUMIF(Mercado_Receita!$S$2:$S$469,"44378B2BrancaRuralServiço público de irrigação ruralNão se aplicaNão se aplicaIntermediário",Mercado_Receita!$L$2:$L$469)</f>
        <v>0</v>
      </c>
      <c r="M36" s="12">
        <f>SUMIF(Mercado_Receita!$S$2:$S$469,"44409B2BrancaRuralServiço público de irrigação ruralNão se aplicaNão se aplicaIntermediário",Mercado_Receita!$L$2:$L$469)</f>
        <v>0</v>
      </c>
      <c r="N36" s="12">
        <f>SUMIF(Mercado_Receita!$S$2:$S$469,"44440B2BrancaRuralServiço público de irrigação ruralNão se aplicaNão se aplicaIntermediário",Mercado_Receita!$L$2:$L$469)</f>
        <v>0</v>
      </c>
      <c r="O36" s="12">
        <f>SUMIF(Mercado_Receita!$S$2:$S$469,"44470B2BrancaRuralServiço público de irrigação ruralNão se aplicaNão se aplicaIntermediário",Mercado_Receita!$L$2:$L$469)</f>
        <v>0</v>
      </c>
      <c r="P36" s="12">
        <f>SUMIF(Mercado_Receita!$S$2:$S$469,"44501B2BrancaRuralServiço público de irrigação ruralNão se aplicaNão se aplicaIntermediário",Mercado_Receita!$L$2:$L$469)</f>
        <v>0</v>
      </c>
      <c r="Q36" s="12">
        <f>SUMIF(Mercado_Receita!$S$2:$S$469,"44531B2BrancaRuralServiço público de irrigação ruralNão se aplicaNão se aplicaIntermediário",Mercado_Receita!$L$2:$L$469)</f>
        <v>0</v>
      </c>
      <c r="R36" s="12">
        <f>SUMIF(Mercado_Receita!$S$2:$S$469,"44562B2BrancaRuralServiço público de irrigação ruralNão se aplicaNão se aplicaIntermediário",Mercado_Receita!$L$2:$L$469)</f>
        <v>0</v>
      </c>
      <c r="S36" s="12">
        <f>SUMIF(Mercado_Receita!$S$2:$S$469,"44593B2BrancaRuralServiço público de irrigação ruralNão se aplicaNão se aplicaIntermediário",Mercado_Receita!$L$2:$L$469)</f>
        <v>0</v>
      </c>
      <c r="T36" s="12">
        <f>SUMIF(Mercado_Receita!$S$2:$S$469,"44621B2BrancaRuralServiço público de irrigação ruralNão se aplicaNão se aplicaIntermediário",Mercado_Receita!$L$2:$L$469)</f>
        <v>0</v>
      </c>
      <c r="U36" s="12">
        <f t="shared" si="0"/>
        <v>0</v>
      </c>
      <c r="V36" s="12"/>
      <c r="W36" s="12"/>
    </row>
    <row r="37" spans="1:23" ht="11.25" customHeight="1" x14ac:dyDescent="0.25">
      <c r="A37" s="116"/>
      <c r="B37" s="116"/>
      <c r="C37" s="116"/>
      <c r="D37" s="116"/>
      <c r="E37" s="116"/>
      <c r="F37" s="116"/>
      <c r="G37" s="12" t="s">
        <v>73</v>
      </c>
      <c r="H37" s="12" t="s">
        <v>71</v>
      </c>
      <c r="I37" s="12">
        <f>SUMIF(Mercado_Receita!$S$2:$S$469,"44287B2BrancaRuralServiço público de irrigação ruralNão se aplicaNão se aplicaFora ponta",Mercado_Receita!$L$2:$L$469)</f>
        <v>0</v>
      </c>
      <c r="J37" s="12">
        <f>SUMIF(Mercado_Receita!$S$2:$S$469,"44317B2BrancaRuralServiço público de irrigação ruralNão se aplicaNão se aplicaFora ponta",Mercado_Receita!$L$2:$L$469)</f>
        <v>0</v>
      </c>
      <c r="K37" s="12">
        <f>SUMIF(Mercado_Receita!$S$2:$S$469,"44348B2BrancaRuralServiço público de irrigação ruralNão se aplicaNão se aplicaFora ponta",Mercado_Receita!$L$2:$L$469)</f>
        <v>0</v>
      </c>
      <c r="L37" s="12">
        <f>SUMIF(Mercado_Receita!$S$2:$S$469,"44378B2BrancaRuralServiço público de irrigação ruralNão se aplicaNão se aplicaFora ponta",Mercado_Receita!$L$2:$L$469)</f>
        <v>0</v>
      </c>
      <c r="M37" s="12">
        <f>SUMIF(Mercado_Receita!$S$2:$S$469,"44409B2BrancaRuralServiço público de irrigação ruralNão se aplicaNão se aplicaFora ponta",Mercado_Receita!$L$2:$L$469)</f>
        <v>0</v>
      </c>
      <c r="N37" s="12">
        <f>SUMIF(Mercado_Receita!$S$2:$S$469,"44440B2BrancaRuralServiço público de irrigação ruralNão se aplicaNão se aplicaFora ponta",Mercado_Receita!$L$2:$L$469)</f>
        <v>0</v>
      </c>
      <c r="O37" s="12">
        <f>SUMIF(Mercado_Receita!$S$2:$S$469,"44470B2BrancaRuralServiço público de irrigação ruralNão se aplicaNão se aplicaFora ponta",Mercado_Receita!$L$2:$L$469)</f>
        <v>0</v>
      </c>
      <c r="P37" s="12">
        <f>SUMIF(Mercado_Receita!$S$2:$S$469,"44501B2BrancaRuralServiço público de irrigação ruralNão se aplicaNão se aplicaFora ponta",Mercado_Receita!$L$2:$L$469)</f>
        <v>0</v>
      </c>
      <c r="Q37" s="12">
        <f>SUMIF(Mercado_Receita!$S$2:$S$469,"44531B2BrancaRuralServiço público de irrigação ruralNão se aplicaNão se aplicaFora ponta",Mercado_Receita!$L$2:$L$469)</f>
        <v>0</v>
      </c>
      <c r="R37" s="12">
        <f>SUMIF(Mercado_Receita!$S$2:$S$469,"44562B2BrancaRuralServiço público de irrigação ruralNão se aplicaNão se aplicaFora ponta",Mercado_Receita!$L$2:$L$469)</f>
        <v>0</v>
      </c>
      <c r="S37" s="12">
        <f>SUMIF(Mercado_Receita!$S$2:$S$469,"44593B2BrancaRuralServiço público de irrigação ruralNão se aplicaNão se aplicaFora ponta",Mercado_Receita!$L$2:$L$469)</f>
        <v>0</v>
      </c>
      <c r="T37" s="12">
        <f>SUMIF(Mercado_Receita!$S$2:$S$469,"44621B2BrancaRuralServiço público de irrigação ruralNão se aplicaNão se aplicaFora ponta",Mercado_Receita!$L$2:$L$469)</f>
        <v>0</v>
      </c>
      <c r="U37" s="12">
        <f t="shared" si="0"/>
        <v>0</v>
      </c>
      <c r="V37" s="12"/>
      <c r="W37" s="12"/>
    </row>
    <row r="38" spans="1:23" ht="11.25" customHeight="1" x14ac:dyDescent="0.25">
      <c r="A38" s="116"/>
      <c r="B38" s="13" t="s">
        <v>23</v>
      </c>
      <c r="C38" s="13" t="s">
        <v>44</v>
      </c>
      <c r="D38" s="13" t="s">
        <v>88</v>
      </c>
      <c r="E38" s="13" t="s">
        <v>25</v>
      </c>
      <c r="F38" s="13" t="s">
        <v>25</v>
      </c>
      <c r="G38" s="12" t="s">
        <v>75</v>
      </c>
      <c r="H38" s="12" t="s">
        <v>71</v>
      </c>
      <c r="I38" s="12">
        <f>SUMIF(Mercado_Receita!$S$2:$S$469,"44287B2ConvencionalRuralServiço público de irrigação ruralNão se aplicaNão se aplicaPonta",Mercado_Receita!$L$2:$L$469)+SUMIF(Mercado_Receita!$S$2:$S$469,"44287B2ConvencionalRuralServiço público de irrigação ruralNão se aplicaNão se aplicaFora ponta",Mercado_Receita!$L$2:$L$469)+SUMIF(Mercado_Receita!$S$2:$S$469,"44287B2ConvencionalRuralServiço público de irrigação ruralNão se aplicaNão se aplicaIntermediário",Mercado_Receita!$L$2:$L$469)+SUMIF(Mercado_Receita!$S$2:$S$469,"44287B2ConvencionalRuralServiço público de irrigação ruralNão se aplicaNão se aplicaNão se aplica",Mercado_Receita!$L$2:$L$469)</f>
        <v>0</v>
      </c>
      <c r="J38" s="12">
        <f>SUMIF(Mercado_Receita!$S$2:$S$469,"44317B2ConvencionalRuralServiço público de irrigação ruralNão se aplicaNão se aplicaPonta",Mercado_Receita!$L$2:$L$469)+SUMIF(Mercado_Receita!$S$2:$S$469,"44317B2ConvencionalRuralServiço público de irrigação ruralNão se aplicaNão se aplicaFora ponta",Mercado_Receita!$L$2:$L$469)+SUMIF(Mercado_Receita!$S$2:$S$469,"44317B2ConvencionalRuralServiço público de irrigação ruralNão se aplicaNão se aplicaIntermediário",Mercado_Receita!$L$2:$L$469)+SUMIF(Mercado_Receita!$S$2:$S$469,"44317B2ConvencionalRuralServiço público de irrigação ruralNão se aplicaNão se aplicaNão se aplica",Mercado_Receita!$L$2:$L$469)</f>
        <v>0</v>
      </c>
      <c r="K38" s="12">
        <f>SUMIF(Mercado_Receita!$S$2:$S$469,"44348B2ConvencionalRuralServiço público de irrigação ruralNão se aplicaNão se aplicaPonta",Mercado_Receita!$L$2:$L$469)+SUMIF(Mercado_Receita!$S$2:$S$469,"44348B2ConvencionalRuralServiço público de irrigação ruralNão se aplicaNão se aplicaFora ponta",Mercado_Receita!$L$2:$L$469)+SUMIF(Mercado_Receita!$S$2:$S$469,"44348B2ConvencionalRuralServiço público de irrigação ruralNão se aplicaNão se aplicaIntermediário",Mercado_Receita!$L$2:$L$469)+SUMIF(Mercado_Receita!$S$2:$S$469,"44348B2ConvencionalRuralServiço público de irrigação ruralNão se aplicaNão se aplicaNão se aplica",Mercado_Receita!$L$2:$L$469)</f>
        <v>0</v>
      </c>
      <c r="L38" s="12">
        <f>SUMIF(Mercado_Receita!$S$2:$S$469,"44378B2ConvencionalRuralServiço público de irrigação ruralNão se aplicaNão se aplicaPonta",Mercado_Receita!$L$2:$L$469)+SUMIF(Mercado_Receita!$S$2:$S$469,"44378B2ConvencionalRuralServiço público de irrigação ruralNão se aplicaNão se aplicaFora ponta",Mercado_Receita!$L$2:$L$469)+SUMIF(Mercado_Receita!$S$2:$S$469,"44378B2ConvencionalRuralServiço público de irrigação ruralNão se aplicaNão se aplicaIntermediário",Mercado_Receita!$L$2:$L$469)+SUMIF(Mercado_Receita!$S$2:$S$469,"44378B2ConvencionalRuralServiço público de irrigação ruralNão se aplicaNão se aplicaNão se aplica",Mercado_Receita!$L$2:$L$469)</f>
        <v>0</v>
      </c>
      <c r="M38" s="12">
        <f>SUMIF(Mercado_Receita!$S$2:$S$469,"44409B2ConvencionalRuralServiço público de irrigação ruralNão se aplicaNão se aplicaPonta",Mercado_Receita!$L$2:$L$469)+SUMIF(Mercado_Receita!$S$2:$S$469,"44409B2ConvencionalRuralServiço público de irrigação ruralNão se aplicaNão se aplicaFora ponta",Mercado_Receita!$L$2:$L$469)+SUMIF(Mercado_Receita!$S$2:$S$469,"44409B2ConvencionalRuralServiço público de irrigação ruralNão se aplicaNão se aplicaIntermediário",Mercado_Receita!$L$2:$L$469)+SUMIF(Mercado_Receita!$S$2:$S$469,"44409B2ConvencionalRuralServiço público de irrigação ruralNão se aplicaNão se aplicaNão se aplica",Mercado_Receita!$L$2:$L$469)</f>
        <v>0</v>
      </c>
      <c r="N38" s="12">
        <f>SUMIF(Mercado_Receita!$S$2:$S$469,"44440B2ConvencionalRuralServiço público de irrigação ruralNão se aplicaNão se aplicaPonta",Mercado_Receita!$L$2:$L$469)+SUMIF(Mercado_Receita!$S$2:$S$469,"44440B2ConvencionalRuralServiço público de irrigação ruralNão se aplicaNão se aplicaFora ponta",Mercado_Receita!$L$2:$L$469)+SUMIF(Mercado_Receita!$S$2:$S$469,"44440B2ConvencionalRuralServiço público de irrigação ruralNão se aplicaNão se aplicaIntermediário",Mercado_Receita!$L$2:$L$469)+SUMIF(Mercado_Receita!$S$2:$S$469,"44440B2ConvencionalRuralServiço público de irrigação ruralNão se aplicaNão se aplicaNão se aplica",Mercado_Receita!$L$2:$L$469)</f>
        <v>0</v>
      </c>
      <c r="O38" s="12">
        <f>SUMIF(Mercado_Receita!$S$2:$S$469,"44470B2ConvencionalRuralServiço público de irrigação ruralNão se aplicaNão se aplicaPonta",Mercado_Receita!$L$2:$L$469)+SUMIF(Mercado_Receita!$S$2:$S$469,"44470B2ConvencionalRuralServiço público de irrigação ruralNão se aplicaNão se aplicaFora ponta",Mercado_Receita!$L$2:$L$469)+SUMIF(Mercado_Receita!$S$2:$S$469,"44470B2ConvencionalRuralServiço público de irrigação ruralNão se aplicaNão se aplicaIntermediário",Mercado_Receita!$L$2:$L$469)+SUMIF(Mercado_Receita!$S$2:$S$469,"44470B2ConvencionalRuralServiço público de irrigação ruralNão se aplicaNão se aplicaNão se aplica",Mercado_Receita!$L$2:$L$469)</f>
        <v>0</v>
      </c>
      <c r="P38" s="12">
        <f>SUMIF(Mercado_Receita!$S$2:$S$469,"44501B2ConvencionalRuralServiço público de irrigação ruralNão se aplicaNão se aplicaPonta",Mercado_Receita!$L$2:$L$469)+SUMIF(Mercado_Receita!$S$2:$S$469,"44501B2ConvencionalRuralServiço público de irrigação ruralNão se aplicaNão se aplicaFora ponta",Mercado_Receita!$L$2:$L$469)+SUMIF(Mercado_Receita!$S$2:$S$469,"44501B2ConvencionalRuralServiço público de irrigação ruralNão se aplicaNão se aplicaIntermediário",Mercado_Receita!$L$2:$L$469)+SUMIF(Mercado_Receita!$S$2:$S$469,"44501B2ConvencionalRuralServiço público de irrigação ruralNão se aplicaNão se aplicaNão se aplica",Mercado_Receita!$L$2:$L$469)</f>
        <v>0</v>
      </c>
      <c r="Q38" s="12">
        <f>SUMIF(Mercado_Receita!$S$2:$S$469,"44531B2ConvencionalRuralServiço público de irrigação ruralNão se aplicaNão se aplicaPonta",Mercado_Receita!$L$2:$L$469)+SUMIF(Mercado_Receita!$S$2:$S$469,"44531B2ConvencionalRuralServiço público de irrigação ruralNão se aplicaNão se aplicaFora ponta",Mercado_Receita!$L$2:$L$469)+SUMIF(Mercado_Receita!$S$2:$S$469,"44531B2ConvencionalRuralServiço público de irrigação ruralNão se aplicaNão se aplicaIntermediário",Mercado_Receita!$L$2:$L$469)+SUMIF(Mercado_Receita!$S$2:$S$469,"44531B2ConvencionalRuralServiço público de irrigação ruralNão se aplicaNão se aplicaNão se aplica",Mercado_Receita!$L$2:$L$469)</f>
        <v>0</v>
      </c>
      <c r="R38" s="12">
        <f>SUMIF(Mercado_Receita!$S$2:$S$469,"44562B2ConvencionalRuralServiço público de irrigação ruralNão se aplicaNão se aplicaPonta",Mercado_Receita!$L$2:$L$469)+SUMIF(Mercado_Receita!$S$2:$S$469,"44562B2ConvencionalRuralServiço público de irrigação ruralNão se aplicaNão se aplicaFora ponta",Mercado_Receita!$L$2:$L$469)+SUMIF(Mercado_Receita!$S$2:$S$469,"44562B2ConvencionalRuralServiço público de irrigação ruralNão se aplicaNão se aplicaIntermediário",Mercado_Receita!$L$2:$L$469)+SUMIF(Mercado_Receita!$S$2:$S$469,"44562B2ConvencionalRuralServiço público de irrigação ruralNão se aplicaNão se aplicaNão se aplica",Mercado_Receita!$L$2:$L$469)</f>
        <v>0</v>
      </c>
      <c r="S38" s="12">
        <f>SUMIF(Mercado_Receita!$S$2:$S$469,"44593B2ConvencionalRuralServiço público de irrigação ruralNão se aplicaNão se aplicaPonta",Mercado_Receita!$L$2:$L$469)+SUMIF(Mercado_Receita!$S$2:$S$469,"44593B2ConvencionalRuralServiço público de irrigação ruralNão se aplicaNão se aplicaFora ponta",Mercado_Receita!$L$2:$L$469)+SUMIF(Mercado_Receita!$S$2:$S$469,"44593B2ConvencionalRuralServiço público de irrigação ruralNão se aplicaNão se aplicaIntermediário",Mercado_Receita!$L$2:$L$469)+SUMIF(Mercado_Receita!$S$2:$S$469,"44593B2ConvencionalRuralServiço público de irrigação ruralNão se aplicaNão se aplicaNão se aplica",Mercado_Receita!$L$2:$L$469)</f>
        <v>0</v>
      </c>
      <c r="T38" s="12">
        <f>SUMIF(Mercado_Receita!$S$2:$S$469,"44621B2ConvencionalRuralServiço público de irrigação ruralNão se aplicaNão se aplicaPonta",Mercado_Receita!$L$2:$L$469)+SUMIF(Mercado_Receita!$S$2:$S$469,"44621B2ConvencionalRuralServiço público de irrigação ruralNão se aplicaNão se aplicaFora ponta",Mercado_Receita!$L$2:$L$469)+SUMIF(Mercado_Receita!$S$2:$S$469,"44621B2ConvencionalRuralServiço público de irrigação ruralNão se aplicaNão se aplicaIntermediário",Mercado_Receita!$L$2:$L$469)+SUMIF(Mercado_Receita!$S$2:$S$469,"44621B2ConvencionalRuralServiço público de irrigação ruralNão se aplicaNão se aplicaNão se aplica",Mercado_Receita!$L$2:$L$469)</f>
        <v>0</v>
      </c>
      <c r="U38" s="12">
        <f t="shared" si="0"/>
        <v>0</v>
      </c>
      <c r="V38" s="12"/>
      <c r="W38" s="12"/>
    </row>
    <row r="39" spans="1:23" ht="11.25" customHeight="1" x14ac:dyDescent="0.25">
      <c r="A39" s="116"/>
      <c r="B39" s="115" t="s">
        <v>86</v>
      </c>
      <c r="C39" s="115" t="s">
        <v>44</v>
      </c>
      <c r="D39" s="13" t="s">
        <v>25</v>
      </c>
      <c r="E39" s="13" t="s">
        <v>25</v>
      </c>
      <c r="F39" s="13" t="s">
        <v>25</v>
      </c>
      <c r="G39" s="12" t="s">
        <v>75</v>
      </c>
      <c r="H39" s="12" t="s">
        <v>71</v>
      </c>
      <c r="I39" s="12">
        <f>SUMIF(Mercado_Receita!$S$2:$S$469,"44287B2Convencional pré-pagamentoRuralNão se aplicaNão se aplicaNão se aplicaPonta",Mercado_Receita!$L$2:$L$469)+SUMIF(Mercado_Receita!$S$2:$S$469,"44287B2Convencional pré-pagamentoRuralNão se aplicaNão se aplicaNão se aplicaFora ponta",Mercado_Receita!$L$2:$L$469)+SUMIF(Mercado_Receita!$S$2:$S$469,"44287B2Convencional pré-pagamentoRuralNão se aplicaNão se aplicaNão se aplicaIntermediário",Mercado_Receita!$L$2:$L$469)+SUMIF(Mercado_Receita!$S$2:$S$469,"44287B2Convencional pré-pagamentoRuralNão se aplicaNão se aplicaNão se aplicaNão se aplica",Mercado_Receita!$L$2:$L$469)</f>
        <v>0</v>
      </c>
      <c r="J39" s="12">
        <f>SUMIF(Mercado_Receita!$S$2:$S$469,"44317B2Convencional pré-pagamentoRuralNão se aplicaNão se aplicaNão se aplicaPonta",Mercado_Receita!$L$2:$L$469)+SUMIF(Mercado_Receita!$S$2:$S$469,"44317B2Convencional pré-pagamentoRuralNão se aplicaNão se aplicaNão se aplicaFora ponta",Mercado_Receita!$L$2:$L$469)+SUMIF(Mercado_Receita!$S$2:$S$469,"44317B2Convencional pré-pagamentoRuralNão se aplicaNão se aplicaNão se aplicaIntermediário",Mercado_Receita!$L$2:$L$469)+SUMIF(Mercado_Receita!$S$2:$S$469,"44317B2Convencional pré-pagamentoRuralNão se aplicaNão se aplicaNão se aplicaNão se aplica",Mercado_Receita!$L$2:$L$469)</f>
        <v>0</v>
      </c>
      <c r="K39" s="12">
        <f>SUMIF(Mercado_Receita!$S$2:$S$469,"44348B2Convencional pré-pagamentoRuralNão se aplicaNão se aplicaNão se aplicaPonta",Mercado_Receita!$L$2:$L$469)+SUMIF(Mercado_Receita!$S$2:$S$469,"44348B2Convencional pré-pagamentoRuralNão se aplicaNão se aplicaNão se aplicaFora ponta",Mercado_Receita!$L$2:$L$469)+SUMIF(Mercado_Receita!$S$2:$S$469,"44348B2Convencional pré-pagamentoRuralNão se aplicaNão se aplicaNão se aplicaIntermediário",Mercado_Receita!$L$2:$L$469)+SUMIF(Mercado_Receita!$S$2:$S$469,"44348B2Convencional pré-pagamentoRuralNão se aplicaNão se aplicaNão se aplicaNão se aplica",Mercado_Receita!$L$2:$L$469)</f>
        <v>0</v>
      </c>
      <c r="L39" s="12">
        <f>SUMIF(Mercado_Receita!$S$2:$S$469,"44378B2Convencional pré-pagamentoRuralNão se aplicaNão se aplicaNão se aplicaPonta",Mercado_Receita!$L$2:$L$469)+SUMIF(Mercado_Receita!$S$2:$S$469,"44378B2Convencional pré-pagamentoRuralNão se aplicaNão se aplicaNão se aplicaFora ponta",Mercado_Receita!$L$2:$L$469)+SUMIF(Mercado_Receita!$S$2:$S$469,"44378B2Convencional pré-pagamentoRuralNão se aplicaNão se aplicaNão se aplicaIntermediário",Mercado_Receita!$L$2:$L$469)+SUMIF(Mercado_Receita!$S$2:$S$469,"44378B2Convencional pré-pagamentoRuralNão se aplicaNão se aplicaNão se aplicaNão se aplica",Mercado_Receita!$L$2:$L$469)</f>
        <v>0</v>
      </c>
      <c r="M39" s="12">
        <f>SUMIF(Mercado_Receita!$S$2:$S$469,"44409B2Convencional pré-pagamentoRuralNão se aplicaNão se aplicaNão se aplicaPonta",Mercado_Receita!$L$2:$L$469)+SUMIF(Mercado_Receita!$S$2:$S$469,"44409B2Convencional pré-pagamentoRuralNão se aplicaNão se aplicaNão se aplicaFora ponta",Mercado_Receita!$L$2:$L$469)+SUMIF(Mercado_Receita!$S$2:$S$469,"44409B2Convencional pré-pagamentoRuralNão se aplicaNão se aplicaNão se aplicaIntermediário",Mercado_Receita!$L$2:$L$469)+SUMIF(Mercado_Receita!$S$2:$S$469,"44409B2Convencional pré-pagamentoRuralNão se aplicaNão se aplicaNão se aplicaNão se aplica",Mercado_Receita!$L$2:$L$469)</f>
        <v>0</v>
      </c>
      <c r="N39" s="12">
        <f>SUMIF(Mercado_Receita!$S$2:$S$469,"44440B2Convencional pré-pagamentoRuralNão se aplicaNão se aplicaNão se aplicaPonta",Mercado_Receita!$L$2:$L$469)+SUMIF(Mercado_Receita!$S$2:$S$469,"44440B2Convencional pré-pagamentoRuralNão se aplicaNão se aplicaNão se aplicaFora ponta",Mercado_Receita!$L$2:$L$469)+SUMIF(Mercado_Receita!$S$2:$S$469,"44440B2Convencional pré-pagamentoRuralNão se aplicaNão se aplicaNão se aplicaIntermediário",Mercado_Receita!$L$2:$L$469)+SUMIF(Mercado_Receita!$S$2:$S$469,"44440B2Convencional pré-pagamentoRuralNão se aplicaNão se aplicaNão se aplicaNão se aplica",Mercado_Receita!$L$2:$L$469)</f>
        <v>0</v>
      </c>
      <c r="O39" s="12">
        <f>SUMIF(Mercado_Receita!$S$2:$S$469,"44470B2Convencional pré-pagamentoRuralNão se aplicaNão se aplicaNão se aplicaPonta",Mercado_Receita!$L$2:$L$469)+SUMIF(Mercado_Receita!$S$2:$S$469,"44470B2Convencional pré-pagamentoRuralNão se aplicaNão se aplicaNão se aplicaFora ponta",Mercado_Receita!$L$2:$L$469)+SUMIF(Mercado_Receita!$S$2:$S$469,"44470B2Convencional pré-pagamentoRuralNão se aplicaNão se aplicaNão se aplicaIntermediário",Mercado_Receita!$L$2:$L$469)+SUMIF(Mercado_Receita!$S$2:$S$469,"44470B2Convencional pré-pagamentoRuralNão se aplicaNão se aplicaNão se aplicaNão se aplica",Mercado_Receita!$L$2:$L$469)</f>
        <v>0</v>
      </c>
      <c r="P39" s="12">
        <f>SUMIF(Mercado_Receita!$S$2:$S$469,"44501B2Convencional pré-pagamentoRuralNão se aplicaNão se aplicaNão se aplicaPonta",Mercado_Receita!$L$2:$L$469)+SUMIF(Mercado_Receita!$S$2:$S$469,"44501B2Convencional pré-pagamentoRuralNão se aplicaNão se aplicaNão se aplicaFora ponta",Mercado_Receita!$L$2:$L$469)+SUMIF(Mercado_Receita!$S$2:$S$469,"44501B2Convencional pré-pagamentoRuralNão se aplicaNão se aplicaNão se aplicaIntermediário",Mercado_Receita!$L$2:$L$469)+SUMIF(Mercado_Receita!$S$2:$S$469,"44501B2Convencional pré-pagamentoRuralNão se aplicaNão se aplicaNão se aplicaNão se aplica",Mercado_Receita!$L$2:$L$469)</f>
        <v>0</v>
      </c>
      <c r="Q39" s="12">
        <f>SUMIF(Mercado_Receita!$S$2:$S$469,"44531B2Convencional pré-pagamentoRuralNão se aplicaNão se aplicaNão se aplicaPonta",Mercado_Receita!$L$2:$L$469)+SUMIF(Mercado_Receita!$S$2:$S$469,"44531B2Convencional pré-pagamentoRuralNão se aplicaNão se aplicaNão se aplicaFora ponta",Mercado_Receita!$L$2:$L$469)+SUMIF(Mercado_Receita!$S$2:$S$469,"44531B2Convencional pré-pagamentoRuralNão se aplicaNão se aplicaNão se aplicaIntermediário",Mercado_Receita!$L$2:$L$469)+SUMIF(Mercado_Receita!$S$2:$S$469,"44531B2Convencional pré-pagamentoRuralNão se aplicaNão se aplicaNão se aplicaNão se aplica",Mercado_Receita!$L$2:$L$469)</f>
        <v>0</v>
      </c>
      <c r="R39" s="12">
        <f>SUMIF(Mercado_Receita!$S$2:$S$469,"44562B2Convencional pré-pagamentoRuralNão se aplicaNão se aplicaNão se aplicaPonta",Mercado_Receita!$L$2:$L$469)+SUMIF(Mercado_Receita!$S$2:$S$469,"44562B2Convencional pré-pagamentoRuralNão se aplicaNão se aplicaNão se aplicaFora ponta",Mercado_Receita!$L$2:$L$469)+SUMIF(Mercado_Receita!$S$2:$S$469,"44562B2Convencional pré-pagamentoRuralNão se aplicaNão se aplicaNão se aplicaIntermediário",Mercado_Receita!$L$2:$L$469)+SUMIF(Mercado_Receita!$S$2:$S$469,"44562B2Convencional pré-pagamentoRuralNão se aplicaNão se aplicaNão se aplicaNão se aplica",Mercado_Receita!$L$2:$L$469)</f>
        <v>0</v>
      </c>
      <c r="S39" s="12">
        <f>SUMIF(Mercado_Receita!$S$2:$S$469,"44593B2Convencional pré-pagamentoRuralNão se aplicaNão se aplicaNão se aplicaPonta",Mercado_Receita!$L$2:$L$469)+SUMIF(Mercado_Receita!$S$2:$S$469,"44593B2Convencional pré-pagamentoRuralNão se aplicaNão se aplicaNão se aplicaFora ponta",Mercado_Receita!$L$2:$L$469)+SUMIF(Mercado_Receita!$S$2:$S$469,"44593B2Convencional pré-pagamentoRuralNão se aplicaNão se aplicaNão se aplicaIntermediário",Mercado_Receita!$L$2:$L$469)+SUMIF(Mercado_Receita!$S$2:$S$469,"44593B2Convencional pré-pagamentoRuralNão se aplicaNão se aplicaNão se aplicaNão se aplica",Mercado_Receita!$L$2:$L$469)</f>
        <v>0</v>
      </c>
      <c r="T39" s="12">
        <f>SUMIF(Mercado_Receita!$S$2:$S$469,"44621B2Convencional pré-pagamentoRuralNão se aplicaNão se aplicaNão se aplicaPonta",Mercado_Receita!$L$2:$L$469)+SUMIF(Mercado_Receita!$S$2:$S$469,"44621B2Convencional pré-pagamentoRuralNão se aplicaNão se aplicaNão se aplicaFora ponta",Mercado_Receita!$L$2:$L$469)+SUMIF(Mercado_Receita!$S$2:$S$469,"44621B2Convencional pré-pagamentoRuralNão se aplicaNão se aplicaNão se aplicaIntermediário",Mercado_Receita!$L$2:$L$469)+SUMIF(Mercado_Receita!$S$2:$S$469,"44621B2Convencional pré-pagamentoRuralNão se aplicaNão se aplicaNão se aplicaNão se aplica",Mercado_Receita!$L$2:$L$469)</f>
        <v>0</v>
      </c>
      <c r="U39" s="12">
        <f t="shared" si="0"/>
        <v>0</v>
      </c>
      <c r="V39" s="12"/>
      <c r="W39" s="12"/>
    </row>
    <row r="40" spans="1:23" ht="11.25" customHeight="1" x14ac:dyDescent="0.25">
      <c r="A40" s="116"/>
      <c r="B40" s="116"/>
      <c r="C40" s="116"/>
      <c r="D40" s="13" t="s">
        <v>87</v>
      </c>
      <c r="E40" s="13" t="s">
        <v>25</v>
      </c>
      <c r="F40" s="13" t="s">
        <v>25</v>
      </c>
      <c r="G40" s="12" t="s">
        <v>75</v>
      </c>
      <c r="H40" s="12" t="s">
        <v>71</v>
      </c>
      <c r="I40" s="12">
        <f>SUMIF(Mercado_Receita!$S$2:$S$469,"44287B2Convencional pré-pagamentoRuralCooperativa de eletrificação ruralNão se aplicaNão se aplicaPonta",Mercado_Receita!$L$2:$L$469)+SUMIF(Mercado_Receita!$S$2:$S$469,"44287B2Convencional pré-pagamentoRuralCooperativa de eletrificação ruralNão se aplicaNão se aplicaFora ponta",Mercado_Receita!$L$2:$L$469)+SUMIF(Mercado_Receita!$S$2:$S$469,"44287B2Convencional pré-pagamentoRuralCooperativa de eletrificação ruralNão se aplicaNão se aplicaIntermediário",Mercado_Receita!$L$2:$L$469)+SUMIF(Mercado_Receita!$S$2:$S$469,"44287B2Convencional pré-pagamentoRuralCooperativa de eletrificação ruralNão se aplicaNão se aplicaNão se aplica",Mercado_Receita!$L$2:$L$469)</f>
        <v>0</v>
      </c>
      <c r="J40" s="12">
        <f>SUMIF(Mercado_Receita!$S$2:$S$469,"44317B2Convencional pré-pagamentoRuralCooperativa de eletrificação ruralNão se aplicaNão se aplicaPonta",Mercado_Receita!$L$2:$L$469)+SUMIF(Mercado_Receita!$S$2:$S$469,"44317B2Convencional pré-pagamentoRuralCooperativa de eletrificação ruralNão se aplicaNão se aplicaFora ponta",Mercado_Receita!$L$2:$L$469)+SUMIF(Mercado_Receita!$S$2:$S$469,"44317B2Convencional pré-pagamentoRuralCooperativa de eletrificação ruralNão se aplicaNão se aplicaIntermediário",Mercado_Receita!$L$2:$L$469)+SUMIF(Mercado_Receita!$S$2:$S$469,"44317B2Convencional pré-pagamentoRuralCooperativa de eletrificação ruralNão se aplicaNão se aplicaNão se aplica",Mercado_Receita!$L$2:$L$469)</f>
        <v>0</v>
      </c>
      <c r="K40" s="12">
        <f>SUMIF(Mercado_Receita!$S$2:$S$469,"44348B2Convencional pré-pagamentoRuralCooperativa de eletrificação ruralNão se aplicaNão se aplicaPonta",Mercado_Receita!$L$2:$L$469)+SUMIF(Mercado_Receita!$S$2:$S$469,"44348B2Convencional pré-pagamentoRuralCooperativa de eletrificação ruralNão se aplicaNão se aplicaFora ponta",Mercado_Receita!$L$2:$L$469)+SUMIF(Mercado_Receita!$S$2:$S$469,"44348B2Convencional pré-pagamentoRuralCooperativa de eletrificação ruralNão se aplicaNão se aplicaIntermediário",Mercado_Receita!$L$2:$L$469)+SUMIF(Mercado_Receita!$S$2:$S$469,"44348B2Convencional pré-pagamentoRuralCooperativa de eletrificação ruralNão se aplicaNão se aplicaNão se aplica",Mercado_Receita!$L$2:$L$469)</f>
        <v>0</v>
      </c>
      <c r="L40" s="12">
        <f>SUMIF(Mercado_Receita!$S$2:$S$469,"44378B2Convencional pré-pagamentoRuralCooperativa de eletrificação ruralNão se aplicaNão se aplicaPonta",Mercado_Receita!$L$2:$L$469)+SUMIF(Mercado_Receita!$S$2:$S$469,"44378B2Convencional pré-pagamentoRuralCooperativa de eletrificação ruralNão se aplicaNão se aplicaFora ponta",Mercado_Receita!$L$2:$L$469)+SUMIF(Mercado_Receita!$S$2:$S$469,"44378B2Convencional pré-pagamentoRuralCooperativa de eletrificação ruralNão se aplicaNão se aplicaIntermediário",Mercado_Receita!$L$2:$L$469)+SUMIF(Mercado_Receita!$S$2:$S$469,"44378B2Convencional pré-pagamentoRuralCooperativa de eletrificação ruralNão se aplicaNão se aplicaNão se aplica",Mercado_Receita!$L$2:$L$469)</f>
        <v>0</v>
      </c>
      <c r="M40" s="12">
        <f>SUMIF(Mercado_Receita!$S$2:$S$469,"44409B2Convencional pré-pagamentoRuralCooperativa de eletrificação ruralNão se aplicaNão se aplicaPonta",Mercado_Receita!$L$2:$L$469)+SUMIF(Mercado_Receita!$S$2:$S$469,"44409B2Convencional pré-pagamentoRuralCooperativa de eletrificação ruralNão se aplicaNão se aplicaFora ponta",Mercado_Receita!$L$2:$L$469)+SUMIF(Mercado_Receita!$S$2:$S$469,"44409B2Convencional pré-pagamentoRuralCooperativa de eletrificação ruralNão se aplicaNão se aplicaIntermediário",Mercado_Receita!$L$2:$L$469)+SUMIF(Mercado_Receita!$S$2:$S$469,"44409B2Convencional pré-pagamentoRuralCooperativa de eletrificação ruralNão se aplicaNão se aplicaNão se aplica",Mercado_Receita!$L$2:$L$469)</f>
        <v>0</v>
      </c>
      <c r="N40" s="12">
        <f>SUMIF(Mercado_Receita!$S$2:$S$469,"44440B2Convencional pré-pagamentoRuralCooperativa de eletrificação ruralNão se aplicaNão se aplicaPonta",Mercado_Receita!$L$2:$L$469)+SUMIF(Mercado_Receita!$S$2:$S$469,"44440B2Convencional pré-pagamentoRuralCooperativa de eletrificação ruralNão se aplicaNão se aplicaFora ponta",Mercado_Receita!$L$2:$L$469)+SUMIF(Mercado_Receita!$S$2:$S$469,"44440B2Convencional pré-pagamentoRuralCooperativa de eletrificação ruralNão se aplicaNão se aplicaIntermediário",Mercado_Receita!$L$2:$L$469)+SUMIF(Mercado_Receita!$S$2:$S$469,"44440B2Convencional pré-pagamentoRuralCooperativa de eletrificação ruralNão se aplicaNão se aplicaNão se aplica",Mercado_Receita!$L$2:$L$469)</f>
        <v>0</v>
      </c>
      <c r="O40" s="12">
        <f>SUMIF(Mercado_Receita!$S$2:$S$469,"44470B2Convencional pré-pagamentoRuralCooperativa de eletrificação ruralNão se aplicaNão se aplicaPonta",Mercado_Receita!$L$2:$L$469)+SUMIF(Mercado_Receita!$S$2:$S$469,"44470B2Convencional pré-pagamentoRuralCooperativa de eletrificação ruralNão se aplicaNão se aplicaFora ponta",Mercado_Receita!$L$2:$L$469)+SUMIF(Mercado_Receita!$S$2:$S$469,"44470B2Convencional pré-pagamentoRuralCooperativa de eletrificação ruralNão se aplicaNão se aplicaIntermediário",Mercado_Receita!$L$2:$L$469)+SUMIF(Mercado_Receita!$S$2:$S$469,"44470B2Convencional pré-pagamentoRuralCooperativa de eletrificação ruralNão se aplicaNão se aplicaNão se aplica",Mercado_Receita!$L$2:$L$469)</f>
        <v>0</v>
      </c>
      <c r="P40" s="12">
        <f>SUMIF(Mercado_Receita!$S$2:$S$469,"44501B2Convencional pré-pagamentoRuralCooperativa de eletrificação ruralNão se aplicaNão se aplicaPonta",Mercado_Receita!$L$2:$L$469)+SUMIF(Mercado_Receita!$S$2:$S$469,"44501B2Convencional pré-pagamentoRuralCooperativa de eletrificação ruralNão se aplicaNão se aplicaFora ponta",Mercado_Receita!$L$2:$L$469)+SUMIF(Mercado_Receita!$S$2:$S$469,"44501B2Convencional pré-pagamentoRuralCooperativa de eletrificação ruralNão se aplicaNão se aplicaIntermediário",Mercado_Receita!$L$2:$L$469)+SUMIF(Mercado_Receita!$S$2:$S$469,"44501B2Convencional pré-pagamentoRuralCooperativa de eletrificação ruralNão se aplicaNão se aplicaNão se aplica",Mercado_Receita!$L$2:$L$469)</f>
        <v>0</v>
      </c>
      <c r="Q40" s="12">
        <f>SUMIF(Mercado_Receita!$S$2:$S$469,"44531B2Convencional pré-pagamentoRuralCooperativa de eletrificação ruralNão se aplicaNão se aplicaPonta",Mercado_Receita!$L$2:$L$469)+SUMIF(Mercado_Receita!$S$2:$S$469,"44531B2Convencional pré-pagamentoRuralCooperativa de eletrificação ruralNão se aplicaNão se aplicaFora ponta",Mercado_Receita!$L$2:$L$469)+SUMIF(Mercado_Receita!$S$2:$S$469,"44531B2Convencional pré-pagamentoRuralCooperativa de eletrificação ruralNão se aplicaNão se aplicaIntermediário",Mercado_Receita!$L$2:$L$469)+SUMIF(Mercado_Receita!$S$2:$S$469,"44531B2Convencional pré-pagamentoRuralCooperativa de eletrificação ruralNão se aplicaNão se aplicaNão se aplica",Mercado_Receita!$L$2:$L$469)</f>
        <v>0</v>
      </c>
      <c r="R40" s="12">
        <f>SUMIF(Mercado_Receita!$S$2:$S$469,"44562B2Convencional pré-pagamentoRuralCooperativa de eletrificação ruralNão se aplicaNão se aplicaPonta",Mercado_Receita!$L$2:$L$469)+SUMIF(Mercado_Receita!$S$2:$S$469,"44562B2Convencional pré-pagamentoRuralCooperativa de eletrificação ruralNão se aplicaNão se aplicaFora ponta",Mercado_Receita!$L$2:$L$469)+SUMIF(Mercado_Receita!$S$2:$S$469,"44562B2Convencional pré-pagamentoRuralCooperativa de eletrificação ruralNão se aplicaNão se aplicaIntermediário",Mercado_Receita!$L$2:$L$469)+SUMIF(Mercado_Receita!$S$2:$S$469,"44562B2Convencional pré-pagamentoRuralCooperativa de eletrificação ruralNão se aplicaNão se aplicaNão se aplica",Mercado_Receita!$L$2:$L$469)</f>
        <v>0</v>
      </c>
      <c r="S40" s="12">
        <f>SUMIF(Mercado_Receita!$S$2:$S$469,"44593B2Convencional pré-pagamentoRuralCooperativa de eletrificação ruralNão se aplicaNão se aplicaPonta",Mercado_Receita!$L$2:$L$469)+SUMIF(Mercado_Receita!$S$2:$S$469,"44593B2Convencional pré-pagamentoRuralCooperativa de eletrificação ruralNão se aplicaNão se aplicaFora ponta",Mercado_Receita!$L$2:$L$469)+SUMIF(Mercado_Receita!$S$2:$S$469,"44593B2Convencional pré-pagamentoRuralCooperativa de eletrificação ruralNão se aplicaNão se aplicaIntermediário",Mercado_Receita!$L$2:$L$469)+SUMIF(Mercado_Receita!$S$2:$S$469,"44593B2Convencional pré-pagamentoRuralCooperativa de eletrificação ruralNão se aplicaNão se aplicaNão se aplica",Mercado_Receita!$L$2:$L$469)</f>
        <v>0</v>
      </c>
      <c r="T40" s="12">
        <f>SUMIF(Mercado_Receita!$S$2:$S$469,"44621B2Convencional pré-pagamentoRuralCooperativa de eletrificação ruralNão se aplicaNão se aplicaPonta",Mercado_Receita!$L$2:$L$469)+SUMIF(Mercado_Receita!$S$2:$S$469,"44621B2Convencional pré-pagamentoRuralCooperativa de eletrificação ruralNão se aplicaNão se aplicaFora ponta",Mercado_Receita!$L$2:$L$469)+SUMIF(Mercado_Receita!$S$2:$S$469,"44621B2Convencional pré-pagamentoRuralCooperativa de eletrificação ruralNão se aplicaNão se aplicaIntermediário",Mercado_Receita!$L$2:$L$469)+SUMIF(Mercado_Receita!$S$2:$S$469,"44621B2Convencional pré-pagamentoRuralCooperativa de eletrificação ruralNão se aplicaNão se aplicaNão se aplica",Mercado_Receita!$L$2:$L$469)</f>
        <v>0</v>
      </c>
      <c r="U40" s="12">
        <f t="shared" si="0"/>
        <v>0</v>
      </c>
      <c r="V40" s="12"/>
      <c r="W40" s="12"/>
    </row>
    <row r="41" spans="1:23" ht="11.25" customHeight="1" x14ac:dyDescent="0.25">
      <c r="A41" s="116"/>
      <c r="B41" s="116"/>
      <c r="C41" s="116"/>
      <c r="D41" s="13" t="s">
        <v>88</v>
      </c>
      <c r="E41" s="13" t="s">
        <v>25</v>
      </c>
      <c r="F41" s="13" t="s">
        <v>25</v>
      </c>
      <c r="G41" s="12" t="s">
        <v>75</v>
      </c>
      <c r="H41" s="12" t="s">
        <v>71</v>
      </c>
      <c r="I41" s="12">
        <f>SUMIF(Mercado_Receita!$S$2:$S$469,"44287B2Convencional pré-pagamentoRuralServiço público de irrigação ruralNão se aplicaNão se aplicaPonta",Mercado_Receita!$L$2:$L$469)+SUMIF(Mercado_Receita!$S$2:$S$469,"44287B2Convencional pré-pagamentoRuralServiço público de irrigação ruralNão se aplicaNão se aplicaFora ponta",Mercado_Receita!$L$2:$L$469)+SUMIF(Mercado_Receita!$S$2:$S$469,"44287B2Convencional pré-pagamentoRuralServiço público de irrigação ruralNão se aplicaNão se aplicaIntermediário",Mercado_Receita!$L$2:$L$469)+SUMIF(Mercado_Receita!$S$2:$S$469,"44287B2Convencional pré-pagamentoRuralServiço público de irrigação ruralNão se aplicaNão se aplicaNão se aplica",Mercado_Receita!$L$2:$L$469)</f>
        <v>0</v>
      </c>
      <c r="J41" s="12">
        <f>SUMIF(Mercado_Receita!$S$2:$S$469,"44317B2Convencional pré-pagamentoRuralServiço público de irrigação ruralNão se aplicaNão se aplicaPonta",Mercado_Receita!$L$2:$L$469)+SUMIF(Mercado_Receita!$S$2:$S$469,"44317B2Convencional pré-pagamentoRuralServiço público de irrigação ruralNão se aplicaNão se aplicaFora ponta",Mercado_Receita!$L$2:$L$469)+SUMIF(Mercado_Receita!$S$2:$S$469,"44317B2Convencional pré-pagamentoRuralServiço público de irrigação ruralNão se aplicaNão se aplicaIntermediário",Mercado_Receita!$L$2:$L$469)+SUMIF(Mercado_Receita!$S$2:$S$469,"44317B2Convencional pré-pagamentoRuralServiço público de irrigação ruralNão se aplicaNão se aplicaNão se aplica",Mercado_Receita!$L$2:$L$469)</f>
        <v>0</v>
      </c>
      <c r="K41" s="12">
        <f>SUMIF(Mercado_Receita!$S$2:$S$469,"44348B2Convencional pré-pagamentoRuralServiço público de irrigação ruralNão se aplicaNão se aplicaPonta",Mercado_Receita!$L$2:$L$469)+SUMIF(Mercado_Receita!$S$2:$S$469,"44348B2Convencional pré-pagamentoRuralServiço público de irrigação ruralNão se aplicaNão se aplicaFora ponta",Mercado_Receita!$L$2:$L$469)+SUMIF(Mercado_Receita!$S$2:$S$469,"44348B2Convencional pré-pagamentoRuralServiço público de irrigação ruralNão se aplicaNão se aplicaIntermediário",Mercado_Receita!$L$2:$L$469)+SUMIF(Mercado_Receita!$S$2:$S$469,"44348B2Convencional pré-pagamentoRuralServiço público de irrigação ruralNão se aplicaNão se aplicaNão se aplica",Mercado_Receita!$L$2:$L$469)</f>
        <v>0</v>
      </c>
      <c r="L41" s="12">
        <f>SUMIF(Mercado_Receita!$S$2:$S$469,"44378B2Convencional pré-pagamentoRuralServiço público de irrigação ruralNão se aplicaNão se aplicaPonta",Mercado_Receita!$L$2:$L$469)+SUMIF(Mercado_Receita!$S$2:$S$469,"44378B2Convencional pré-pagamentoRuralServiço público de irrigação ruralNão se aplicaNão se aplicaFora ponta",Mercado_Receita!$L$2:$L$469)+SUMIF(Mercado_Receita!$S$2:$S$469,"44378B2Convencional pré-pagamentoRuralServiço público de irrigação ruralNão se aplicaNão se aplicaIntermediário",Mercado_Receita!$L$2:$L$469)+SUMIF(Mercado_Receita!$S$2:$S$469,"44378B2Convencional pré-pagamentoRuralServiço público de irrigação ruralNão se aplicaNão se aplicaNão se aplica",Mercado_Receita!$L$2:$L$469)</f>
        <v>0</v>
      </c>
      <c r="M41" s="12">
        <f>SUMIF(Mercado_Receita!$S$2:$S$469,"44409B2Convencional pré-pagamentoRuralServiço público de irrigação ruralNão se aplicaNão se aplicaPonta",Mercado_Receita!$L$2:$L$469)+SUMIF(Mercado_Receita!$S$2:$S$469,"44409B2Convencional pré-pagamentoRuralServiço público de irrigação ruralNão se aplicaNão se aplicaFora ponta",Mercado_Receita!$L$2:$L$469)+SUMIF(Mercado_Receita!$S$2:$S$469,"44409B2Convencional pré-pagamentoRuralServiço público de irrigação ruralNão se aplicaNão se aplicaIntermediário",Mercado_Receita!$L$2:$L$469)+SUMIF(Mercado_Receita!$S$2:$S$469,"44409B2Convencional pré-pagamentoRuralServiço público de irrigação ruralNão se aplicaNão se aplicaNão se aplica",Mercado_Receita!$L$2:$L$469)</f>
        <v>0</v>
      </c>
      <c r="N41" s="12">
        <f>SUMIF(Mercado_Receita!$S$2:$S$469,"44440B2Convencional pré-pagamentoRuralServiço público de irrigação ruralNão se aplicaNão se aplicaPonta",Mercado_Receita!$L$2:$L$469)+SUMIF(Mercado_Receita!$S$2:$S$469,"44440B2Convencional pré-pagamentoRuralServiço público de irrigação ruralNão se aplicaNão se aplicaFora ponta",Mercado_Receita!$L$2:$L$469)+SUMIF(Mercado_Receita!$S$2:$S$469,"44440B2Convencional pré-pagamentoRuralServiço público de irrigação ruralNão se aplicaNão se aplicaIntermediário",Mercado_Receita!$L$2:$L$469)+SUMIF(Mercado_Receita!$S$2:$S$469,"44440B2Convencional pré-pagamentoRuralServiço público de irrigação ruralNão se aplicaNão se aplicaNão se aplica",Mercado_Receita!$L$2:$L$469)</f>
        <v>0</v>
      </c>
      <c r="O41" s="12">
        <f>SUMIF(Mercado_Receita!$S$2:$S$469,"44470B2Convencional pré-pagamentoRuralServiço público de irrigação ruralNão se aplicaNão se aplicaPonta",Mercado_Receita!$L$2:$L$469)+SUMIF(Mercado_Receita!$S$2:$S$469,"44470B2Convencional pré-pagamentoRuralServiço público de irrigação ruralNão se aplicaNão se aplicaFora ponta",Mercado_Receita!$L$2:$L$469)+SUMIF(Mercado_Receita!$S$2:$S$469,"44470B2Convencional pré-pagamentoRuralServiço público de irrigação ruralNão se aplicaNão se aplicaIntermediário",Mercado_Receita!$L$2:$L$469)+SUMIF(Mercado_Receita!$S$2:$S$469,"44470B2Convencional pré-pagamentoRuralServiço público de irrigação ruralNão se aplicaNão se aplicaNão se aplica",Mercado_Receita!$L$2:$L$469)</f>
        <v>0</v>
      </c>
      <c r="P41" s="12">
        <f>SUMIF(Mercado_Receita!$S$2:$S$469,"44501B2Convencional pré-pagamentoRuralServiço público de irrigação ruralNão se aplicaNão se aplicaPonta",Mercado_Receita!$L$2:$L$469)+SUMIF(Mercado_Receita!$S$2:$S$469,"44501B2Convencional pré-pagamentoRuralServiço público de irrigação ruralNão se aplicaNão se aplicaFora ponta",Mercado_Receita!$L$2:$L$469)+SUMIF(Mercado_Receita!$S$2:$S$469,"44501B2Convencional pré-pagamentoRuralServiço público de irrigação ruralNão se aplicaNão se aplicaIntermediário",Mercado_Receita!$L$2:$L$469)+SUMIF(Mercado_Receita!$S$2:$S$469,"44501B2Convencional pré-pagamentoRuralServiço público de irrigação ruralNão se aplicaNão se aplicaNão se aplica",Mercado_Receita!$L$2:$L$469)</f>
        <v>0</v>
      </c>
      <c r="Q41" s="12">
        <f>SUMIF(Mercado_Receita!$S$2:$S$469,"44531B2Convencional pré-pagamentoRuralServiço público de irrigação ruralNão se aplicaNão se aplicaPonta",Mercado_Receita!$L$2:$L$469)+SUMIF(Mercado_Receita!$S$2:$S$469,"44531B2Convencional pré-pagamentoRuralServiço público de irrigação ruralNão se aplicaNão se aplicaFora ponta",Mercado_Receita!$L$2:$L$469)+SUMIF(Mercado_Receita!$S$2:$S$469,"44531B2Convencional pré-pagamentoRuralServiço público de irrigação ruralNão se aplicaNão se aplicaIntermediário",Mercado_Receita!$L$2:$L$469)+SUMIF(Mercado_Receita!$S$2:$S$469,"44531B2Convencional pré-pagamentoRuralServiço público de irrigação ruralNão se aplicaNão se aplicaNão se aplica",Mercado_Receita!$L$2:$L$469)</f>
        <v>0</v>
      </c>
      <c r="R41" s="12">
        <f>SUMIF(Mercado_Receita!$S$2:$S$469,"44562B2Convencional pré-pagamentoRuralServiço público de irrigação ruralNão se aplicaNão se aplicaPonta",Mercado_Receita!$L$2:$L$469)+SUMIF(Mercado_Receita!$S$2:$S$469,"44562B2Convencional pré-pagamentoRuralServiço público de irrigação ruralNão se aplicaNão se aplicaFora ponta",Mercado_Receita!$L$2:$L$469)+SUMIF(Mercado_Receita!$S$2:$S$469,"44562B2Convencional pré-pagamentoRuralServiço público de irrigação ruralNão se aplicaNão se aplicaIntermediário",Mercado_Receita!$L$2:$L$469)+SUMIF(Mercado_Receita!$S$2:$S$469,"44562B2Convencional pré-pagamentoRuralServiço público de irrigação ruralNão se aplicaNão se aplicaNão se aplica",Mercado_Receita!$L$2:$L$469)</f>
        <v>0</v>
      </c>
      <c r="S41" s="12">
        <f>SUMIF(Mercado_Receita!$S$2:$S$469,"44593B2Convencional pré-pagamentoRuralServiço público de irrigação ruralNão se aplicaNão se aplicaPonta",Mercado_Receita!$L$2:$L$469)+SUMIF(Mercado_Receita!$S$2:$S$469,"44593B2Convencional pré-pagamentoRuralServiço público de irrigação ruralNão se aplicaNão se aplicaFora ponta",Mercado_Receita!$L$2:$L$469)+SUMIF(Mercado_Receita!$S$2:$S$469,"44593B2Convencional pré-pagamentoRuralServiço público de irrigação ruralNão se aplicaNão se aplicaIntermediário",Mercado_Receita!$L$2:$L$469)+SUMIF(Mercado_Receita!$S$2:$S$469,"44593B2Convencional pré-pagamentoRuralServiço público de irrigação ruralNão se aplicaNão se aplicaNão se aplica",Mercado_Receita!$L$2:$L$469)</f>
        <v>0</v>
      </c>
      <c r="T41" s="12">
        <f>SUMIF(Mercado_Receita!$S$2:$S$469,"44621B2Convencional pré-pagamentoRuralServiço público de irrigação ruralNão se aplicaNão se aplicaPonta",Mercado_Receita!$L$2:$L$469)+SUMIF(Mercado_Receita!$S$2:$S$469,"44621B2Convencional pré-pagamentoRuralServiço público de irrigação ruralNão se aplicaNão se aplicaFora ponta",Mercado_Receita!$L$2:$L$469)+SUMIF(Mercado_Receita!$S$2:$S$469,"44621B2Convencional pré-pagamentoRuralServiço público de irrigação ruralNão se aplicaNão se aplicaIntermediário",Mercado_Receita!$L$2:$L$469)+SUMIF(Mercado_Receita!$S$2:$S$469,"44621B2Convencional pré-pagamentoRuralServiço público de irrigação ruralNão se aplicaNão se aplicaNão se aplica",Mercado_Receita!$L$2:$L$469)</f>
        <v>0</v>
      </c>
      <c r="U41" s="12">
        <f t="shared" si="0"/>
        <v>0</v>
      </c>
      <c r="V41" s="12"/>
      <c r="W41" s="12"/>
    </row>
    <row r="42" spans="1:23" ht="11.25" customHeight="1" x14ac:dyDescent="0.25">
      <c r="A42" s="115" t="s">
        <v>39</v>
      </c>
      <c r="B42" s="115" t="s">
        <v>37</v>
      </c>
      <c r="C42" s="115" t="s">
        <v>25</v>
      </c>
      <c r="D42" s="115" t="s">
        <v>25</v>
      </c>
      <c r="E42" s="115" t="s">
        <v>25</v>
      </c>
      <c r="F42" s="115" t="s">
        <v>25</v>
      </c>
      <c r="G42" s="12" t="s">
        <v>72</v>
      </c>
      <c r="H42" s="12" t="s">
        <v>71</v>
      </c>
      <c r="I42" s="12">
        <f>SUMIF(Mercado_Receita!$S$2:$S$469,"44287B3BrancaNão se aplicaNão se aplicaNão se aplicaNão se aplicaPonta",Mercado_Receita!$L$2:$L$469)</f>
        <v>0</v>
      </c>
      <c r="J42" s="12">
        <f>SUMIF(Mercado_Receita!$S$2:$S$469,"44317B3BrancaNão se aplicaNão se aplicaNão se aplicaNão se aplicaPonta",Mercado_Receita!$L$2:$L$469)</f>
        <v>0</v>
      </c>
      <c r="K42" s="12">
        <f>SUMIF(Mercado_Receita!$S$2:$S$469,"44348B3BrancaNão se aplicaNão se aplicaNão se aplicaNão se aplicaPonta",Mercado_Receita!$L$2:$L$469)</f>
        <v>0</v>
      </c>
      <c r="L42" s="12">
        <f>SUMIF(Mercado_Receita!$S$2:$S$469,"44378B3BrancaNão se aplicaNão se aplicaNão se aplicaNão se aplicaPonta",Mercado_Receita!$L$2:$L$469)</f>
        <v>0</v>
      </c>
      <c r="M42" s="12">
        <f>SUMIF(Mercado_Receita!$S$2:$S$469,"44409B3BrancaNão se aplicaNão se aplicaNão se aplicaNão se aplicaPonta",Mercado_Receita!$L$2:$L$469)</f>
        <v>0</v>
      </c>
      <c r="N42" s="12">
        <f>SUMIF(Mercado_Receita!$S$2:$S$469,"44440B3BrancaNão se aplicaNão se aplicaNão se aplicaNão se aplicaPonta",Mercado_Receita!$L$2:$L$469)</f>
        <v>0</v>
      </c>
      <c r="O42" s="12">
        <f>SUMIF(Mercado_Receita!$S$2:$S$469,"44470B3BrancaNão se aplicaNão se aplicaNão se aplicaNão se aplicaPonta",Mercado_Receita!$L$2:$L$469)</f>
        <v>0</v>
      </c>
      <c r="P42" s="12">
        <f>SUMIF(Mercado_Receita!$S$2:$S$469,"44501B3BrancaNão se aplicaNão se aplicaNão se aplicaNão se aplicaPonta",Mercado_Receita!$L$2:$L$469)</f>
        <v>0</v>
      </c>
      <c r="Q42" s="12">
        <f>SUMIF(Mercado_Receita!$S$2:$S$469,"44531B3BrancaNão se aplicaNão se aplicaNão se aplicaNão se aplicaPonta",Mercado_Receita!$L$2:$L$469)</f>
        <v>0</v>
      </c>
      <c r="R42" s="12">
        <f>SUMIF(Mercado_Receita!$S$2:$S$469,"44562B3BrancaNão se aplicaNão se aplicaNão se aplicaNão se aplicaPonta",Mercado_Receita!$L$2:$L$469)</f>
        <v>0</v>
      </c>
      <c r="S42" s="12">
        <f>SUMIF(Mercado_Receita!$S$2:$S$469,"44593B3BrancaNão se aplicaNão se aplicaNão se aplicaNão se aplicaPonta",Mercado_Receita!$L$2:$L$469)</f>
        <v>0</v>
      </c>
      <c r="T42" s="12">
        <f>SUMIF(Mercado_Receita!$S$2:$S$469,"44621B3BrancaNão se aplicaNão se aplicaNão se aplicaNão se aplicaPonta",Mercado_Receita!$L$2:$L$469)</f>
        <v>0</v>
      </c>
      <c r="U42" s="12">
        <f t="shared" si="0"/>
        <v>0</v>
      </c>
      <c r="V42" s="12"/>
      <c r="W42" s="12"/>
    </row>
    <row r="43" spans="1:23" ht="11.25" customHeight="1" x14ac:dyDescent="0.25">
      <c r="A43" s="116"/>
      <c r="B43" s="116"/>
      <c r="C43" s="116"/>
      <c r="D43" s="116"/>
      <c r="E43" s="116"/>
      <c r="F43" s="116"/>
      <c r="G43" s="12" t="s">
        <v>84</v>
      </c>
      <c r="H43" s="12" t="s">
        <v>71</v>
      </c>
      <c r="I43" s="12">
        <f>SUMIF(Mercado_Receita!$S$2:$S$469,"44287B3BrancaNão se aplicaNão se aplicaNão se aplicaNão se aplicaIntermediário",Mercado_Receita!$L$2:$L$469)</f>
        <v>0</v>
      </c>
      <c r="J43" s="12">
        <f>SUMIF(Mercado_Receita!$S$2:$S$469,"44317B3BrancaNão se aplicaNão se aplicaNão se aplicaNão se aplicaIntermediário",Mercado_Receita!$L$2:$L$469)</f>
        <v>0</v>
      </c>
      <c r="K43" s="12">
        <f>SUMIF(Mercado_Receita!$S$2:$S$469,"44348B3BrancaNão se aplicaNão se aplicaNão se aplicaNão se aplicaIntermediário",Mercado_Receita!$L$2:$L$469)</f>
        <v>0</v>
      </c>
      <c r="L43" s="12">
        <f>SUMIF(Mercado_Receita!$S$2:$S$469,"44378B3BrancaNão se aplicaNão se aplicaNão se aplicaNão se aplicaIntermediário",Mercado_Receita!$L$2:$L$469)</f>
        <v>0</v>
      </c>
      <c r="M43" s="12">
        <f>SUMIF(Mercado_Receita!$S$2:$S$469,"44409B3BrancaNão se aplicaNão se aplicaNão se aplicaNão se aplicaIntermediário",Mercado_Receita!$L$2:$L$469)</f>
        <v>0</v>
      </c>
      <c r="N43" s="12">
        <f>SUMIF(Mercado_Receita!$S$2:$S$469,"44440B3BrancaNão se aplicaNão se aplicaNão se aplicaNão se aplicaIntermediário",Mercado_Receita!$L$2:$L$469)</f>
        <v>0</v>
      </c>
      <c r="O43" s="12">
        <f>SUMIF(Mercado_Receita!$S$2:$S$469,"44470B3BrancaNão se aplicaNão se aplicaNão se aplicaNão se aplicaIntermediário",Mercado_Receita!$L$2:$L$469)</f>
        <v>0</v>
      </c>
      <c r="P43" s="12">
        <f>SUMIF(Mercado_Receita!$S$2:$S$469,"44501B3BrancaNão se aplicaNão se aplicaNão se aplicaNão se aplicaIntermediário",Mercado_Receita!$L$2:$L$469)</f>
        <v>0</v>
      </c>
      <c r="Q43" s="12">
        <f>SUMIF(Mercado_Receita!$S$2:$S$469,"44531B3BrancaNão se aplicaNão se aplicaNão se aplicaNão se aplicaIntermediário",Mercado_Receita!$L$2:$L$469)</f>
        <v>0</v>
      </c>
      <c r="R43" s="12">
        <f>SUMIF(Mercado_Receita!$S$2:$S$469,"44562B3BrancaNão se aplicaNão se aplicaNão se aplicaNão se aplicaIntermediário",Mercado_Receita!$L$2:$L$469)</f>
        <v>0</v>
      </c>
      <c r="S43" s="12">
        <f>SUMIF(Mercado_Receita!$S$2:$S$469,"44593B3BrancaNão se aplicaNão se aplicaNão se aplicaNão se aplicaIntermediário",Mercado_Receita!$L$2:$L$469)</f>
        <v>0</v>
      </c>
      <c r="T43" s="12">
        <f>SUMIF(Mercado_Receita!$S$2:$S$469,"44621B3BrancaNão se aplicaNão se aplicaNão se aplicaNão se aplicaIntermediário",Mercado_Receita!$L$2:$L$469)</f>
        <v>0</v>
      </c>
      <c r="U43" s="12">
        <f t="shared" si="0"/>
        <v>0</v>
      </c>
      <c r="V43" s="12"/>
      <c r="W43" s="12"/>
    </row>
    <row r="44" spans="1:23" ht="11.25" customHeight="1" x14ac:dyDescent="0.25">
      <c r="A44" s="116"/>
      <c r="B44" s="116"/>
      <c r="C44" s="116"/>
      <c r="D44" s="116"/>
      <c r="E44" s="116"/>
      <c r="F44" s="116"/>
      <c r="G44" s="12" t="s">
        <v>73</v>
      </c>
      <c r="H44" s="12" t="s">
        <v>71</v>
      </c>
      <c r="I44" s="12">
        <f>SUMIF(Mercado_Receita!$S$2:$S$469,"44287B3BrancaNão se aplicaNão se aplicaNão se aplicaNão se aplicaFora ponta",Mercado_Receita!$L$2:$L$469)</f>
        <v>0</v>
      </c>
      <c r="J44" s="12">
        <f>SUMIF(Mercado_Receita!$S$2:$S$469,"44317B3BrancaNão se aplicaNão se aplicaNão se aplicaNão se aplicaFora ponta",Mercado_Receita!$L$2:$L$469)</f>
        <v>0</v>
      </c>
      <c r="K44" s="12">
        <f>SUMIF(Mercado_Receita!$S$2:$S$469,"44348B3BrancaNão se aplicaNão se aplicaNão se aplicaNão se aplicaFora ponta",Mercado_Receita!$L$2:$L$469)</f>
        <v>0</v>
      </c>
      <c r="L44" s="12">
        <f>SUMIF(Mercado_Receita!$S$2:$S$469,"44378B3BrancaNão se aplicaNão se aplicaNão se aplicaNão se aplicaFora ponta",Mercado_Receita!$L$2:$L$469)</f>
        <v>0</v>
      </c>
      <c r="M44" s="12">
        <f>SUMIF(Mercado_Receita!$S$2:$S$469,"44409B3BrancaNão se aplicaNão se aplicaNão se aplicaNão se aplicaFora ponta",Mercado_Receita!$L$2:$L$469)</f>
        <v>0</v>
      </c>
      <c r="N44" s="12">
        <f>SUMIF(Mercado_Receita!$S$2:$S$469,"44440B3BrancaNão se aplicaNão se aplicaNão se aplicaNão se aplicaFora ponta",Mercado_Receita!$L$2:$L$469)</f>
        <v>0</v>
      </c>
      <c r="O44" s="12">
        <f>SUMIF(Mercado_Receita!$S$2:$S$469,"44470B3BrancaNão se aplicaNão se aplicaNão se aplicaNão se aplicaFora ponta",Mercado_Receita!$L$2:$L$469)</f>
        <v>0</v>
      </c>
      <c r="P44" s="12">
        <f>SUMIF(Mercado_Receita!$S$2:$S$469,"44501B3BrancaNão se aplicaNão se aplicaNão se aplicaNão se aplicaFora ponta",Mercado_Receita!$L$2:$L$469)</f>
        <v>0</v>
      </c>
      <c r="Q44" s="12">
        <f>SUMIF(Mercado_Receita!$S$2:$S$469,"44531B3BrancaNão se aplicaNão se aplicaNão se aplicaNão se aplicaFora ponta",Mercado_Receita!$L$2:$L$469)</f>
        <v>0</v>
      </c>
      <c r="R44" s="12">
        <f>SUMIF(Mercado_Receita!$S$2:$S$469,"44562B3BrancaNão se aplicaNão se aplicaNão se aplicaNão se aplicaFora ponta",Mercado_Receita!$L$2:$L$469)</f>
        <v>0</v>
      </c>
      <c r="S44" s="12">
        <f>SUMIF(Mercado_Receita!$S$2:$S$469,"44593B3BrancaNão se aplicaNão se aplicaNão se aplicaNão se aplicaFora ponta",Mercado_Receita!$L$2:$L$469)</f>
        <v>0</v>
      </c>
      <c r="T44" s="12">
        <f>SUMIF(Mercado_Receita!$S$2:$S$469,"44621B3BrancaNão se aplicaNão se aplicaNão se aplicaNão se aplicaFora ponta",Mercado_Receita!$L$2:$L$469)</f>
        <v>0</v>
      </c>
      <c r="U44" s="12">
        <f t="shared" si="0"/>
        <v>0</v>
      </c>
      <c r="V44" s="12"/>
      <c r="W44" s="12"/>
    </row>
    <row r="45" spans="1:23" ht="11.25" customHeight="1" x14ac:dyDescent="0.25">
      <c r="A45" s="116"/>
      <c r="B45" s="13" t="s">
        <v>23</v>
      </c>
      <c r="C45" s="13" t="s">
        <v>25</v>
      </c>
      <c r="D45" s="13" t="s">
        <v>25</v>
      </c>
      <c r="E45" s="13" t="s">
        <v>25</v>
      </c>
      <c r="F45" s="13" t="s">
        <v>25</v>
      </c>
      <c r="G45" s="12" t="s">
        <v>75</v>
      </c>
      <c r="H45" s="12" t="s">
        <v>71</v>
      </c>
      <c r="I45" s="12">
        <f>SUMIF(Mercado_Receita!$S$2:$S$469,"44287B3ConvencionalNão se aplicaNão se aplicaNão se aplicaNão se aplicaPonta",Mercado_Receita!$L$2:$L$469)+SUMIF(Mercado_Receita!$S$2:$S$469,"44287B3ConvencionalNão se aplicaNão se aplicaNão se aplicaNão se aplicaFora ponta",Mercado_Receita!$L$2:$L$469)+SUMIF(Mercado_Receita!$S$2:$S$469,"44287B3ConvencionalNão se aplicaNão se aplicaNão se aplicaNão se aplicaIntermediário",Mercado_Receita!$L$2:$L$469)+SUMIF(Mercado_Receita!$S$2:$S$469,"44287B3ConvencionalNão se aplicaNão se aplicaNão se aplicaNão se aplicaNão se aplica",Mercado_Receita!$L$2:$L$469)</f>
        <v>396.68300000000005</v>
      </c>
      <c r="J45" s="12">
        <f>SUMIF(Mercado_Receita!$S$2:$S$469,"44317B3ConvencionalNão se aplicaNão se aplicaNão se aplicaNão se aplicaPonta",Mercado_Receita!$L$2:$L$469)+SUMIF(Mercado_Receita!$S$2:$S$469,"44317B3ConvencionalNão se aplicaNão se aplicaNão se aplicaNão se aplicaFora ponta",Mercado_Receita!$L$2:$L$469)+SUMIF(Mercado_Receita!$S$2:$S$469,"44317B3ConvencionalNão se aplicaNão se aplicaNão se aplicaNão se aplicaIntermediário",Mercado_Receita!$L$2:$L$469)+SUMIF(Mercado_Receita!$S$2:$S$469,"44317B3ConvencionalNão se aplicaNão se aplicaNão se aplicaNão se aplicaNão se aplica",Mercado_Receita!$L$2:$L$469)</f>
        <v>360.99299999999999</v>
      </c>
      <c r="K45" s="12">
        <f>SUMIF(Mercado_Receita!$S$2:$S$469,"44348B3ConvencionalNão se aplicaNão se aplicaNão se aplicaNão se aplicaPonta",Mercado_Receita!$L$2:$L$469)+SUMIF(Mercado_Receita!$S$2:$S$469,"44348B3ConvencionalNão se aplicaNão se aplicaNão se aplicaNão se aplicaFora ponta",Mercado_Receita!$L$2:$L$469)+SUMIF(Mercado_Receita!$S$2:$S$469,"44348B3ConvencionalNão se aplicaNão se aplicaNão se aplicaNão se aplicaIntermediário",Mercado_Receita!$L$2:$L$469)+SUMIF(Mercado_Receita!$S$2:$S$469,"44348B3ConvencionalNão se aplicaNão se aplicaNão se aplicaNão se aplicaNão se aplica",Mercado_Receita!$L$2:$L$469)</f>
        <v>361.952</v>
      </c>
      <c r="L45" s="12">
        <f>SUMIF(Mercado_Receita!$S$2:$S$469,"44378B3ConvencionalNão se aplicaNão se aplicaNão se aplicaNão se aplicaPonta",Mercado_Receita!$L$2:$L$469)+SUMIF(Mercado_Receita!$S$2:$S$469,"44378B3ConvencionalNão se aplicaNão se aplicaNão se aplicaNão se aplicaFora ponta",Mercado_Receita!$L$2:$L$469)+SUMIF(Mercado_Receita!$S$2:$S$469,"44378B3ConvencionalNão se aplicaNão se aplicaNão se aplicaNão se aplicaIntermediário",Mercado_Receita!$L$2:$L$469)+SUMIF(Mercado_Receita!$S$2:$S$469,"44378B3ConvencionalNão se aplicaNão se aplicaNão se aplicaNão se aplicaNão se aplica",Mercado_Receita!$L$2:$L$469)</f>
        <v>332.18400000000003</v>
      </c>
      <c r="M45" s="12">
        <f>SUMIF(Mercado_Receita!$S$2:$S$469,"44409B3ConvencionalNão se aplicaNão se aplicaNão se aplicaNão se aplicaPonta",Mercado_Receita!$L$2:$L$469)+SUMIF(Mercado_Receita!$S$2:$S$469,"44409B3ConvencionalNão se aplicaNão se aplicaNão se aplicaNão se aplicaFora ponta",Mercado_Receita!$L$2:$L$469)+SUMIF(Mercado_Receita!$S$2:$S$469,"44409B3ConvencionalNão se aplicaNão se aplicaNão se aplicaNão se aplicaIntermediário",Mercado_Receita!$L$2:$L$469)+SUMIF(Mercado_Receita!$S$2:$S$469,"44409B3ConvencionalNão se aplicaNão se aplicaNão se aplicaNão se aplicaNão se aplica",Mercado_Receita!$L$2:$L$469)</f>
        <v>345.24299999999999</v>
      </c>
      <c r="N45" s="12">
        <f>SUMIF(Mercado_Receita!$S$2:$S$469,"44440B3ConvencionalNão se aplicaNão se aplicaNão se aplicaNão se aplicaPonta",Mercado_Receita!$L$2:$L$469)+SUMIF(Mercado_Receita!$S$2:$S$469,"44440B3ConvencionalNão se aplicaNão se aplicaNão se aplicaNão se aplicaFora ponta",Mercado_Receita!$L$2:$L$469)+SUMIF(Mercado_Receita!$S$2:$S$469,"44440B3ConvencionalNão se aplicaNão se aplicaNão se aplicaNão se aplicaIntermediário",Mercado_Receita!$L$2:$L$469)+SUMIF(Mercado_Receita!$S$2:$S$469,"44440B3ConvencionalNão se aplicaNão se aplicaNão se aplicaNão se aplicaNão se aplica",Mercado_Receita!$L$2:$L$469)</f>
        <v>386.4550000000001</v>
      </c>
      <c r="O45" s="12">
        <f>SUMIF(Mercado_Receita!$S$2:$S$469,"44470B3ConvencionalNão se aplicaNão se aplicaNão se aplicaNão se aplicaPonta",Mercado_Receita!$L$2:$L$469)+SUMIF(Mercado_Receita!$S$2:$S$469,"44470B3ConvencionalNão se aplicaNão se aplicaNão se aplicaNão se aplicaFora ponta",Mercado_Receita!$L$2:$L$469)+SUMIF(Mercado_Receita!$S$2:$S$469,"44470B3ConvencionalNão se aplicaNão se aplicaNão se aplicaNão se aplicaIntermediário",Mercado_Receita!$L$2:$L$469)+SUMIF(Mercado_Receita!$S$2:$S$469,"44470B3ConvencionalNão se aplicaNão se aplicaNão se aplicaNão se aplicaNão se aplica",Mercado_Receita!$L$2:$L$469)</f>
        <v>373.14600000000007</v>
      </c>
      <c r="P45" s="12">
        <f>SUMIF(Mercado_Receita!$S$2:$S$469,"44501B3ConvencionalNão se aplicaNão se aplicaNão se aplicaNão se aplicaPonta",Mercado_Receita!$L$2:$L$469)+SUMIF(Mercado_Receita!$S$2:$S$469,"44501B3ConvencionalNão se aplicaNão se aplicaNão se aplicaNão se aplicaFora ponta",Mercado_Receita!$L$2:$L$469)+SUMIF(Mercado_Receita!$S$2:$S$469,"44501B3ConvencionalNão se aplicaNão se aplicaNão se aplicaNão se aplicaIntermediário",Mercado_Receita!$L$2:$L$469)+SUMIF(Mercado_Receita!$S$2:$S$469,"44501B3ConvencionalNão se aplicaNão se aplicaNão se aplicaNão se aplicaNão se aplica",Mercado_Receita!$L$2:$L$469)</f>
        <v>375.62400000000002</v>
      </c>
      <c r="Q45" s="12">
        <f>SUMIF(Mercado_Receita!$S$2:$S$469,"44531B3ConvencionalNão se aplicaNão se aplicaNão se aplicaNão se aplicaPonta",Mercado_Receita!$L$2:$L$469)+SUMIF(Mercado_Receita!$S$2:$S$469,"44531B3ConvencionalNão se aplicaNão se aplicaNão se aplicaNão se aplicaFora ponta",Mercado_Receita!$L$2:$L$469)+SUMIF(Mercado_Receita!$S$2:$S$469,"44531B3ConvencionalNão se aplicaNão se aplicaNão se aplicaNão se aplicaIntermediário",Mercado_Receita!$L$2:$L$469)+SUMIF(Mercado_Receita!$S$2:$S$469,"44531B3ConvencionalNão se aplicaNão se aplicaNão se aplicaNão se aplicaNão se aplica",Mercado_Receita!$L$2:$L$469)</f>
        <v>393.899</v>
      </c>
      <c r="R45" s="12">
        <f>SUMIF(Mercado_Receita!$S$2:$S$469,"44562B3ConvencionalNão se aplicaNão se aplicaNão se aplicaNão se aplicaPonta",Mercado_Receita!$L$2:$L$469)+SUMIF(Mercado_Receita!$S$2:$S$469,"44562B3ConvencionalNão se aplicaNão se aplicaNão se aplicaNão se aplicaFora ponta",Mercado_Receita!$L$2:$L$469)+SUMIF(Mercado_Receita!$S$2:$S$469,"44562B3ConvencionalNão se aplicaNão se aplicaNão se aplicaNão se aplicaIntermediário",Mercado_Receita!$L$2:$L$469)+SUMIF(Mercado_Receita!$S$2:$S$469,"44562B3ConvencionalNão se aplicaNão se aplicaNão se aplicaNão se aplicaNão se aplica",Mercado_Receita!$L$2:$L$469)</f>
        <v>402.57600000000002</v>
      </c>
      <c r="S45" s="12">
        <f>SUMIF(Mercado_Receita!$S$2:$S$469,"44593B3ConvencionalNão se aplicaNão se aplicaNão se aplicaNão se aplicaPonta",Mercado_Receita!$L$2:$L$469)+SUMIF(Mercado_Receita!$S$2:$S$469,"44593B3ConvencionalNão se aplicaNão se aplicaNão se aplicaNão se aplicaFora ponta",Mercado_Receita!$L$2:$L$469)+SUMIF(Mercado_Receita!$S$2:$S$469,"44593B3ConvencionalNão se aplicaNão se aplicaNão se aplicaNão se aplicaIntermediário",Mercado_Receita!$L$2:$L$469)+SUMIF(Mercado_Receita!$S$2:$S$469,"44593B3ConvencionalNão se aplicaNão se aplicaNão se aplicaNão se aplicaNão se aplica",Mercado_Receita!$L$2:$L$469)</f>
        <v>445.31299999999999</v>
      </c>
      <c r="T45" s="12">
        <f>SUMIF(Mercado_Receita!$S$2:$S$469,"44621B3ConvencionalNão se aplicaNão se aplicaNão se aplicaNão se aplicaPonta",Mercado_Receita!$L$2:$L$469)+SUMIF(Mercado_Receita!$S$2:$S$469,"44621B3ConvencionalNão se aplicaNão se aplicaNão se aplicaNão se aplicaFora ponta",Mercado_Receita!$L$2:$L$469)+SUMIF(Mercado_Receita!$S$2:$S$469,"44621B3ConvencionalNão se aplicaNão se aplicaNão se aplicaNão se aplicaIntermediário",Mercado_Receita!$L$2:$L$469)+SUMIF(Mercado_Receita!$S$2:$S$469,"44621B3ConvencionalNão se aplicaNão se aplicaNão se aplicaNão se aplicaNão se aplica",Mercado_Receita!$L$2:$L$469)</f>
        <v>448.19599999999991</v>
      </c>
      <c r="U45" s="12">
        <f t="shared" si="0"/>
        <v>4622.2640000000001</v>
      </c>
      <c r="V45" s="12"/>
      <c r="W45" s="12"/>
    </row>
    <row r="46" spans="1:23" ht="11.25" customHeight="1" x14ac:dyDescent="0.25">
      <c r="A46" s="116"/>
      <c r="B46" s="13" t="s">
        <v>86</v>
      </c>
      <c r="C46" s="13" t="s">
        <v>25</v>
      </c>
      <c r="D46" s="13" t="s">
        <v>25</v>
      </c>
      <c r="E46" s="13" t="s">
        <v>25</v>
      </c>
      <c r="F46" s="13" t="s">
        <v>25</v>
      </c>
      <c r="G46" s="12" t="s">
        <v>75</v>
      </c>
      <c r="H46" s="12" t="s">
        <v>71</v>
      </c>
      <c r="I46" s="12">
        <f>SUMIF(Mercado_Receita!$S$2:$S$469,"44287B3Convencional pré-pagamentoNão se aplicaNão se aplicaNão se aplicaNão se aplicaPonta",Mercado_Receita!$L$2:$L$469)+SUMIF(Mercado_Receita!$S$2:$S$469,"44287B3Convencional pré-pagamentoNão se aplicaNão se aplicaNão se aplicaNão se aplicaFora ponta",Mercado_Receita!$L$2:$L$469)+SUMIF(Mercado_Receita!$S$2:$S$469,"44287B3Convencional pré-pagamentoNão se aplicaNão se aplicaNão se aplicaNão se aplicaIntermediário",Mercado_Receita!$L$2:$L$469)+SUMIF(Mercado_Receita!$S$2:$S$469,"44287B3Convencional pré-pagamentoNão se aplicaNão se aplicaNão se aplicaNão se aplicaNão se aplica",Mercado_Receita!$L$2:$L$469)</f>
        <v>0</v>
      </c>
      <c r="J46" s="12">
        <f>SUMIF(Mercado_Receita!$S$2:$S$469,"44317B3Convencional pré-pagamentoNão se aplicaNão se aplicaNão se aplicaNão se aplicaPonta",Mercado_Receita!$L$2:$L$469)+SUMIF(Mercado_Receita!$S$2:$S$469,"44317B3Convencional pré-pagamentoNão se aplicaNão se aplicaNão se aplicaNão se aplicaFora ponta",Mercado_Receita!$L$2:$L$469)+SUMIF(Mercado_Receita!$S$2:$S$469,"44317B3Convencional pré-pagamentoNão se aplicaNão se aplicaNão se aplicaNão se aplicaIntermediário",Mercado_Receita!$L$2:$L$469)+SUMIF(Mercado_Receita!$S$2:$S$469,"44317B3Convencional pré-pagamentoNão se aplicaNão se aplicaNão se aplicaNão se aplicaNão se aplica",Mercado_Receita!$L$2:$L$469)</f>
        <v>0</v>
      </c>
      <c r="K46" s="12">
        <f>SUMIF(Mercado_Receita!$S$2:$S$469,"44348B3Convencional pré-pagamentoNão se aplicaNão se aplicaNão se aplicaNão se aplicaPonta",Mercado_Receita!$L$2:$L$469)+SUMIF(Mercado_Receita!$S$2:$S$469,"44348B3Convencional pré-pagamentoNão se aplicaNão se aplicaNão se aplicaNão se aplicaFora ponta",Mercado_Receita!$L$2:$L$469)+SUMIF(Mercado_Receita!$S$2:$S$469,"44348B3Convencional pré-pagamentoNão se aplicaNão se aplicaNão se aplicaNão se aplicaIntermediário",Mercado_Receita!$L$2:$L$469)+SUMIF(Mercado_Receita!$S$2:$S$469,"44348B3Convencional pré-pagamentoNão se aplicaNão se aplicaNão se aplicaNão se aplicaNão se aplica",Mercado_Receita!$L$2:$L$469)</f>
        <v>0</v>
      </c>
      <c r="L46" s="12">
        <f>SUMIF(Mercado_Receita!$S$2:$S$469,"44378B3Convencional pré-pagamentoNão se aplicaNão se aplicaNão se aplicaNão se aplicaPonta",Mercado_Receita!$L$2:$L$469)+SUMIF(Mercado_Receita!$S$2:$S$469,"44378B3Convencional pré-pagamentoNão se aplicaNão se aplicaNão se aplicaNão se aplicaFora ponta",Mercado_Receita!$L$2:$L$469)+SUMIF(Mercado_Receita!$S$2:$S$469,"44378B3Convencional pré-pagamentoNão se aplicaNão se aplicaNão se aplicaNão se aplicaIntermediário",Mercado_Receita!$L$2:$L$469)+SUMIF(Mercado_Receita!$S$2:$S$469,"44378B3Convencional pré-pagamentoNão se aplicaNão se aplicaNão se aplicaNão se aplicaNão se aplica",Mercado_Receita!$L$2:$L$469)</f>
        <v>0</v>
      </c>
      <c r="M46" s="12">
        <f>SUMIF(Mercado_Receita!$S$2:$S$469,"44409B3Convencional pré-pagamentoNão se aplicaNão se aplicaNão se aplicaNão se aplicaPonta",Mercado_Receita!$L$2:$L$469)+SUMIF(Mercado_Receita!$S$2:$S$469,"44409B3Convencional pré-pagamentoNão se aplicaNão se aplicaNão se aplicaNão se aplicaFora ponta",Mercado_Receita!$L$2:$L$469)+SUMIF(Mercado_Receita!$S$2:$S$469,"44409B3Convencional pré-pagamentoNão se aplicaNão se aplicaNão se aplicaNão se aplicaIntermediário",Mercado_Receita!$L$2:$L$469)+SUMIF(Mercado_Receita!$S$2:$S$469,"44409B3Convencional pré-pagamentoNão se aplicaNão se aplicaNão se aplicaNão se aplicaNão se aplica",Mercado_Receita!$L$2:$L$469)</f>
        <v>0</v>
      </c>
      <c r="N46" s="12">
        <f>SUMIF(Mercado_Receita!$S$2:$S$469,"44440B3Convencional pré-pagamentoNão se aplicaNão se aplicaNão se aplicaNão se aplicaPonta",Mercado_Receita!$L$2:$L$469)+SUMIF(Mercado_Receita!$S$2:$S$469,"44440B3Convencional pré-pagamentoNão se aplicaNão se aplicaNão se aplicaNão se aplicaFora ponta",Mercado_Receita!$L$2:$L$469)+SUMIF(Mercado_Receita!$S$2:$S$469,"44440B3Convencional pré-pagamentoNão se aplicaNão se aplicaNão se aplicaNão se aplicaIntermediário",Mercado_Receita!$L$2:$L$469)+SUMIF(Mercado_Receita!$S$2:$S$469,"44440B3Convencional pré-pagamentoNão se aplicaNão se aplicaNão se aplicaNão se aplicaNão se aplica",Mercado_Receita!$L$2:$L$469)</f>
        <v>0</v>
      </c>
      <c r="O46" s="12">
        <f>SUMIF(Mercado_Receita!$S$2:$S$469,"44470B3Convencional pré-pagamentoNão se aplicaNão se aplicaNão se aplicaNão se aplicaPonta",Mercado_Receita!$L$2:$L$469)+SUMIF(Mercado_Receita!$S$2:$S$469,"44470B3Convencional pré-pagamentoNão se aplicaNão se aplicaNão se aplicaNão se aplicaFora ponta",Mercado_Receita!$L$2:$L$469)+SUMIF(Mercado_Receita!$S$2:$S$469,"44470B3Convencional pré-pagamentoNão se aplicaNão se aplicaNão se aplicaNão se aplicaIntermediário",Mercado_Receita!$L$2:$L$469)+SUMIF(Mercado_Receita!$S$2:$S$469,"44470B3Convencional pré-pagamentoNão se aplicaNão se aplicaNão se aplicaNão se aplicaNão se aplica",Mercado_Receita!$L$2:$L$469)</f>
        <v>0</v>
      </c>
      <c r="P46" s="12">
        <f>SUMIF(Mercado_Receita!$S$2:$S$469,"44501B3Convencional pré-pagamentoNão se aplicaNão se aplicaNão se aplicaNão se aplicaPonta",Mercado_Receita!$L$2:$L$469)+SUMIF(Mercado_Receita!$S$2:$S$469,"44501B3Convencional pré-pagamentoNão se aplicaNão se aplicaNão se aplicaNão se aplicaFora ponta",Mercado_Receita!$L$2:$L$469)+SUMIF(Mercado_Receita!$S$2:$S$469,"44501B3Convencional pré-pagamentoNão se aplicaNão se aplicaNão se aplicaNão se aplicaIntermediário",Mercado_Receita!$L$2:$L$469)+SUMIF(Mercado_Receita!$S$2:$S$469,"44501B3Convencional pré-pagamentoNão se aplicaNão se aplicaNão se aplicaNão se aplicaNão se aplica",Mercado_Receita!$L$2:$L$469)</f>
        <v>0</v>
      </c>
      <c r="Q46" s="12">
        <f>SUMIF(Mercado_Receita!$S$2:$S$469,"44531B3Convencional pré-pagamentoNão se aplicaNão se aplicaNão se aplicaNão se aplicaPonta",Mercado_Receita!$L$2:$L$469)+SUMIF(Mercado_Receita!$S$2:$S$469,"44531B3Convencional pré-pagamentoNão se aplicaNão se aplicaNão se aplicaNão se aplicaFora ponta",Mercado_Receita!$L$2:$L$469)+SUMIF(Mercado_Receita!$S$2:$S$469,"44531B3Convencional pré-pagamentoNão se aplicaNão se aplicaNão se aplicaNão se aplicaIntermediário",Mercado_Receita!$L$2:$L$469)+SUMIF(Mercado_Receita!$S$2:$S$469,"44531B3Convencional pré-pagamentoNão se aplicaNão se aplicaNão se aplicaNão se aplicaNão se aplica",Mercado_Receita!$L$2:$L$469)</f>
        <v>0</v>
      </c>
      <c r="R46" s="12">
        <f>SUMIF(Mercado_Receita!$S$2:$S$469,"44562B3Convencional pré-pagamentoNão se aplicaNão se aplicaNão se aplicaNão se aplicaPonta",Mercado_Receita!$L$2:$L$469)+SUMIF(Mercado_Receita!$S$2:$S$469,"44562B3Convencional pré-pagamentoNão se aplicaNão se aplicaNão se aplicaNão se aplicaFora ponta",Mercado_Receita!$L$2:$L$469)+SUMIF(Mercado_Receita!$S$2:$S$469,"44562B3Convencional pré-pagamentoNão se aplicaNão se aplicaNão se aplicaNão se aplicaIntermediário",Mercado_Receita!$L$2:$L$469)+SUMIF(Mercado_Receita!$S$2:$S$469,"44562B3Convencional pré-pagamentoNão se aplicaNão se aplicaNão se aplicaNão se aplicaNão se aplica",Mercado_Receita!$L$2:$L$469)</f>
        <v>0</v>
      </c>
      <c r="S46" s="12">
        <f>SUMIF(Mercado_Receita!$S$2:$S$469,"44593B3Convencional pré-pagamentoNão se aplicaNão se aplicaNão se aplicaNão se aplicaPonta",Mercado_Receita!$L$2:$L$469)+SUMIF(Mercado_Receita!$S$2:$S$469,"44593B3Convencional pré-pagamentoNão se aplicaNão se aplicaNão se aplicaNão se aplicaFora ponta",Mercado_Receita!$L$2:$L$469)+SUMIF(Mercado_Receita!$S$2:$S$469,"44593B3Convencional pré-pagamentoNão se aplicaNão se aplicaNão se aplicaNão se aplicaIntermediário",Mercado_Receita!$L$2:$L$469)+SUMIF(Mercado_Receita!$S$2:$S$469,"44593B3Convencional pré-pagamentoNão se aplicaNão se aplicaNão se aplicaNão se aplicaNão se aplica",Mercado_Receita!$L$2:$L$469)</f>
        <v>0</v>
      </c>
      <c r="T46" s="12">
        <f>SUMIF(Mercado_Receita!$S$2:$S$469,"44621B3Convencional pré-pagamentoNão se aplicaNão se aplicaNão se aplicaNão se aplicaPonta",Mercado_Receita!$L$2:$L$469)+SUMIF(Mercado_Receita!$S$2:$S$469,"44621B3Convencional pré-pagamentoNão se aplicaNão se aplicaNão se aplicaNão se aplicaFora ponta",Mercado_Receita!$L$2:$L$469)+SUMIF(Mercado_Receita!$S$2:$S$469,"44621B3Convencional pré-pagamentoNão se aplicaNão se aplicaNão se aplicaNão se aplicaIntermediário",Mercado_Receita!$L$2:$L$469)+SUMIF(Mercado_Receita!$S$2:$S$469,"44621B3Convencional pré-pagamentoNão se aplicaNão se aplicaNão se aplicaNão se aplicaNão se aplica",Mercado_Receita!$L$2:$L$469)</f>
        <v>0</v>
      </c>
      <c r="U46" s="12">
        <f t="shared" si="0"/>
        <v>0</v>
      </c>
      <c r="V46" s="12"/>
      <c r="W46" s="12"/>
    </row>
    <row r="47" spans="1:23" ht="11.25" customHeight="1" x14ac:dyDescent="0.25">
      <c r="A47" s="115" t="s">
        <v>46</v>
      </c>
      <c r="B47" s="115" t="s">
        <v>23</v>
      </c>
      <c r="C47" s="115" t="s">
        <v>47</v>
      </c>
      <c r="D47" s="13" t="s">
        <v>48</v>
      </c>
      <c r="E47" s="13" t="s">
        <v>25</v>
      </c>
      <c r="F47" s="13" t="s">
        <v>25</v>
      </c>
      <c r="G47" s="12" t="s">
        <v>75</v>
      </c>
      <c r="H47" s="12" t="s">
        <v>71</v>
      </c>
      <c r="I47" s="12">
        <f>SUMIF(Mercado_Receita!$S$2:$S$469,"44287B4ConvencionalIluminação públicaIluminação pública – B4aNão se aplicaNão se aplicaPonta",Mercado_Receita!$L$2:$L$469)+SUMIF(Mercado_Receita!$S$2:$S$469,"44287B4ConvencionalIluminação públicaIluminação pública – B4aNão se aplicaNão se aplicaFora ponta",Mercado_Receita!$L$2:$L$469)+SUMIF(Mercado_Receita!$S$2:$S$469,"44287B4ConvencionalIluminação públicaIluminação pública – B4aNão se aplicaNão se aplicaIntermediário",Mercado_Receita!$L$2:$L$469)+SUMIF(Mercado_Receita!$S$2:$S$469,"44287B4ConvencionalIluminação públicaIluminação pública – B4aNão se aplicaNão se aplicaNão se aplica",Mercado_Receita!$L$2:$L$469)</f>
        <v>274.584</v>
      </c>
      <c r="J47" s="12">
        <f>SUMIF(Mercado_Receita!$S$2:$S$469,"44317B4ConvencionalIluminação públicaIluminação pública – B4aNão se aplicaNão se aplicaPonta",Mercado_Receita!$L$2:$L$469)+SUMIF(Mercado_Receita!$S$2:$S$469,"44317B4ConvencionalIluminação públicaIluminação pública – B4aNão se aplicaNão se aplicaFora ponta",Mercado_Receita!$L$2:$L$469)+SUMIF(Mercado_Receita!$S$2:$S$469,"44317B4ConvencionalIluminação públicaIluminação pública – B4aNão se aplicaNão se aplicaIntermediário",Mercado_Receita!$L$2:$L$469)+SUMIF(Mercado_Receita!$S$2:$S$469,"44317B4ConvencionalIluminação públicaIluminação pública – B4aNão se aplicaNão se aplicaNão se aplica",Mercado_Receita!$L$2:$L$469)</f>
        <v>283.738</v>
      </c>
      <c r="K47" s="12">
        <f>SUMIF(Mercado_Receita!$S$2:$S$469,"44348B4ConvencionalIluminação públicaIluminação pública – B4aNão se aplicaNão se aplicaPonta",Mercado_Receita!$L$2:$L$469)+SUMIF(Mercado_Receita!$S$2:$S$469,"44348B4ConvencionalIluminação públicaIluminação pública – B4aNão se aplicaNão se aplicaFora ponta",Mercado_Receita!$L$2:$L$469)+SUMIF(Mercado_Receita!$S$2:$S$469,"44348B4ConvencionalIluminação públicaIluminação pública – B4aNão se aplicaNão se aplicaIntermediário",Mercado_Receita!$L$2:$L$469)+SUMIF(Mercado_Receita!$S$2:$S$469,"44348B4ConvencionalIluminação públicaIluminação pública – B4aNão se aplicaNão se aplicaNão se aplica",Mercado_Receita!$L$2:$L$469)</f>
        <v>274.584</v>
      </c>
      <c r="L47" s="12">
        <f>SUMIF(Mercado_Receita!$S$2:$S$469,"44378B4ConvencionalIluminação públicaIluminação pública – B4aNão se aplicaNão se aplicaPonta",Mercado_Receita!$L$2:$L$469)+SUMIF(Mercado_Receita!$S$2:$S$469,"44378B4ConvencionalIluminação públicaIluminação pública – B4aNão se aplicaNão se aplicaFora ponta",Mercado_Receita!$L$2:$L$469)+SUMIF(Mercado_Receita!$S$2:$S$469,"44378B4ConvencionalIluminação públicaIluminação pública – B4aNão se aplicaNão se aplicaIntermediário",Mercado_Receita!$L$2:$L$469)+SUMIF(Mercado_Receita!$S$2:$S$469,"44378B4ConvencionalIluminação públicaIluminação pública – B4aNão se aplicaNão se aplicaNão se aplica",Mercado_Receita!$L$2:$L$469)</f>
        <v>283.738</v>
      </c>
      <c r="M47" s="12">
        <f>SUMIF(Mercado_Receita!$S$2:$S$469,"44409B4ConvencionalIluminação públicaIluminação pública – B4aNão se aplicaNão se aplicaPonta",Mercado_Receita!$L$2:$L$469)+SUMIF(Mercado_Receita!$S$2:$S$469,"44409B4ConvencionalIluminação públicaIluminação pública – B4aNão se aplicaNão se aplicaFora ponta",Mercado_Receita!$L$2:$L$469)+SUMIF(Mercado_Receita!$S$2:$S$469,"44409B4ConvencionalIluminação públicaIluminação pública – B4aNão se aplicaNão se aplicaIntermediário",Mercado_Receita!$L$2:$L$469)+SUMIF(Mercado_Receita!$S$2:$S$469,"44409B4ConvencionalIluminação públicaIluminação pública – B4aNão se aplicaNão se aplicaNão se aplica",Mercado_Receita!$L$2:$L$469)</f>
        <v>283.738</v>
      </c>
      <c r="N47" s="12">
        <f>SUMIF(Mercado_Receita!$S$2:$S$469,"44440B4ConvencionalIluminação públicaIluminação pública – B4aNão se aplicaNão se aplicaPonta",Mercado_Receita!$L$2:$L$469)+SUMIF(Mercado_Receita!$S$2:$S$469,"44440B4ConvencionalIluminação públicaIluminação pública – B4aNão se aplicaNão se aplicaFora ponta",Mercado_Receita!$L$2:$L$469)+SUMIF(Mercado_Receita!$S$2:$S$469,"44440B4ConvencionalIluminação públicaIluminação pública – B4aNão se aplicaNão se aplicaIntermediário",Mercado_Receita!$L$2:$L$469)+SUMIF(Mercado_Receita!$S$2:$S$469,"44440B4ConvencionalIluminação públicaIluminação pública – B4aNão se aplicaNão se aplicaNão se aplica",Mercado_Receita!$L$2:$L$469)</f>
        <v>274.584</v>
      </c>
      <c r="O47" s="12">
        <f>SUMIF(Mercado_Receita!$S$2:$S$469,"44470B4ConvencionalIluminação públicaIluminação pública – B4aNão se aplicaNão se aplicaPonta",Mercado_Receita!$L$2:$L$469)+SUMIF(Mercado_Receita!$S$2:$S$469,"44470B4ConvencionalIluminação públicaIluminação pública – B4aNão se aplicaNão se aplicaFora ponta",Mercado_Receita!$L$2:$L$469)+SUMIF(Mercado_Receita!$S$2:$S$469,"44470B4ConvencionalIluminação públicaIluminação pública – B4aNão se aplicaNão se aplicaIntermediário",Mercado_Receita!$L$2:$L$469)+SUMIF(Mercado_Receita!$S$2:$S$469,"44470B4ConvencionalIluminação públicaIluminação pública – B4aNão se aplicaNão se aplicaNão se aplica",Mercado_Receita!$L$2:$L$469)</f>
        <v>290.12400000000002</v>
      </c>
      <c r="P47" s="12">
        <f>SUMIF(Mercado_Receita!$S$2:$S$469,"44501B4ConvencionalIluminação públicaIluminação pública – B4aNão se aplicaNão se aplicaPonta",Mercado_Receita!$L$2:$L$469)+SUMIF(Mercado_Receita!$S$2:$S$469,"44501B4ConvencionalIluminação públicaIluminação pública – B4aNão se aplicaNão se aplicaFora ponta",Mercado_Receita!$L$2:$L$469)+SUMIF(Mercado_Receita!$S$2:$S$469,"44501B4ConvencionalIluminação públicaIluminação pública – B4aNão se aplicaNão se aplicaIntermediário",Mercado_Receita!$L$2:$L$469)+SUMIF(Mercado_Receita!$S$2:$S$469,"44501B4ConvencionalIluminação públicaIluminação pública – B4aNão se aplicaNão se aplicaNão se aplica",Mercado_Receita!$L$2:$L$469)</f>
        <v>274.584</v>
      </c>
      <c r="Q47" s="12">
        <f>SUMIF(Mercado_Receita!$S$2:$S$469,"44531B4ConvencionalIluminação públicaIluminação pública – B4aNão se aplicaNão se aplicaPonta",Mercado_Receita!$L$2:$L$469)+SUMIF(Mercado_Receita!$S$2:$S$469,"44531B4ConvencionalIluminação públicaIluminação pública – B4aNão se aplicaNão se aplicaFora ponta",Mercado_Receita!$L$2:$L$469)+SUMIF(Mercado_Receita!$S$2:$S$469,"44531B4ConvencionalIluminação públicaIluminação pública – B4aNão se aplicaNão se aplicaIntermediário",Mercado_Receita!$L$2:$L$469)+SUMIF(Mercado_Receita!$S$2:$S$469,"44531B4ConvencionalIluminação públicaIluminação pública – B4aNão se aplicaNão se aplicaNão se aplica",Mercado_Receita!$L$2:$L$469)</f>
        <v>283.738</v>
      </c>
      <c r="R47" s="12">
        <f>SUMIF(Mercado_Receita!$S$2:$S$469,"44562B4ConvencionalIluminação públicaIluminação pública – B4aNão se aplicaNão se aplicaPonta",Mercado_Receita!$L$2:$L$469)+SUMIF(Mercado_Receita!$S$2:$S$469,"44562B4ConvencionalIluminação públicaIluminação pública – B4aNão se aplicaNão se aplicaFora ponta",Mercado_Receita!$L$2:$L$469)+SUMIF(Mercado_Receita!$S$2:$S$469,"44562B4ConvencionalIluminação públicaIluminação pública – B4aNão se aplicaNão se aplicaIntermediário",Mercado_Receita!$L$2:$L$469)+SUMIF(Mercado_Receita!$S$2:$S$469,"44562B4ConvencionalIluminação públicaIluminação pública – B4aNão se aplicaNão se aplicaNão se aplica",Mercado_Receita!$L$2:$L$469)</f>
        <v>283.738</v>
      </c>
      <c r="S47" s="12">
        <f>SUMIF(Mercado_Receita!$S$2:$S$469,"44593B4ConvencionalIluminação públicaIluminação pública – B4aNão se aplicaNão se aplicaPonta",Mercado_Receita!$L$2:$L$469)+SUMIF(Mercado_Receita!$S$2:$S$469,"44593B4ConvencionalIluminação públicaIluminação pública – B4aNão se aplicaNão se aplicaFora ponta",Mercado_Receita!$L$2:$L$469)+SUMIF(Mercado_Receita!$S$2:$S$469,"44593B4ConvencionalIluminação públicaIluminação pública – B4aNão se aplicaNão se aplicaIntermediário",Mercado_Receita!$L$2:$L$469)+SUMIF(Mercado_Receita!$S$2:$S$469,"44593B4ConvencionalIluminação públicaIluminação pública – B4aNão se aplicaNão se aplicaNão se aplica",Mercado_Receita!$L$2:$L$469)</f>
        <v>256.27999999999997</v>
      </c>
      <c r="T47" s="12">
        <f>SUMIF(Mercado_Receita!$S$2:$S$469,"44621B4ConvencionalIluminação públicaIluminação pública – B4aNão se aplicaNão se aplicaPonta",Mercado_Receita!$L$2:$L$469)+SUMIF(Mercado_Receita!$S$2:$S$469,"44621B4ConvencionalIluminação públicaIluminação pública – B4aNão se aplicaNão se aplicaFora ponta",Mercado_Receita!$L$2:$L$469)+SUMIF(Mercado_Receita!$S$2:$S$469,"44621B4ConvencionalIluminação públicaIluminação pública – B4aNão se aplicaNão se aplicaIntermediário",Mercado_Receita!$L$2:$L$469)+SUMIF(Mercado_Receita!$S$2:$S$469,"44621B4ConvencionalIluminação públicaIluminação pública – B4aNão se aplicaNão se aplicaNão se aplica",Mercado_Receita!$L$2:$L$469)</f>
        <v>283.738</v>
      </c>
      <c r="U47" s="12">
        <f t="shared" si="0"/>
        <v>3347.1679999999992</v>
      </c>
      <c r="V47" s="12"/>
      <c r="W47" s="12"/>
    </row>
    <row r="48" spans="1:23" ht="11.25" customHeight="1" x14ac:dyDescent="0.25">
      <c r="A48" s="116"/>
      <c r="B48" s="116"/>
      <c r="C48" s="116"/>
      <c r="D48" s="12" t="s">
        <v>89</v>
      </c>
      <c r="E48" s="12" t="s">
        <v>25</v>
      </c>
      <c r="F48" s="12" t="s">
        <v>25</v>
      </c>
      <c r="G48" s="12" t="s">
        <v>75</v>
      </c>
      <c r="H48" s="12" t="s">
        <v>71</v>
      </c>
      <c r="I48" s="12">
        <f>SUMIF(Mercado_Receita!$S$2:$S$469,"44287B4ConvencionalIluminação públicaIluminação pública – B4bNão se aplicaNão se aplicaPonta",Mercado_Receita!$L$2:$L$469)+SUMIF(Mercado_Receita!$S$2:$S$469,"44287B4ConvencionalIluminação públicaIluminação pública – B4bNão se aplicaNão se aplicaFora ponta",Mercado_Receita!$L$2:$L$469)+SUMIF(Mercado_Receita!$S$2:$S$469,"44287B4ConvencionalIluminação públicaIluminação pública – B4bNão se aplicaNão se aplicaIntermediário",Mercado_Receita!$L$2:$L$469)+SUMIF(Mercado_Receita!$S$2:$S$469,"44287B4ConvencionalIluminação públicaIluminação pública – B4bNão se aplicaNão se aplicaNão se aplica",Mercado_Receita!$L$2:$L$469)</f>
        <v>0</v>
      </c>
      <c r="J48" s="12">
        <f>SUMIF(Mercado_Receita!$S$2:$S$469,"44317B4ConvencionalIluminação públicaIluminação pública – B4bNão se aplicaNão se aplicaPonta",Mercado_Receita!$L$2:$L$469)+SUMIF(Mercado_Receita!$S$2:$S$469,"44317B4ConvencionalIluminação públicaIluminação pública – B4bNão se aplicaNão se aplicaFora ponta",Mercado_Receita!$L$2:$L$469)+SUMIF(Mercado_Receita!$S$2:$S$469,"44317B4ConvencionalIluminação públicaIluminação pública – B4bNão se aplicaNão se aplicaIntermediário",Mercado_Receita!$L$2:$L$469)+SUMIF(Mercado_Receita!$S$2:$S$469,"44317B4ConvencionalIluminação públicaIluminação pública – B4bNão se aplicaNão se aplicaNão se aplica",Mercado_Receita!$L$2:$L$469)</f>
        <v>0</v>
      </c>
      <c r="K48" s="12">
        <f>SUMIF(Mercado_Receita!$S$2:$S$469,"44348B4ConvencionalIluminação públicaIluminação pública – B4bNão se aplicaNão se aplicaPonta",Mercado_Receita!$L$2:$L$469)+SUMIF(Mercado_Receita!$S$2:$S$469,"44348B4ConvencionalIluminação públicaIluminação pública – B4bNão se aplicaNão se aplicaFora ponta",Mercado_Receita!$L$2:$L$469)+SUMIF(Mercado_Receita!$S$2:$S$469,"44348B4ConvencionalIluminação públicaIluminação pública – B4bNão se aplicaNão se aplicaIntermediário",Mercado_Receita!$L$2:$L$469)+SUMIF(Mercado_Receita!$S$2:$S$469,"44348B4ConvencionalIluminação públicaIluminação pública – B4bNão se aplicaNão se aplicaNão se aplica",Mercado_Receita!$L$2:$L$469)</f>
        <v>0</v>
      </c>
      <c r="L48" s="12">
        <f>SUMIF(Mercado_Receita!$S$2:$S$469,"44378B4ConvencionalIluminação públicaIluminação pública – B4bNão se aplicaNão se aplicaPonta",Mercado_Receita!$L$2:$L$469)+SUMIF(Mercado_Receita!$S$2:$S$469,"44378B4ConvencionalIluminação públicaIluminação pública – B4bNão se aplicaNão se aplicaFora ponta",Mercado_Receita!$L$2:$L$469)+SUMIF(Mercado_Receita!$S$2:$S$469,"44378B4ConvencionalIluminação públicaIluminação pública – B4bNão se aplicaNão se aplicaIntermediário",Mercado_Receita!$L$2:$L$469)+SUMIF(Mercado_Receita!$S$2:$S$469,"44378B4ConvencionalIluminação públicaIluminação pública – B4bNão se aplicaNão se aplicaNão se aplica",Mercado_Receita!$L$2:$L$469)</f>
        <v>0</v>
      </c>
      <c r="M48" s="12">
        <f>SUMIF(Mercado_Receita!$S$2:$S$469,"44409B4ConvencionalIluminação públicaIluminação pública – B4bNão se aplicaNão se aplicaPonta",Mercado_Receita!$L$2:$L$469)+SUMIF(Mercado_Receita!$S$2:$S$469,"44409B4ConvencionalIluminação públicaIluminação pública – B4bNão se aplicaNão se aplicaFora ponta",Mercado_Receita!$L$2:$L$469)+SUMIF(Mercado_Receita!$S$2:$S$469,"44409B4ConvencionalIluminação públicaIluminação pública – B4bNão se aplicaNão se aplicaIntermediário",Mercado_Receita!$L$2:$L$469)+SUMIF(Mercado_Receita!$S$2:$S$469,"44409B4ConvencionalIluminação públicaIluminação pública – B4bNão se aplicaNão se aplicaNão se aplica",Mercado_Receita!$L$2:$L$469)</f>
        <v>0</v>
      </c>
      <c r="N48" s="12">
        <f>SUMIF(Mercado_Receita!$S$2:$S$469,"44440B4ConvencionalIluminação públicaIluminação pública – B4bNão se aplicaNão se aplicaPonta",Mercado_Receita!$L$2:$L$469)+SUMIF(Mercado_Receita!$S$2:$S$469,"44440B4ConvencionalIluminação públicaIluminação pública – B4bNão se aplicaNão se aplicaFora ponta",Mercado_Receita!$L$2:$L$469)+SUMIF(Mercado_Receita!$S$2:$S$469,"44440B4ConvencionalIluminação públicaIluminação pública – B4bNão se aplicaNão se aplicaIntermediário",Mercado_Receita!$L$2:$L$469)+SUMIF(Mercado_Receita!$S$2:$S$469,"44440B4ConvencionalIluminação públicaIluminação pública – B4bNão se aplicaNão se aplicaNão se aplica",Mercado_Receita!$L$2:$L$469)</f>
        <v>0</v>
      </c>
      <c r="O48" s="12">
        <f>SUMIF(Mercado_Receita!$S$2:$S$469,"44470B4ConvencionalIluminação públicaIluminação pública – B4bNão se aplicaNão se aplicaPonta",Mercado_Receita!$L$2:$L$469)+SUMIF(Mercado_Receita!$S$2:$S$469,"44470B4ConvencionalIluminação públicaIluminação pública – B4bNão se aplicaNão se aplicaFora ponta",Mercado_Receita!$L$2:$L$469)+SUMIF(Mercado_Receita!$S$2:$S$469,"44470B4ConvencionalIluminação públicaIluminação pública – B4bNão se aplicaNão se aplicaIntermediário",Mercado_Receita!$L$2:$L$469)+SUMIF(Mercado_Receita!$S$2:$S$469,"44470B4ConvencionalIluminação públicaIluminação pública – B4bNão se aplicaNão se aplicaNão se aplica",Mercado_Receita!$L$2:$L$469)</f>
        <v>0</v>
      </c>
      <c r="P48" s="12">
        <f>SUMIF(Mercado_Receita!$S$2:$S$469,"44501B4ConvencionalIluminação públicaIluminação pública – B4bNão se aplicaNão se aplicaPonta",Mercado_Receita!$L$2:$L$469)+SUMIF(Mercado_Receita!$S$2:$S$469,"44501B4ConvencionalIluminação públicaIluminação pública – B4bNão se aplicaNão se aplicaFora ponta",Mercado_Receita!$L$2:$L$469)+SUMIF(Mercado_Receita!$S$2:$S$469,"44501B4ConvencionalIluminação públicaIluminação pública – B4bNão se aplicaNão se aplicaIntermediário",Mercado_Receita!$L$2:$L$469)+SUMIF(Mercado_Receita!$S$2:$S$469,"44501B4ConvencionalIluminação públicaIluminação pública – B4bNão se aplicaNão se aplicaNão se aplica",Mercado_Receita!$L$2:$L$469)</f>
        <v>0</v>
      </c>
      <c r="Q48" s="12">
        <f>SUMIF(Mercado_Receita!$S$2:$S$469,"44531B4ConvencionalIluminação públicaIluminação pública – B4bNão se aplicaNão se aplicaPonta",Mercado_Receita!$L$2:$L$469)+SUMIF(Mercado_Receita!$S$2:$S$469,"44531B4ConvencionalIluminação públicaIluminação pública – B4bNão se aplicaNão se aplicaFora ponta",Mercado_Receita!$L$2:$L$469)+SUMIF(Mercado_Receita!$S$2:$S$469,"44531B4ConvencionalIluminação públicaIluminação pública – B4bNão se aplicaNão se aplicaIntermediário",Mercado_Receita!$L$2:$L$469)+SUMIF(Mercado_Receita!$S$2:$S$469,"44531B4ConvencionalIluminação públicaIluminação pública – B4bNão se aplicaNão se aplicaNão se aplica",Mercado_Receita!$L$2:$L$469)</f>
        <v>0</v>
      </c>
      <c r="R48" s="12">
        <f>SUMIF(Mercado_Receita!$S$2:$S$469,"44562B4ConvencionalIluminação públicaIluminação pública – B4bNão se aplicaNão se aplicaPonta",Mercado_Receita!$L$2:$L$469)+SUMIF(Mercado_Receita!$S$2:$S$469,"44562B4ConvencionalIluminação públicaIluminação pública – B4bNão se aplicaNão se aplicaFora ponta",Mercado_Receita!$L$2:$L$469)+SUMIF(Mercado_Receita!$S$2:$S$469,"44562B4ConvencionalIluminação públicaIluminação pública – B4bNão se aplicaNão se aplicaIntermediário",Mercado_Receita!$L$2:$L$469)+SUMIF(Mercado_Receita!$S$2:$S$469,"44562B4ConvencionalIluminação públicaIluminação pública – B4bNão se aplicaNão se aplicaNão se aplica",Mercado_Receita!$L$2:$L$469)</f>
        <v>0</v>
      </c>
      <c r="S48" s="12">
        <f>SUMIF(Mercado_Receita!$S$2:$S$469,"44593B4ConvencionalIluminação públicaIluminação pública – B4bNão se aplicaNão se aplicaPonta",Mercado_Receita!$L$2:$L$469)+SUMIF(Mercado_Receita!$S$2:$S$469,"44593B4ConvencionalIluminação públicaIluminação pública – B4bNão se aplicaNão se aplicaFora ponta",Mercado_Receita!$L$2:$L$469)+SUMIF(Mercado_Receita!$S$2:$S$469,"44593B4ConvencionalIluminação públicaIluminação pública – B4bNão se aplicaNão se aplicaIntermediário",Mercado_Receita!$L$2:$L$469)+SUMIF(Mercado_Receita!$S$2:$S$469,"44593B4ConvencionalIluminação públicaIluminação pública – B4bNão se aplicaNão se aplicaNão se aplica",Mercado_Receita!$L$2:$L$469)</f>
        <v>0</v>
      </c>
      <c r="T48" s="12">
        <f>SUMIF(Mercado_Receita!$S$2:$S$469,"44621B4ConvencionalIluminação públicaIluminação pública – B4bNão se aplicaNão se aplicaPonta",Mercado_Receita!$L$2:$L$469)+SUMIF(Mercado_Receita!$S$2:$S$469,"44621B4ConvencionalIluminação públicaIluminação pública – B4bNão se aplicaNão se aplicaFora ponta",Mercado_Receita!$L$2:$L$469)+SUMIF(Mercado_Receita!$S$2:$S$469,"44621B4ConvencionalIluminação públicaIluminação pública – B4bNão se aplicaNão se aplicaIntermediário",Mercado_Receita!$L$2:$L$469)+SUMIF(Mercado_Receita!$S$2:$S$469,"44621B4ConvencionalIluminação públicaIluminação pública – B4bNão se aplicaNão se aplicaNão se aplica",Mercado_Receita!$L$2:$L$469)</f>
        <v>0</v>
      </c>
      <c r="U48" s="12">
        <f t="shared" si="0"/>
        <v>0</v>
      </c>
      <c r="V48" s="12"/>
      <c r="W48" s="12"/>
    </row>
    <row r="49" spans="1:23" ht="11.25" customHeight="1" x14ac:dyDescent="0.25">
      <c r="A49" s="117" t="s">
        <v>444</v>
      </c>
      <c r="B49" s="118"/>
      <c r="C49" s="118"/>
      <c r="D49" s="118"/>
      <c r="E49" s="118"/>
      <c r="F49" s="118"/>
      <c r="G49" s="118"/>
      <c r="H49" s="118"/>
      <c r="I49" s="118"/>
      <c r="J49" s="118"/>
      <c r="K49" s="118"/>
      <c r="L49" s="118"/>
      <c r="M49" s="118"/>
      <c r="N49" s="118"/>
      <c r="O49" s="118"/>
      <c r="P49" s="118"/>
      <c r="Q49" s="118"/>
      <c r="R49" s="118"/>
      <c r="S49" s="118"/>
      <c r="T49" s="118"/>
      <c r="U49" s="118"/>
      <c r="V49" s="12"/>
      <c r="W49" s="12"/>
    </row>
  </sheetData>
  <mergeCells count="55">
    <mergeCell ref="A2:A11"/>
    <mergeCell ref="F2:F4"/>
    <mergeCell ref="E2:E4"/>
    <mergeCell ref="D2:D5"/>
    <mergeCell ref="C2:C5"/>
    <mergeCell ref="B2:B5"/>
    <mergeCell ref="F7:F9"/>
    <mergeCell ref="E7:E9"/>
    <mergeCell ref="F10:F11"/>
    <mergeCell ref="E10:E11"/>
    <mergeCell ref="D7:D11"/>
    <mergeCell ref="C7:C11"/>
    <mergeCell ref="B7:B11"/>
    <mergeCell ref="D12:D13"/>
    <mergeCell ref="C12:C13"/>
    <mergeCell ref="B12:B13"/>
    <mergeCell ref="A12:A13"/>
    <mergeCell ref="F14:F16"/>
    <mergeCell ref="E14:E16"/>
    <mergeCell ref="D14:D16"/>
    <mergeCell ref="C14:C16"/>
    <mergeCell ref="B14:B16"/>
    <mergeCell ref="F27:F29"/>
    <mergeCell ref="E27:E29"/>
    <mergeCell ref="D27:D29"/>
    <mergeCell ref="C27:C29"/>
    <mergeCell ref="B27:B29"/>
    <mergeCell ref="C17:C21"/>
    <mergeCell ref="B17:B21"/>
    <mergeCell ref="C22:C26"/>
    <mergeCell ref="B22:B26"/>
    <mergeCell ref="A14:A26"/>
    <mergeCell ref="C31:C33"/>
    <mergeCell ref="B31:B33"/>
    <mergeCell ref="F35:F37"/>
    <mergeCell ref="E35:E37"/>
    <mergeCell ref="D35:D37"/>
    <mergeCell ref="C35:C37"/>
    <mergeCell ref="B35:B37"/>
    <mergeCell ref="A47:A48"/>
    <mergeCell ref="B47:B48"/>
    <mergeCell ref="C47:C48"/>
    <mergeCell ref="A49:U49"/>
    <mergeCell ref="C39:C41"/>
    <mergeCell ref="B39:B41"/>
    <mergeCell ref="A27:A41"/>
    <mergeCell ref="F42:F44"/>
    <mergeCell ref="E42:E44"/>
    <mergeCell ref="D42:D44"/>
    <mergeCell ref="C42:C44"/>
    <mergeCell ref="B42:B44"/>
    <mergeCell ref="A42:A46"/>
    <mergeCell ref="F31:F33"/>
    <mergeCell ref="E31:E33"/>
    <mergeCell ref="D31:D33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D7526-A629-447B-8D67-92F9D44090D8}">
  <dimension ref="A1:AD40"/>
  <sheetViews>
    <sheetView showGridLines="0" workbookViewId="0">
      <selection activeCell="E44" sqref="E44"/>
    </sheetView>
  </sheetViews>
  <sheetFormatPr defaultRowHeight="11.25" customHeight="1" x14ac:dyDescent="0.25"/>
  <cols>
    <col min="1" max="1" width="9.28515625" style="9" bestFit="1" customWidth="1"/>
    <col min="2" max="2" width="27.140625" style="9" bestFit="1" customWidth="1"/>
    <col min="3" max="3" width="13.5703125" style="9" bestFit="1" customWidth="1"/>
    <col min="4" max="4" width="25.140625" style="9" bestFit="1" customWidth="1"/>
    <col min="5" max="6" width="10.28515625" style="9" bestFit="1" customWidth="1"/>
    <col min="7" max="7" width="6.28515625" style="9" bestFit="1" customWidth="1"/>
    <col min="8" max="8" width="7.42578125" style="9" bestFit="1" customWidth="1"/>
    <col min="9" max="20" width="7" style="9" bestFit="1" customWidth="1"/>
    <col min="21" max="21" width="14.140625" style="9" bestFit="1" customWidth="1"/>
    <col min="22" max="16384" width="9.140625" style="9"/>
  </cols>
  <sheetData>
    <row r="1" spans="1:30" ht="11.25" customHeight="1" x14ac:dyDescent="0.25">
      <c r="A1" s="10" t="s">
        <v>61</v>
      </c>
      <c r="B1" s="10" t="s">
        <v>62</v>
      </c>
      <c r="C1" s="10" t="s">
        <v>63</v>
      </c>
      <c r="D1" s="10" t="s">
        <v>64</v>
      </c>
      <c r="E1" s="10" t="s">
        <v>65</v>
      </c>
      <c r="F1" s="10" t="s">
        <v>66</v>
      </c>
      <c r="G1" s="10" t="s">
        <v>67</v>
      </c>
      <c r="H1" s="10" t="s">
        <v>68</v>
      </c>
      <c r="I1" s="11">
        <v>44287</v>
      </c>
      <c r="J1" s="11">
        <v>44317</v>
      </c>
      <c r="K1" s="11">
        <v>44348</v>
      </c>
      <c r="L1" s="11">
        <v>44378</v>
      </c>
      <c r="M1" s="11">
        <v>44409</v>
      </c>
      <c r="N1" s="11">
        <v>44440</v>
      </c>
      <c r="O1" s="11">
        <v>44470</v>
      </c>
      <c r="P1" s="11">
        <v>44501</v>
      </c>
      <c r="Q1" s="11">
        <v>44531</v>
      </c>
      <c r="R1" s="11">
        <v>44562</v>
      </c>
      <c r="S1" s="11">
        <v>44593</v>
      </c>
      <c r="T1" s="11">
        <v>44621</v>
      </c>
      <c r="U1" s="10" t="s">
        <v>69</v>
      </c>
      <c r="V1" s="10"/>
      <c r="W1" s="10"/>
      <c r="X1" s="7"/>
      <c r="Y1" s="7"/>
      <c r="Z1" s="7"/>
      <c r="AA1" s="7"/>
      <c r="AB1" s="7"/>
      <c r="AC1" s="7"/>
      <c r="AD1" s="7"/>
    </row>
    <row r="2" spans="1:30" ht="11.25" customHeight="1" x14ac:dyDescent="0.25">
      <c r="A2" s="115" t="s">
        <v>33</v>
      </c>
      <c r="B2" s="115" t="s">
        <v>70</v>
      </c>
      <c r="C2" s="115" t="s">
        <v>25</v>
      </c>
      <c r="D2" s="115" t="s">
        <v>25</v>
      </c>
      <c r="E2" s="115" t="s">
        <v>25</v>
      </c>
      <c r="F2" s="115" t="s">
        <v>25</v>
      </c>
      <c r="G2" s="14" t="s">
        <v>72</v>
      </c>
      <c r="H2" s="14" t="s">
        <v>71</v>
      </c>
      <c r="I2" s="14">
        <f>SUMIF(Mercado_Receita!$T$2:$T$469,"44287A4Energia horáriaNão se aplicaNão se aplicaNão se aplicaNão se aplicaPonta",Mercado_Receita!$N$2:$N$469)</f>
        <v>9.1179999999999986</v>
      </c>
      <c r="J2" s="14">
        <f>SUMIF(Mercado_Receita!$T$2:$T$469,"44317A4Energia horáriaNão se aplicaNão se aplicaNão se aplicaNão se aplicaPonta",Mercado_Receita!$N$2:$N$469)</f>
        <v>8.0359999999999996</v>
      </c>
      <c r="K2" s="14">
        <f>SUMIF(Mercado_Receita!$T$2:$T$469,"44348A4Energia horáriaNão se aplicaNão se aplicaNão se aplicaNão se aplicaPonta",Mercado_Receita!$N$2:$N$469)</f>
        <v>7.5209999999999999</v>
      </c>
      <c r="L2" s="14">
        <f>SUMIF(Mercado_Receita!$T$2:$T$469,"44378A4Energia horáriaNão se aplicaNão se aplicaNão se aplicaNão se aplicaPonta",Mercado_Receita!$N$2:$N$469)</f>
        <v>7.4089999999999998</v>
      </c>
      <c r="M2" s="14">
        <f>SUMIF(Mercado_Receita!$T$2:$T$469,"44409A4Energia horáriaNão se aplicaNão se aplicaNão se aplicaNão se aplicaPonta",Mercado_Receita!$N$2:$N$469)</f>
        <v>8.6120000000000001</v>
      </c>
      <c r="N2" s="14">
        <f>SUMIF(Mercado_Receita!$T$2:$T$469,"44440A4Energia horáriaNão se aplicaNão se aplicaNão se aplicaNão se aplicaPonta",Mercado_Receita!$N$2:$N$469)</f>
        <v>9.4220000000000006</v>
      </c>
      <c r="O2" s="14">
        <f>SUMIF(Mercado_Receita!$T$2:$T$469,"44470A4Energia horáriaNão se aplicaNão se aplicaNão se aplicaNão se aplicaPonta",Mercado_Receita!$N$2:$N$469)</f>
        <v>7.7050000000000001</v>
      </c>
      <c r="P2" s="14">
        <f>SUMIF(Mercado_Receita!$T$2:$T$469,"44501A4Energia horáriaNão se aplicaNão se aplicaNão se aplicaNão se aplicaPonta",Mercado_Receita!$N$2:$N$469)</f>
        <v>10.514999999999999</v>
      </c>
      <c r="Q2" s="14">
        <f>SUMIF(Mercado_Receita!$T$2:$T$469,"44531A4Energia horáriaNão se aplicaNão se aplicaNão se aplicaNão se aplicaPonta",Mercado_Receita!$N$2:$N$469)</f>
        <v>12.778999999999998</v>
      </c>
      <c r="R2" s="14">
        <f>SUMIF(Mercado_Receita!$T$2:$T$469,"44562A4Energia horáriaNão se aplicaNão se aplicaNão se aplicaNão se aplicaPonta",Mercado_Receita!$N$2:$N$469)</f>
        <v>12.819000000000001</v>
      </c>
      <c r="S2" s="14">
        <f>SUMIF(Mercado_Receita!$T$2:$T$469,"44593A4Energia horáriaNão se aplicaNão se aplicaNão se aplicaNão se aplicaPonta",Mercado_Receita!$N$2:$N$469)</f>
        <v>12.196999999999999</v>
      </c>
      <c r="T2" s="14">
        <f>SUMIF(Mercado_Receita!$T$2:$T$469,"44621A4Energia horáriaNão se aplicaNão se aplicaNão se aplicaNão se aplicaPonta",Mercado_Receita!$N$2:$N$469)</f>
        <v>12.887</v>
      </c>
      <c r="U2" s="14">
        <f t="shared" ref="U2:U39" si="0">SUM(I2:T2)</f>
        <v>119.02</v>
      </c>
      <c r="V2" s="14"/>
      <c r="W2" s="14"/>
    </row>
    <row r="3" spans="1:30" ht="11.25" customHeight="1" x14ac:dyDescent="0.25">
      <c r="A3" s="116"/>
      <c r="B3" s="116"/>
      <c r="C3" s="116"/>
      <c r="D3" s="116"/>
      <c r="E3" s="116"/>
      <c r="F3" s="116"/>
      <c r="G3" s="14" t="s">
        <v>73</v>
      </c>
      <c r="H3" s="14" t="s">
        <v>71</v>
      </c>
      <c r="I3" s="14">
        <f>SUMIF(Mercado_Receita!$T$2:$T$469,"44287A4Energia horáriaNão se aplicaNão se aplicaNão se aplicaNão se aplicaFora ponta",Mercado_Receita!$N$2:$N$469)</f>
        <v>351.80099999999999</v>
      </c>
      <c r="J3" s="14">
        <f>SUMIF(Mercado_Receita!$T$2:$T$469,"44317A4Energia horáriaNão se aplicaNão se aplicaNão se aplicaNão se aplicaFora ponta",Mercado_Receita!$N$2:$N$469)</f>
        <v>277.01400000000001</v>
      </c>
      <c r="K3" s="14">
        <f>SUMIF(Mercado_Receita!$T$2:$T$469,"44348A4Energia horáriaNão se aplicaNão se aplicaNão se aplicaNão se aplicaFora ponta",Mercado_Receita!$N$2:$N$469)</f>
        <v>297.37400000000002</v>
      </c>
      <c r="L3" s="14">
        <f>SUMIF(Mercado_Receita!$T$2:$T$469,"44378A4Energia horáriaNão se aplicaNão se aplicaNão se aplicaNão se aplicaFora ponta",Mercado_Receita!$N$2:$N$469)</f>
        <v>285.93200000000002</v>
      </c>
      <c r="M3" s="14">
        <f>SUMIF(Mercado_Receita!$T$2:$T$469,"44409A4Energia horáriaNão se aplicaNão se aplicaNão se aplicaNão se aplicaFora ponta",Mercado_Receita!$N$2:$N$469)</f>
        <v>313.18399999999997</v>
      </c>
      <c r="N3" s="14">
        <f>SUMIF(Mercado_Receita!$T$2:$T$469,"44440A4Energia horáriaNão se aplicaNão se aplicaNão se aplicaNão se aplicaFora ponta",Mercado_Receita!$N$2:$N$469)</f>
        <v>327.82599999999996</v>
      </c>
      <c r="O3" s="14">
        <f>SUMIF(Mercado_Receita!$T$2:$T$469,"44470A4Energia horáriaNão se aplicaNão se aplicaNão se aplicaNão se aplicaFora ponta",Mercado_Receita!$N$2:$N$469)</f>
        <v>314.10300000000001</v>
      </c>
      <c r="P3" s="14">
        <f>SUMIF(Mercado_Receita!$T$2:$T$469,"44501A4Energia horáriaNão se aplicaNão se aplicaNão se aplicaNão se aplicaFora ponta",Mercado_Receita!$N$2:$N$469)</f>
        <v>319.93299999999999</v>
      </c>
      <c r="Q3" s="14">
        <f>SUMIF(Mercado_Receita!$T$2:$T$469,"44531A4Energia horáriaNão se aplicaNão se aplicaNão se aplicaNão se aplicaFora ponta",Mercado_Receita!$N$2:$N$469)</f>
        <v>349.62100000000004</v>
      </c>
      <c r="R3" s="14">
        <f>SUMIF(Mercado_Receita!$T$2:$T$469,"44562A4Energia horáriaNão se aplicaNão se aplicaNão se aplicaNão se aplicaFora ponta",Mercado_Receita!$N$2:$N$469)</f>
        <v>352.12700000000001</v>
      </c>
      <c r="S3" s="14">
        <f>SUMIF(Mercado_Receita!$T$2:$T$469,"44593A4Energia horáriaNão se aplicaNão se aplicaNão se aplicaNão se aplicaFora ponta",Mercado_Receita!$N$2:$N$469)</f>
        <v>332.745</v>
      </c>
      <c r="T3" s="14">
        <f>SUMIF(Mercado_Receita!$T$2:$T$469,"44621A4Energia horáriaNão se aplicaNão se aplicaNão se aplicaNão se aplicaFora ponta",Mercado_Receita!$N$2:$N$469)</f>
        <v>380.80500000000001</v>
      </c>
      <c r="U3" s="14">
        <f t="shared" si="0"/>
        <v>3902.4649999999997</v>
      </c>
      <c r="V3" s="14"/>
      <c r="W3" s="14"/>
    </row>
    <row r="4" spans="1:30" ht="11.25" customHeight="1" x14ac:dyDescent="0.25">
      <c r="A4" s="116"/>
      <c r="B4" s="13" t="s">
        <v>74</v>
      </c>
      <c r="C4" s="13" t="s">
        <v>25</v>
      </c>
      <c r="D4" s="13" t="s">
        <v>25</v>
      </c>
      <c r="E4" s="13" t="s">
        <v>25</v>
      </c>
      <c r="F4" s="13" t="s">
        <v>25</v>
      </c>
      <c r="G4" s="14" t="s">
        <v>75</v>
      </c>
      <c r="H4" s="14" t="s">
        <v>71</v>
      </c>
      <c r="I4" s="14">
        <f>SUMIF(Mercado_Receita!$T$2:$T$469,"44287A4Energia convencionalNão se aplicaNão se aplicaNão se aplicaNão se aplicaNão se aplica",Mercado_Receita!$N$2:$N$469)</f>
        <v>0</v>
      </c>
      <c r="J4" s="14">
        <f>SUMIF(Mercado_Receita!$T$2:$T$469,"44317A4Energia convencionalNão se aplicaNão se aplicaNão se aplicaNão se aplicaNão se aplica",Mercado_Receita!$N$2:$N$469)</f>
        <v>0</v>
      </c>
      <c r="K4" s="14">
        <f>SUMIF(Mercado_Receita!$T$2:$T$469,"44348A4Energia convencionalNão se aplicaNão se aplicaNão se aplicaNão se aplicaNão se aplica",Mercado_Receita!$N$2:$N$469)</f>
        <v>0</v>
      </c>
      <c r="L4" s="14">
        <f>SUMIF(Mercado_Receita!$T$2:$T$469,"44378A4Energia convencionalNão se aplicaNão se aplicaNão se aplicaNão se aplicaNão se aplica",Mercado_Receita!$N$2:$N$469)</f>
        <v>0</v>
      </c>
      <c r="M4" s="14">
        <f>SUMIF(Mercado_Receita!$T$2:$T$469,"44409A4Energia convencionalNão se aplicaNão se aplicaNão se aplicaNão se aplicaNão se aplica",Mercado_Receita!$N$2:$N$469)</f>
        <v>0</v>
      </c>
      <c r="N4" s="14">
        <f>SUMIF(Mercado_Receita!$T$2:$T$469,"44440A4Energia convencionalNão se aplicaNão se aplicaNão se aplicaNão se aplicaNão se aplica",Mercado_Receita!$N$2:$N$469)</f>
        <v>0</v>
      </c>
      <c r="O4" s="14">
        <f>SUMIF(Mercado_Receita!$T$2:$T$469,"44470A4Energia convencionalNão se aplicaNão se aplicaNão se aplicaNão se aplicaNão se aplica",Mercado_Receita!$N$2:$N$469)</f>
        <v>0</v>
      </c>
      <c r="P4" s="14">
        <f>SUMIF(Mercado_Receita!$T$2:$T$469,"44501A4Energia convencionalNão se aplicaNão se aplicaNão se aplicaNão se aplicaNão se aplica",Mercado_Receita!$N$2:$N$469)</f>
        <v>0</v>
      </c>
      <c r="Q4" s="14">
        <f>SUMIF(Mercado_Receita!$T$2:$T$469,"44531A4Energia convencionalNão se aplicaNão se aplicaNão se aplicaNão se aplicaNão se aplica",Mercado_Receita!$N$2:$N$469)</f>
        <v>0</v>
      </c>
      <c r="R4" s="14">
        <f>SUMIF(Mercado_Receita!$T$2:$T$469,"44562A4Energia convencionalNão se aplicaNão se aplicaNão se aplicaNão se aplicaNão se aplica",Mercado_Receita!$N$2:$N$469)</f>
        <v>0</v>
      </c>
      <c r="S4" s="14">
        <f>SUMIF(Mercado_Receita!$T$2:$T$469,"44593A4Energia convencionalNão se aplicaNão se aplicaNão se aplicaNão se aplicaNão se aplica",Mercado_Receita!$N$2:$N$469)</f>
        <v>0</v>
      </c>
      <c r="T4" s="14">
        <f>SUMIF(Mercado_Receita!$T$2:$T$469,"44621A4Energia convencionalNão se aplicaNão se aplicaNão se aplicaNão se aplicaNão se aplica",Mercado_Receita!$N$2:$N$469)</f>
        <v>0</v>
      </c>
      <c r="U4" s="14">
        <f t="shared" si="0"/>
        <v>0</v>
      </c>
      <c r="V4" s="14"/>
      <c r="W4" s="14"/>
    </row>
    <row r="5" spans="1:30" ht="11.25" customHeight="1" x14ac:dyDescent="0.25">
      <c r="A5" s="115" t="s">
        <v>22</v>
      </c>
      <c r="B5" s="115" t="s">
        <v>70</v>
      </c>
      <c r="C5" s="115" t="s">
        <v>24</v>
      </c>
      <c r="D5" s="115" t="s">
        <v>24</v>
      </c>
      <c r="E5" s="115" t="s">
        <v>25</v>
      </c>
      <c r="F5" s="115" t="s">
        <v>25</v>
      </c>
      <c r="G5" s="14" t="s">
        <v>72</v>
      </c>
      <c r="H5" s="14" t="s">
        <v>71</v>
      </c>
      <c r="I5" s="14">
        <f>SUMIF(Mercado_Receita!$T$2:$T$469,"44287B1Energia horáriaResidencialResidencialNão se aplicaNão se aplicaPonta",Mercado_Receita!$N$2:$N$469)</f>
        <v>0.182</v>
      </c>
      <c r="J5" s="14">
        <f>SUMIF(Mercado_Receita!$T$2:$T$469,"44317B1Energia horáriaResidencialResidencialNão se aplicaNão se aplicaPonta",Mercado_Receita!$N$2:$N$469)</f>
        <v>0.16700000000000001</v>
      </c>
      <c r="K5" s="14">
        <f>SUMIF(Mercado_Receita!$T$2:$T$469,"44348B1Energia horáriaResidencialResidencialNão se aplicaNão se aplicaPonta",Mercado_Receita!$N$2:$N$469)</f>
        <v>0.16700000000000001</v>
      </c>
      <c r="L5" s="14">
        <f>SUMIF(Mercado_Receita!$T$2:$T$469,"44378B1Energia horáriaResidencialResidencialNão se aplicaNão se aplicaPonta",Mercado_Receita!$N$2:$N$469)</f>
        <v>0.154</v>
      </c>
      <c r="M5" s="14">
        <f>SUMIF(Mercado_Receita!$T$2:$T$469,"44409B1Energia horáriaResidencialResidencialNão se aplicaNão se aplicaPonta",Mercado_Receita!$N$2:$N$469)</f>
        <v>0.16200000000000001</v>
      </c>
      <c r="N5" s="14">
        <f>SUMIF(Mercado_Receita!$T$2:$T$469,"44440B1Energia horáriaResidencialResidencialNão se aplicaNão se aplicaPonta",Mercado_Receita!$N$2:$N$469)</f>
        <v>0.17799999999999999</v>
      </c>
      <c r="O5" s="14">
        <f>SUMIF(Mercado_Receita!$T$2:$T$469,"44470B1Energia horáriaResidencialResidencialNão se aplicaNão se aplicaPonta",Mercado_Receita!$N$2:$N$469)</f>
        <v>0.13500000000000001</v>
      </c>
      <c r="P5" s="14">
        <f>SUMIF(Mercado_Receita!$T$2:$T$469,"44501B1Energia horáriaResidencialResidencialNão se aplicaNão se aplicaPonta",Mercado_Receita!$N$2:$N$469)</f>
        <v>0.56299999999999994</v>
      </c>
      <c r="Q5" s="14">
        <f>SUMIF(Mercado_Receita!$T$2:$T$469,"44531B1Energia horáriaResidencialResidencialNão se aplicaNão se aplicaPonta",Mercado_Receita!$N$2:$N$469)</f>
        <v>0.156</v>
      </c>
      <c r="R5" s="14">
        <f>SUMIF(Mercado_Receita!$T$2:$T$469,"44562B1Energia horáriaResidencialResidencialNão se aplicaNão se aplicaPonta",Mercado_Receita!$N$2:$N$469)</f>
        <v>0.158</v>
      </c>
      <c r="S5" s="14">
        <f>SUMIF(Mercado_Receita!$T$2:$T$469,"44593B1Energia horáriaResidencialResidencialNão se aplicaNão se aplicaPonta",Mercado_Receita!$N$2:$N$469)</f>
        <v>0.129</v>
      </c>
      <c r="T5" s="14">
        <f>SUMIF(Mercado_Receita!$T$2:$T$469,"44621B1Energia horáriaResidencialResidencialNão se aplicaNão se aplicaPonta",Mercado_Receita!$N$2:$N$469)</f>
        <v>0.16300000000000001</v>
      </c>
      <c r="U5" s="14">
        <f t="shared" si="0"/>
        <v>2.3139999999999996</v>
      </c>
      <c r="V5" s="14"/>
      <c r="W5" s="14"/>
    </row>
    <row r="6" spans="1:30" ht="11.25" customHeight="1" x14ac:dyDescent="0.25">
      <c r="A6" s="116"/>
      <c r="B6" s="116"/>
      <c r="C6" s="116"/>
      <c r="D6" s="116"/>
      <c r="E6" s="116"/>
      <c r="F6" s="116"/>
      <c r="G6" s="14" t="s">
        <v>84</v>
      </c>
      <c r="H6" s="14" t="s">
        <v>71</v>
      </c>
      <c r="I6" s="14">
        <f>SUMIF(Mercado_Receita!$T$2:$T$469,"44287B1Energia horáriaResidencialResidencialNão se aplicaNão se aplicaIntermediário",Mercado_Receita!$N$2:$N$469)</f>
        <v>0.11899999999999999</v>
      </c>
      <c r="J6" s="14">
        <f>SUMIF(Mercado_Receita!$T$2:$T$469,"44317B1Energia horáriaResidencialResidencialNão se aplicaNão se aplicaIntermediário",Mercado_Receita!$N$2:$N$469)</f>
        <v>0.105</v>
      </c>
      <c r="K6" s="14">
        <f>SUMIF(Mercado_Receita!$T$2:$T$469,"44348B1Energia horáriaResidencialResidencialNão se aplicaNão se aplicaIntermediário",Mercado_Receita!$N$2:$N$469)</f>
        <v>9.6000000000000002E-2</v>
      </c>
      <c r="L6" s="14">
        <f>SUMIF(Mercado_Receita!$T$2:$T$469,"44378B1Energia horáriaResidencialResidencialNão se aplicaNão se aplicaIntermediário",Mercado_Receita!$N$2:$N$469)</f>
        <v>0.107</v>
      </c>
      <c r="M6" s="14">
        <f>SUMIF(Mercado_Receita!$T$2:$T$469,"44409B1Energia horáriaResidencialResidencialNão se aplicaNão se aplicaIntermediário",Mercado_Receita!$N$2:$N$469)</f>
        <v>9.4E-2</v>
      </c>
      <c r="N6" s="14">
        <f>SUMIF(Mercado_Receita!$T$2:$T$469,"44440B1Energia horáriaResidencialResidencialNão se aplicaNão se aplicaIntermediário",Mercado_Receita!$N$2:$N$469)</f>
        <v>0.11</v>
      </c>
      <c r="O6" s="14">
        <f>SUMIF(Mercado_Receita!$T$2:$T$469,"44470B1Energia horáriaResidencialResidencialNão se aplicaNão se aplicaIntermediário",Mercado_Receita!$N$2:$N$469)</f>
        <v>8.6999999999999994E-2</v>
      </c>
      <c r="P6" s="14">
        <f>SUMIF(Mercado_Receita!$T$2:$T$469,"44501B1Energia horáriaResidencialResidencialNão se aplicaNão se aplicaIntermediário",Mercado_Receita!$N$2:$N$469)</f>
        <v>0.123</v>
      </c>
      <c r="Q6" s="14">
        <f>SUMIF(Mercado_Receita!$T$2:$T$469,"44531B1Energia horáriaResidencialResidencialNão se aplicaNão se aplicaIntermediário",Mercado_Receita!$N$2:$N$469)</f>
        <v>0.107</v>
      </c>
      <c r="R6" s="14">
        <f>SUMIF(Mercado_Receita!$T$2:$T$469,"44562B1Energia horáriaResidencialResidencialNão se aplicaNão se aplicaIntermediário",Mercado_Receita!$N$2:$N$469)</f>
        <v>8.5999999999999993E-2</v>
      </c>
      <c r="S6" s="14">
        <f>SUMIF(Mercado_Receita!$T$2:$T$469,"44593B1Energia horáriaResidencialResidencialNão se aplicaNão se aplicaIntermediário",Mercado_Receita!$N$2:$N$469)</f>
        <v>8.8999999999999996E-2</v>
      </c>
      <c r="T6" s="14">
        <f>SUMIF(Mercado_Receita!$T$2:$T$469,"44621B1Energia horáriaResidencialResidencialNão se aplicaNão se aplicaIntermediário",Mercado_Receita!$N$2:$N$469)</f>
        <v>0.1</v>
      </c>
      <c r="U6" s="14">
        <f t="shared" si="0"/>
        <v>1.2229999999999999</v>
      </c>
      <c r="V6" s="14"/>
      <c r="W6" s="14"/>
    </row>
    <row r="7" spans="1:30" ht="11.25" customHeight="1" x14ac:dyDescent="0.25">
      <c r="A7" s="116"/>
      <c r="B7" s="116"/>
      <c r="C7" s="116"/>
      <c r="D7" s="116"/>
      <c r="E7" s="116"/>
      <c r="F7" s="116"/>
      <c r="G7" s="14" t="s">
        <v>73</v>
      </c>
      <c r="H7" s="14" t="s">
        <v>71</v>
      </c>
      <c r="I7" s="14">
        <f>SUMIF(Mercado_Receita!$T$2:$T$469,"44287B1Energia horáriaResidencialResidencialNão se aplicaNão se aplicaFora ponta",Mercado_Receita!$N$2:$N$469)</f>
        <v>1.744</v>
      </c>
      <c r="J7" s="14">
        <f>SUMIF(Mercado_Receita!$T$2:$T$469,"44317B1Energia horáriaResidencialResidencialNão se aplicaNão se aplicaFora ponta",Mercado_Receita!$N$2:$N$469)</f>
        <v>1.3580000000000001</v>
      </c>
      <c r="K7" s="14">
        <f>SUMIF(Mercado_Receita!$T$2:$T$469,"44348B1Energia horáriaResidencialResidencialNão se aplicaNão se aplicaFora ponta",Mercado_Receita!$N$2:$N$469)</f>
        <v>1.4119999999999999</v>
      </c>
      <c r="L7" s="14">
        <f>SUMIF(Mercado_Receita!$T$2:$T$469,"44378B1Energia horáriaResidencialResidencialNão se aplicaNão se aplicaFora ponta",Mercado_Receita!$N$2:$N$469)</f>
        <v>1.2170000000000001</v>
      </c>
      <c r="M7" s="14">
        <f>SUMIF(Mercado_Receita!$T$2:$T$469,"44409B1Energia horáriaResidencialResidencialNão se aplicaNão se aplicaFora ponta",Mercado_Receita!$N$2:$N$469)</f>
        <v>1.0920000000000001</v>
      </c>
      <c r="N7" s="14">
        <f>SUMIF(Mercado_Receita!$T$2:$T$469,"44440B1Energia horáriaResidencialResidencialNão se aplicaNão se aplicaFora ponta",Mercado_Receita!$N$2:$N$469)</f>
        <v>1.4079999999999999</v>
      </c>
      <c r="O7" s="14">
        <f>SUMIF(Mercado_Receita!$T$2:$T$469,"44470B1Energia horáriaResidencialResidencialNão se aplicaNão se aplicaFora ponta",Mercado_Receita!$N$2:$N$469)</f>
        <v>1.2629999999999999</v>
      </c>
      <c r="P7" s="14">
        <f>SUMIF(Mercado_Receita!$T$2:$T$469,"44501B1Energia horáriaResidencialResidencialNão se aplicaNão se aplicaFora ponta",Mercado_Receita!$N$2:$N$469)</f>
        <v>1.226</v>
      </c>
      <c r="Q7" s="14">
        <f>SUMIF(Mercado_Receita!$T$2:$T$469,"44531B1Energia horáriaResidencialResidencialNão se aplicaNão se aplicaFora ponta",Mercado_Receita!$N$2:$N$469)</f>
        <v>1.2490000000000001</v>
      </c>
      <c r="R7" s="14">
        <f>SUMIF(Mercado_Receita!$T$2:$T$469,"44562B1Energia horáriaResidencialResidencialNão se aplicaNão se aplicaFora ponta",Mercado_Receita!$N$2:$N$469)</f>
        <v>1.218</v>
      </c>
      <c r="S7" s="14">
        <f>SUMIF(Mercado_Receita!$T$2:$T$469,"44593B1Energia horáriaResidencialResidencialNão se aplicaNão se aplicaFora ponta",Mercado_Receita!$N$2:$N$469)</f>
        <v>1.31</v>
      </c>
      <c r="T7" s="14">
        <f>SUMIF(Mercado_Receita!$T$2:$T$469,"44621B1Energia horáriaResidencialResidencialNão se aplicaNão se aplicaFora ponta",Mercado_Receita!$N$2:$N$469)</f>
        <v>1.2889999999999999</v>
      </c>
      <c r="U7" s="14">
        <f t="shared" si="0"/>
        <v>15.786</v>
      </c>
      <c r="V7" s="14"/>
      <c r="W7" s="14"/>
    </row>
    <row r="8" spans="1:30" ht="11.25" customHeight="1" x14ac:dyDescent="0.25">
      <c r="A8" s="116"/>
      <c r="B8" s="115" t="s">
        <v>74</v>
      </c>
      <c r="C8" s="115" t="s">
        <v>24</v>
      </c>
      <c r="D8" s="13" t="s">
        <v>24</v>
      </c>
      <c r="E8" s="13" t="s">
        <v>25</v>
      </c>
      <c r="F8" s="13" t="s">
        <v>25</v>
      </c>
      <c r="G8" s="14" t="s">
        <v>75</v>
      </c>
      <c r="H8" s="14" t="s">
        <v>71</v>
      </c>
      <c r="I8" s="14">
        <f>SUMIF(Mercado_Receita!$T$2:$T$469,"44287B1Energia convencionalResidencialResidencialNão se aplicaNão se aplicaNão se aplica",Mercado_Receita!$N$2:$N$469)</f>
        <v>2521.7399999999998</v>
      </c>
      <c r="J8" s="14">
        <f>SUMIF(Mercado_Receita!$T$2:$T$469,"44317B1Energia convencionalResidencialResidencialNão se aplicaNão se aplicaNão se aplica",Mercado_Receita!$N$2:$N$469)</f>
        <v>2161.2829999999999</v>
      </c>
      <c r="K8" s="14">
        <f>SUMIF(Mercado_Receita!$T$2:$T$469,"44348B1Energia convencionalResidencialResidencialNão se aplicaNão se aplicaNão se aplica",Mercado_Receita!$N$2:$N$469)</f>
        <v>2122.9139999999998</v>
      </c>
      <c r="L8" s="14">
        <f>SUMIF(Mercado_Receita!$T$2:$T$469,"44378B1Energia convencionalResidencialResidencialNão se aplicaNão se aplicaNão se aplica",Mercado_Receita!$N$2:$N$469)</f>
        <v>1895.856</v>
      </c>
      <c r="M8" s="14">
        <f>SUMIF(Mercado_Receita!$T$2:$T$469,"44409B1Energia convencionalResidencialResidencialNão se aplicaNão se aplicaNão se aplica",Mercado_Receita!$N$2:$N$469)</f>
        <v>1900.1229999999998</v>
      </c>
      <c r="N8" s="14">
        <f>SUMIF(Mercado_Receita!$T$2:$T$469,"44440B1Energia convencionalResidencialResidencialNão se aplicaNão se aplicaNão se aplica",Mercado_Receita!$N$2:$N$469)</f>
        <v>2199.11</v>
      </c>
      <c r="O8" s="14">
        <f>SUMIF(Mercado_Receita!$T$2:$T$469,"44470B1Energia convencionalResidencialResidencialNão se aplicaNão se aplicaNão se aplica",Mercado_Receita!$N$2:$N$469)</f>
        <v>2084.0309999999999</v>
      </c>
      <c r="P8" s="14">
        <f>SUMIF(Mercado_Receita!$T$2:$T$469,"44501B1Energia convencionalResidencialResidencialNão se aplicaNão se aplicaNão se aplica",Mercado_Receita!$N$2:$N$469)</f>
        <v>2061.502</v>
      </c>
      <c r="Q8" s="14">
        <f>SUMIF(Mercado_Receita!$T$2:$T$469,"44531B1Energia convencionalResidencialResidencialNão se aplicaNão se aplicaNão se aplica",Mercado_Receita!$N$2:$N$469)</f>
        <v>2180.89</v>
      </c>
      <c r="R8" s="14">
        <f>SUMIF(Mercado_Receita!$T$2:$T$469,"44562B1Energia convencionalResidencialResidencialNão se aplicaNão se aplicaNão se aplica",Mercado_Receita!$N$2:$N$469)</f>
        <v>2385.4760000000001</v>
      </c>
      <c r="S8" s="14">
        <f>SUMIF(Mercado_Receita!$T$2:$T$469,"44593B1Energia convencionalResidencialResidencialNão se aplicaNão se aplicaNão se aplica",Mercado_Receita!$N$2:$N$469)</f>
        <v>2559.1379999999999</v>
      </c>
      <c r="T8" s="14">
        <f>SUMIF(Mercado_Receita!$T$2:$T$469,"44621B1Energia convencionalResidencialResidencialNão se aplicaNão se aplicaNão se aplica",Mercado_Receita!$N$2:$N$469)</f>
        <v>2438.0280000000002</v>
      </c>
      <c r="U8" s="14">
        <f t="shared" si="0"/>
        <v>26510.091</v>
      </c>
      <c r="V8" s="14"/>
      <c r="W8" s="14"/>
    </row>
    <row r="9" spans="1:30" ht="11.25" customHeight="1" x14ac:dyDescent="0.25">
      <c r="A9" s="116"/>
      <c r="B9" s="116"/>
      <c r="C9" s="116"/>
      <c r="D9" s="13" t="s">
        <v>29</v>
      </c>
      <c r="E9" s="13" t="s">
        <v>25</v>
      </c>
      <c r="F9" s="13" t="s">
        <v>25</v>
      </c>
      <c r="G9" s="14" t="s">
        <v>75</v>
      </c>
      <c r="H9" s="14" t="s">
        <v>71</v>
      </c>
      <c r="I9" s="14">
        <f>SUMIF(Mercado_Receita!$T$2:$T$469,"44287B1Energia convencionalResidencialResidencial baixa renda – faixa 01Não se aplicaNão se aplicaNão se aplica",Mercado_Receita!$N$2:$N$469)</f>
        <v>12.57</v>
      </c>
      <c r="J9" s="14">
        <f>SUMIF(Mercado_Receita!$T$2:$T$469,"44317B1Energia convencionalResidencialResidencial baixa renda – faixa 01Não se aplicaNão se aplicaNão se aplica",Mercado_Receita!$N$2:$N$469)</f>
        <v>14.956999999999999</v>
      </c>
      <c r="K9" s="14">
        <f>SUMIF(Mercado_Receita!$T$2:$T$469,"44348B1Energia convencionalResidencialResidencial baixa renda – faixa 01Não se aplicaNão se aplicaNão se aplica",Mercado_Receita!$N$2:$N$469)</f>
        <v>12.541999999999998</v>
      </c>
      <c r="L9" s="14">
        <f>SUMIF(Mercado_Receita!$T$2:$T$469,"44378B1Energia convencionalResidencialResidencial baixa renda – faixa 01Não se aplicaNão se aplicaNão se aplica",Mercado_Receita!$N$2:$N$469)</f>
        <v>14.85</v>
      </c>
      <c r="M9" s="14">
        <f>SUMIF(Mercado_Receita!$T$2:$T$469,"44409B1Energia convencionalResidencialResidencial baixa renda – faixa 01Não se aplicaNão se aplicaNão se aplica",Mercado_Receita!$N$2:$N$469)</f>
        <v>15.36</v>
      </c>
      <c r="N9" s="14">
        <f>SUMIF(Mercado_Receita!$T$2:$T$469,"44440B1Energia convencionalResidencialResidencial baixa renda – faixa 01Não se aplicaNão se aplicaNão se aplica",Mercado_Receita!$N$2:$N$469)</f>
        <v>15.479999999999999</v>
      </c>
      <c r="O9" s="14">
        <f>SUMIF(Mercado_Receita!$T$2:$T$469,"44470B1Energia convencionalResidencialResidencial baixa renda – faixa 01Não se aplicaNão se aplicaNão se aplica",Mercado_Receita!$N$2:$N$469)</f>
        <v>17.100000000000001</v>
      </c>
      <c r="P9" s="14">
        <f>SUMIF(Mercado_Receita!$T$2:$T$469,"44501B1Energia convencionalResidencialResidencial baixa renda – faixa 01Não se aplicaNão se aplicaNão se aplica",Mercado_Receita!$N$2:$N$469)</f>
        <v>18.094999999999999</v>
      </c>
      <c r="Q9" s="14">
        <f>SUMIF(Mercado_Receita!$T$2:$T$469,"44531B1Energia convencionalResidencialResidencial baixa renda – faixa 01Não se aplicaNão se aplicaNão se aplica",Mercado_Receita!$N$2:$N$469)</f>
        <v>18.84</v>
      </c>
      <c r="R9" s="14">
        <f>SUMIF(Mercado_Receita!$T$2:$T$469,"44562B1Energia convencionalResidencialResidencial baixa renda – faixa 01Não se aplicaNão se aplicaNão se aplica",Mercado_Receita!$N$2:$N$469)</f>
        <v>19.619999999999997</v>
      </c>
      <c r="S9" s="14">
        <f>SUMIF(Mercado_Receita!$T$2:$T$469,"44593B1Energia convencionalResidencialResidencial baixa renda – faixa 01Não se aplicaNão se aplicaNão se aplica",Mercado_Receita!$N$2:$N$469)</f>
        <v>20.61</v>
      </c>
      <c r="T9" s="14">
        <f>SUMIF(Mercado_Receita!$T$2:$T$469,"44621B1Energia convencionalResidencialResidencial baixa renda – faixa 01Não se aplicaNão se aplicaNão se aplica",Mercado_Receita!$N$2:$N$469)</f>
        <v>44.703000000000003</v>
      </c>
      <c r="U9" s="14">
        <f t="shared" si="0"/>
        <v>224.727</v>
      </c>
      <c r="V9" s="14"/>
      <c r="W9" s="14"/>
    </row>
    <row r="10" spans="1:30" ht="11.25" customHeight="1" x14ac:dyDescent="0.25">
      <c r="A10" s="116"/>
      <c r="B10" s="116"/>
      <c r="C10" s="116"/>
      <c r="D10" s="13" t="s">
        <v>30</v>
      </c>
      <c r="E10" s="13" t="s">
        <v>25</v>
      </c>
      <c r="F10" s="13" t="s">
        <v>25</v>
      </c>
      <c r="G10" s="14" t="s">
        <v>75</v>
      </c>
      <c r="H10" s="14" t="s">
        <v>71</v>
      </c>
      <c r="I10" s="14">
        <f>SUMIF(Mercado_Receita!$T$2:$T$469,"44287B1Energia convencionalResidencialResidencial baixa renda – faixa 02Não se aplicaNão se aplicaNão se aplica",Mercado_Receita!$N$2:$N$469)</f>
        <v>26.719000000000001</v>
      </c>
      <c r="J10" s="14">
        <f>SUMIF(Mercado_Receita!$T$2:$T$469,"44317B1Energia convencionalResidencialResidencial baixa renda – faixa 02Não se aplicaNão se aplicaNão se aplica",Mercado_Receita!$N$2:$N$469)</f>
        <v>26.407</v>
      </c>
      <c r="K10" s="14">
        <f>SUMIF(Mercado_Receita!$T$2:$T$469,"44348B1Energia convencionalResidencialResidencial baixa renda – faixa 02Não se aplicaNão se aplicaNão se aplica",Mercado_Receita!$N$2:$N$469)</f>
        <v>29.285</v>
      </c>
      <c r="L10" s="14">
        <f>SUMIF(Mercado_Receita!$T$2:$T$469,"44378B1Energia convencionalResidencialResidencial baixa renda – faixa 02Não se aplicaNão se aplicaNão se aplica",Mercado_Receita!$N$2:$N$469)</f>
        <v>28.423999999999999</v>
      </c>
      <c r="M10" s="14">
        <f>SUMIF(Mercado_Receita!$T$2:$T$469,"44409B1Energia convencionalResidencialResidencial baixa renda – faixa 02Não se aplicaNão se aplicaNão se aplica",Mercado_Receita!$N$2:$N$469)</f>
        <v>29.297999999999998</v>
      </c>
      <c r="N10" s="14">
        <f>SUMIF(Mercado_Receita!$T$2:$T$469,"44440B1Energia convencionalResidencialResidencial baixa renda – faixa 02Não se aplicaNão se aplicaNão se aplica",Mercado_Receita!$N$2:$N$469)</f>
        <v>31.83</v>
      </c>
      <c r="O10" s="14">
        <f>SUMIF(Mercado_Receita!$T$2:$T$469,"44470B1Energia convencionalResidencialResidencial baixa renda – faixa 02Não se aplicaNão se aplicaNão se aplica",Mercado_Receita!$N$2:$N$469)</f>
        <v>34.856999999999999</v>
      </c>
      <c r="P10" s="14">
        <f>SUMIF(Mercado_Receita!$T$2:$T$469,"44501B1Energia convencionalResidencialResidencial baixa renda – faixa 02Não se aplicaNão se aplicaNão se aplica",Mercado_Receita!$N$2:$N$469)</f>
        <v>36.511999999999993</v>
      </c>
      <c r="Q10" s="14">
        <f>SUMIF(Mercado_Receita!$T$2:$T$469,"44531B1Energia convencionalResidencialResidencial baixa renda – faixa 02Não se aplicaNão se aplicaNão se aplica",Mercado_Receita!$N$2:$N$469)</f>
        <v>39.268000000000001</v>
      </c>
      <c r="R10" s="14">
        <f>SUMIF(Mercado_Receita!$T$2:$T$469,"44562B1Energia convencionalResidencialResidencial baixa renda – faixa 02Não se aplicaNão se aplicaNão se aplica",Mercado_Receita!$N$2:$N$469)</f>
        <v>41.498000000000005</v>
      </c>
      <c r="S10" s="14">
        <f>SUMIF(Mercado_Receita!$T$2:$T$469,"44593B1Energia convencionalResidencialResidencial baixa renda – faixa 02Não se aplicaNão se aplicaNão se aplica",Mercado_Receita!$N$2:$N$469)</f>
        <v>44.061999999999998</v>
      </c>
      <c r="T10" s="14">
        <f>SUMIF(Mercado_Receita!$T$2:$T$469,"44621B1Energia convencionalResidencialResidencial baixa renda – faixa 02Não se aplicaNão se aplicaNão se aplica",Mercado_Receita!$N$2:$N$469)</f>
        <v>89.283999999999992</v>
      </c>
      <c r="U10" s="14">
        <f t="shared" si="0"/>
        <v>457.44400000000002</v>
      </c>
      <c r="V10" s="14"/>
      <c r="W10" s="14"/>
    </row>
    <row r="11" spans="1:30" ht="11.25" customHeight="1" x14ac:dyDescent="0.25">
      <c r="A11" s="116"/>
      <c r="B11" s="116"/>
      <c r="C11" s="116"/>
      <c r="D11" s="13" t="s">
        <v>31</v>
      </c>
      <c r="E11" s="13" t="s">
        <v>25</v>
      </c>
      <c r="F11" s="13" t="s">
        <v>25</v>
      </c>
      <c r="G11" s="14" t="s">
        <v>75</v>
      </c>
      <c r="H11" s="14" t="s">
        <v>71</v>
      </c>
      <c r="I11" s="14">
        <f>SUMIF(Mercado_Receita!$T$2:$T$469,"44287B1Energia convencionalResidencialResidencial baixa renda – faixa 03Não se aplicaNão se aplicaNão se aplica",Mercado_Receita!$N$2:$N$469)</f>
        <v>25.189</v>
      </c>
      <c r="J11" s="14">
        <f>SUMIF(Mercado_Receita!$T$2:$T$469,"44317B1Energia convencionalResidencialResidencial baixa renda – faixa 03Não se aplicaNão se aplicaNão se aplica",Mercado_Receita!$N$2:$N$469)</f>
        <v>20.131</v>
      </c>
      <c r="K11" s="14">
        <f>SUMIF(Mercado_Receita!$T$2:$T$469,"44348B1Energia convencionalResidencialResidencial baixa renda – faixa 03Não se aplicaNão se aplicaNão se aplica",Mercado_Receita!$N$2:$N$469)</f>
        <v>21.241</v>
      </c>
      <c r="L11" s="14">
        <f>SUMIF(Mercado_Receita!$T$2:$T$469,"44378B1Energia convencionalResidencialResidencial baixa renda – faixa 03Não se aplicaNão se aplicaNão se aplica",Mercado_Receita!$N$2:$N$469)</f>
        <v>16.478999999999999</v>
      </c>
      <c r="M11" s="14">
        <f>SUMIF(Mercado_Receita!$T$2:$T$469,"44409B1Energia convencionalResidencialResidencial baixa renda – faixa 03Não se aplicaNão se aplicaNão se aplica",Mercado_Receita!$N$2:$N$469)</f>
        <v>17.116</v>
      </c>
      <c r="N11" s="14">
        <f>SUMIF(Mercado_Receita!$T$2:$T$469,"44440B1Energia convencionalResidencialResidencial baixa renda – faixa 03Não se aplicaNão se aplicaNão se aplica",Mercado_Receita!$N$2:$N$469)</f>
        <v>25.048999999999999</v>
      </c>
      <c r="O11" s="14">
        <f>SUMIF(Mercado_Receita!$T$2:$T$469,"44470B1Energia convencionalResidencialResidencial baixa renda – faixa 03Não se aplicaNão se aplicaNão se aplica",Mercado_Receita!$N$2:$N$469)</f>
        <v>25.533000000000001</v>
      </c>
      <c r="P11" s="14">
        <f>SUMIF(Mercado_Receita!$T$2:$T$469,"44501B1Energia convencionalResidencialResidencial baixa renda – faixa 03Não se aplicaNão se aplicaNão se aplica",Mercado_Receita!$N$2:$N$469)</f>
        <v>26.920999999999999</v>
      </c>
      <c r="Q11" s="14">
        <f>SUMIF(Mercado_Receita!$T$2:$T$469,"44531B1Energia convencionalResidencialResidencial baixa renda – faixa 03Não se aplicaNão se aplicaNão se aplica",Mercado_Receita!$N$2:$N$469)</f>
        <v>30.305</v>
      </c>
      <c r="R11" s="14">
        <f>SUMIF(Mercado_Receita!$T$2:$T$469,"44562B1Energia convencionalResidencialResidencial baixa renda – faixa 03Não se aplicaNão se aplicaNão se aplica",Mercado_Receita!$N$2:$N$469)</f>
        <v>38.073</v>
      </c>
      <c r="S11" s="14">
        <f>SUMIF(Mercado_Receita!$T$2:$T$469,"44593B1Energia convencionalResidencialResidencial baixa renda – faixa 03Não se aplicaNão se aplicaNão se aplica",Mercado_Receita!$N$2:$N$469)</f>
        <v>44.082000000000001</v>
      </c>
      <c r="T11" s="14">
        <f>SUMIF(Mercado_Receita!$T$2:$T$469,"44621B1Energia convencionalResidencialResidencial baixa renda – faixa 03Não se aplicaNão se aplicaNão se aplica",Mercado_Receita!$N$2:$N$469)</f>
        <v>75.806999999999988</v>
      </c>
      <c r="U11" s="14">
        <f t="shared" si="0"/>
        <v>365.92600000000004</v>
      </c>
      <c r="V11" s="14"/>
      <c r="W11" s="14"/>
    </row>
    <row r="12" spans="1:30" ht="11.25" customHeight="1" x14ac:dyDescent="0.25">
      <c r="A12" s="116"/>
      <c r="B12" s="116"/>
      <c r="C12" s="116"/>
      <c r="D12" s="13" t="s">
        <v>32</v>
      </c>
      <c r="E12" s="13" t="s">
        <v>25</v>
      </c>
      <c r="F12" s="13" t="s">
        <v>25</v>
      </c>
      <c r="G12" s="14" t="s">
        <v>75</v>
      </c>
      <c r="H12" s="14" t="s">
        <v>71</v>
      </c>
      <c r="I12" s="14">
        <f>SUMIF(Mercado_Receita!$T$2:$T$469,"44287B1Energia convencionalResidencialResidencial baixa renda – faixa 04Não se aplicaNão se aplicaNão se aplica",Mercado_Receita!$N$2:$N$469)</f>
        <v>7.2460000000000004</v>
      </c>
      <c r="J12" s="14">
        <f>SUMIF(Mercado_Receita!$T$2:$T$469,"44317B1Energia convencionalResidencialResidencial baixa renda – faixa 04Não se aplicaNão se aplicaNão se aplica",Mercado_Receita!$N$2:$N$469)</f>
        <v>3.5270000000000001</v>
      </c>
      <c r="K12" s="14">
        <f>SUMIF(Mercado_Receita!$T$2:$T$469,"44348B1Energia convencionalResidencialResidencial baixa renda – faixa 04Não se aplicaNão se aplicaNão se aplica",Mercado_Receita!$N$2:$N$469)</f>
        <v>3.3679999999999999</v>
      </c>
      <c r="L12" s="14">
        <f>SUMIF(Mercado_Receita!$T$2:$T$469,"44378B1Energia convencionalResidencialResidencial baixa renda – faixa 04Não se aplicaNão se aplicaNão se aplica",Mercado_Receita!$N$2:$N$469)</f>
        <v>2.0070000000000001</v>
      </c>
      <c r="M12" s="14">
        <f>SUMIF(Mercado_Receita!$T$2:$T$469,"44409B1Energia convencionalResidencialResidencial baixa renda – faixa 04Não se aplicaNão se aplicaNão se aplica",Mercado_Receita!$N$2:$N$469)</f>
        <v>1.996</v>
      </c>
      <c r="N12" s="14">
        <f>SUMIF(Mercado_Receita!$T$2:$T$469,"44440B1Energia convencionalResidencialResidencial baixa renda – faixa 04Não se aplicaNão se aplicaNão se aplica",Mercado_Receita!$N$2:$N$469)</f>
        <v>4.6749999999999998</v>
      </c>
      <c r="O12" s="14">
        <f>SUMIF(Mercado_Receita!$T$2:$T$469,"44470B1Energia convencionalResidencialResidencial baixa renda – faixa 04Não se aplicaNão se aplicaNão se aplica",Mercado_Receita!$N$2:$N$469)</f>
        <v>4.0620000000000003</v>
      </c>
      <c r="P12" s="14">
        <f>SUMIF(Mercado_Receita!$T$2:$T$469,"44501B1Energia convencionalResidencialResidencial baixa renda – faixa 04Não se aplicaNão se aplicaNão se aplica",Mercado_Receita!$N$2:$N$469)</f>
        <v>4.5039999999999996</v>
      </c>
      <c r="Q12" s="14">
        <f>SUMIF(Mercado_Receita!$T$2:$T$469,"44531B1Energia convencionalResidencialResidencial baixa renda – faixa 04Não se aplicaNão se aplicaNão se aplica",Mercado_Receita!$N$2:$N$469)</f>
        <v>5.1580000000000004</v>
      </c>
      <c r="R12" s="14">
        <f>SUMIF(Mercado_Receita!$T$2:$T$469,"44562B1Energia convencionalResidencialResidencial baixa renda – faixa 04Não se aplicaNão se aplicaNão se aplica",Mercado_Receita!$N$2:$N$469)</f>
        <v>9.8369999999999997</v>
      </c>
      <c r="S12" s="14">
        <f>SUMIF(Mercado_Receita!$T$2:$T$469,"44593B1Energia convencionalResidencialResidencial baixa renda – faixa 04Não se aplicaNão se aplicaNão se aplica",Mercado_Receita!$N$2:$N$469)</f>
        <v>14.343999999999999</v>
      </c>
      <c r="T12" s="14">
        <f>SUMIF(Mercado_Receita!$T$2:$T$469,"44621B1Energia convencionalResidencialResidencial baixa renda – faixa 04Não se aplicaNão se aplicaNão se aplica",Mercado_Receita!$N$2:$N$469)</f>
        <v>21.021999999999998</v>
      </c>
      <c r="U12" s="14">
        <f t="shared" si="0"/>
        <v>81.745999999999995</v>
      </c>
      <c r="V12" s="14"/>
      <c r="W12" s="14"/>
    </row>
    <row r="13" spans="1:30" ht="11.25" customHeight="1" x14ac:dyDescent="0.25">
      <c r="A13" s="116"/>
      <c r="B13" s="115" t="s">
        <v>85</v>
      </c>
      <c r="C13" s="115" t="s">
        <v>24</v>
      </c>
      <c r="D13" s="13" t="s">
        <v>24</v>
      </c>
      <c r="E13" s="13" t="s">
        <v>25</v>
      </c>
      <c r="F13" s="13" t="s">
        <v>25</v>
      </c>
      <c r="G13" s="14" t="s">
        <v>75</v>
      </c>
      <c r="H13" s="14" t="s">
        <v>71</v>
      </c>
      <c r="I13" s="14">
        <f>SUMIF(Mercado_Receita!$T$2:$T$469,"44287B1Energia convencional pré-pagamentoResidencialResidencialNão se aplicaNão se aplicaNão se aplica",Mercado_Receita!$N$2:$N$469)</f>
        <v>0</v>
      </c>
      <c r="J13" s="14">
        <f>SUMIF(Mercado_Receita!$T$2:$T$469,"44317B1Energia convencional pré-pagamentoResidencialResidencialNão se aplicaNão se aplicaNão se aplica",Mercado_Receita!$N$2:$N$469)</f>
        <v>0</v>
      </c>
      <c r="K13" s="14">
        <f>SUMIF(Mercado_Receita!$T$2:$T$469,"44348B1Energia convencional pré-pagamentoResidencialResidencialNão se aplicaNão se aplicaNão se aplica",Mercado_Receita!$N$2:$N$469)</f>
        <v>0</v>
      </c>
      <c r="L13" s="14">
        <f>SUMIF(Mercado_Receita!$T$2:$T$469,"44378B1Energia convencional pré-pagamentoResidencialResidencialNão se aplicaNão se aplicaNão se aplica",Mercado_Receita!$N$2:$N$469)</f>
        <v>0</v>
      </c>
      <c r="M13" s="14">
        <f>SUMIF(Mercado_Receita!$T$2:$T$469,"44409B1Energia convencional pré-pagamentoResidencialResidencialNão se aplicaNão se aplicaNão se aplica",Mercado_Receita!$N$2:$N$469)</f>
        <v>0</v>
      </c>
      <c r="N13" s="14">
        <f>SUMIF(Mercado_Receita!$T$2:$T$469,"44440B1Energia convencional pré-pagamentoResidencialResidencialNão se aplicaNão se aplicaNão se aplica",Mercado_Receita!$N$2:$N$469)</f>
        <v>0</v>
      </c>
      <c r="O13" s="14">
        <f>SUMIF(Mercado_Receita!$T$2:$T$469,"44470B1Energia convencional pré-pagamentoResidencialResidencialNão se aplicaNão se aplicaNão se aplica",Mercado_Receita!$N$2:$N$469)</f>
        <v>0</v>
      </c>
      <c r="P13" s="14">
        <f>SUMIF(Mercado_Receita!$T$2:$T$469,"44501B1Energia convencional pré-pagamentoResidencialResidencialNão se aplicaNão se aplicaNão se aplica",Mercado_Receita!$N$2:$N$469)</f>
        <v>0</v>
      </c>
      <c r="Q13" s="14">
        <f>SUMIF(Mercado_Receita!$T$2:$T$469,"44531B1Energia convencional pré-pagamentoResidencialResidencialNão se aplicaNão se aplicaNão se aplica",Mercado_Receita!$N$2:$N$469)</f>
        <v>0</v>
      </c>
      <c r="R13" s="14">
        <f>SUMIF(Mercado_Receita!$T$2:$T$469,"44562B1Energia convencional pré-pagamentoResidencialResidencialNão se aplicaNão se aplicaNão se aplica",Mercado_Receita!$N$2:$N$469)</f>
        <v>0</v>
      </c>
      <c r="S13" s="14">
        <f>SUMIF(Mercado_Receita!$T$2:$T$469,"44593B1Energia convencional pré-pagamentoResidencialResidencialNão se aplicaNão se aplicaNão se aplica",Mercado_Receita!$N$2:$N$469)</f>
        <v>0</v>
      </c>
      <c r="T13" s="14">
        <f>SUMIF(Mercado_Receita!$T$2:$T$469,"44621B1Energia convencional pré-pagamentoResidencialResidencialNão se aplicaNão se aplicaNão se aplica",Mercado_Receita!$N$2:$N$469)</f>
        <v>0</v>
      </c>
      <c r="U13" s="14">
        <f t="shared" si="0"/>
        <v>0</v>
      </c>
      <c r="V13" s="14"/>
      <c r="W13" s="14"/>
    </row>
    <row r="14" spans="1:30" ht="11.25" customHeight="1" x14ac:dyDescent="0.25">
      <c r="A14" s="116"/>
      <c r="B14" s="116"/>
      <c r="C14" s="116"/>
      <c r="D14" s="13" t="s">
        <v>29</v>
      </c>
      <c r="E14" s="13" t="s">
        <v>25</v>
      </c>
      <c r="F14" s="13" t="s">
        <v>25</v>
      </c>
      <c r="G14" s="14" t="s">
        <v>75</v>
      </c>
      <c r="H14" s="14" t="s">
        <v>71</v>
      </c>
      <c r="I14" s="14">
        <f>SUMIF(Mercado_Receita!$T$2:$T$469,"44287B1Energia convencional pré-pagamentoResidencialResidencial baixa renda – faixa 01Não se aplicaNão se aplicaNão se aplica",Mercado_Receita!$N$2:$N$469)</f>
        <v>0</v>
      </c>
      <c r="J14" s="14">
        <f>SUMIF(Mercado_Receita!$T$2:$T$469,"44317B1Energia convencional pré-pagamentoResidencialResidencial baixa renda – faixa 01Não se aplicaNão se aplicaNão se aplica",Mercado_Receita!$N$2:$N$469)</f>
        <v>0</v>
      </c>
      <c r="K14" s="14">
        <f>SUMIF(Mercado_Receita!$T$2:$T$469,"44348B1Energia convencional pré-pagamentoResidencialResidencial baixa renda – faixa 01Não se aplicaNão se aplicaNão se aplica",Mercado_Receita!$N$2:$N$469)</f>
        <v>0</v>
      </c>
      <c r="L14" s="14">
        <f>SUMIF(Mercado_Receita!$T$2:$T$469,"44378B1Energia convencional pré-pagamentoResidencialResidencial baixa renda – faixa 01Não se aplicaNão se aplicaNão se aplica",Mercado_Receita!$N$2:$N$469)</f>
        <v>0</v>
      </c>
      <c r="M14" s="14">
        <f>SUMIF(Mercado_Receita!$T$2:$T$469,"44409B1Energia convencional pré-pagamentoResidencialResidencial baixa renda – faixa 01Não se aplicaNão se aplicaNão se aplica",Mercado_Receita!$N$2:$N$469)</f>
        <v>0</v>
      </c>
      <c r="N14" s="14">
        <f>SUMIF(Mercado_Receita!$T$2:$T$469,"44440B1Energia convencional pré-pagamentoResidencialResidencial baixa renda – faixa 01Não se aplicaNão se aplicaNão se aplica",Mercado_Receita!$N$2:$N$469)</f>
        <v>0</v>
      </c>
      <c r="O14" s="14">
        <f>SUMIF(Mercado_Receita!$T$2:$T$469,"44470B1Energia convencional pré-pagamentoResidencialResidencial baixa renda – faixa 01Não se aplicaNão se aplicaNão se aplica",Mercado_Receita!$N$2:$N$469)</f>
        <v>0</v>
      </c>
      <c r="P14" s="14">
        <f>SUMIF(Mercado_Receita!$T$2:$T$469,"44501B1Energia convencional pré-pagamentoResidencialResidencial baixa renda – faixa 01Não se aplicaNão se aplicaNão se aplica",Mercado_Receita!$N$2:$N$469)</f>
        <v>0</v>
      </c>
      <c r="Q14" s="14">
        <f>SUMIF(Mercado_Receita!$T$2:$T$469,"44531B1Energia convencional pré-pagamentoResidencialResidencial baixa renda – faixa 01Não se aplicaNão se aplicaNão se aplica",Mercado_Receita!$N$2:$N$469)</f>
        <v>0</v>
      </c>
      <c r="R14" s="14">
        <f>SUMIF(Mercado_Receita!$T$2:$T$469,"44562B1Energia convencional pré-pagamentoResidencialResidencial baixa renda – faixa 01Não se aplicaNão se aplicaNão se aplica",Mercado_Receita!$N$2:$N$469)</f>
        <v>0</v>
      </c>
      <c r="S14" s="14">
        <f>SUMIF(Mercado_Receita!$T$2:$T$469,"44593B1Energia convencional pré-pagamentoResidencialResidencial baixa renda – faixa 01Não se aplicaNão se aplicaNão se aplica",Mercado_Receita!$N$2:$N$469)</f>
        <v>0</v>
      </c>
      <c r="T14" s="14">
        <f>SUMIF(Mercado_Receita!$T$2:$T$469,"44621B1Energia convencional pré-pagamentoResidencialResidencial baixa renda – faixa 01Não se aplicaNão se aplicaNão se aplica",Mercado_Receita!$N$2:$N$469)</f>
        <v>0</v>
      </c>
      <c r="U14" s="14">
        <f t="shared" si="0"/>
        <v>0</v>
      </c>
      <c r="V14" s="14"/>
      <c r="W14" s="14"/>
    </row>
    <row r="15" spans="1:30" ht="11.25" customHeight="1" x14ac:dyDescent="0.25">
      <c r="A15" s="116"/>
      <c r="B15" s="116"/>
      <c r="C15" s="116"/>
      <c r="D15" s="13" t="s">
        <v>30</v>
      </c>
      <c r="E15" s="13" t="s">
        <v>25</v>
      </c>
      <c r="F15" s="13" t="s">
        <v>25</v>
      </c>
      <c r="G15" s="14" t="s">
        <v>75</v>
      </c>
      <c r="H15" s="14" t="s">
        <v>71</v>
      </c>
      <c r="I15" s="14">
        <f>SUMIF(Mercado_Receita!$T$2:$T$469,"44287B1Energia convencional pré-pagamentoResidencialResidencial baixa renda – faixa 02Não se aplicaNão se aplicaNão se aplica",Mercado_Receita!$N$2:$N$469)</f>
        <v>0</v>
      </c>
      <c r="J15" s="14">
        <f>SUMIF(Mercado_Receita!$T$2:$T$469,"44317B1Energia convencional pré-pagamentoResidencialResidencial baixa renda – faixa 02Não se aplicaNão se aplicaNão se aplica",Mercado_Receita!$N$2:$N$469)</f>
        <v>0</v>
      </c>
      <c r="K15" s="14">
        <f>SUMIF(Mercado_Receita!$T$2:$T$469,"44348B1Energia convencional pré-pagamentoResidencialResidencial baixa renda – faixa 02Não se aplicaNão se aplicaNão se aplica",Mercado_Receita!$N$2:$N$469)</f>
        <v>0</v>
      </c>
      <c r="L15" s="14">
        <f>SUMIF(Mercado_Receita!$T$2:$T$469,"44378B1Energia convencional pré-pagamentoResidencialResidencial baixa renda – faixa 02Não se aplicaNão se aplicaNão se aplica",Mercado_Receita!$N$2:$N$469)</f>
        <v>0</v>
      </c>
      <c r="M15" s="14">
        <f>SUMIF(Mercado_Receita!$T$2:$T$469,"44409B1Energia convencional pré-pagamentoResidencialResidencial baixa renda – faixa 02Não se aplicaNão se aplicaNão se aplica",Mercado_Receita!$N$2:$N$469)</f>
        <v>0</v>
      </c>
      <c r="N15" s="14">
        <f>SUMIF(Mercado_Receita!$T$2:$T$469,"44440B1Energia convencional pré-pagamentoResidencialResidencial baixa renda – faixa 02Não se aplicaNão se aplicaNão se aplica",Mercado_Receita!$N$2:$N$469)</f>
        <v>0</v>
      </c>
      <c r="O15" s="14">
        <f>SUMIF(Mercado_Receita!$T$2:$T$469,"44470B1Energia convencional pré-pagamentoResidencialResidencial baixa renda – faixa 02Não se aplicaNão se aplicaNão se aplica",Mercado_Receita!$N$2:$N$469)</f>
        <v>0</v>
      </c>
      <c r="P15" s="14">
        <f>SUMIF(Mercado_Receita!$T$2:$T$469,"44501B1Energia convencional pré-pagamentoResidencialResidencial baixa renda – faixa 02Não se aplicaNão se aplicaNão se aplica",Mercado_Receita!$N$2:$N$469)</f>
        <v>0</v>
      </c>
      <c r="Q15" s="14">
        <f>SUMIF(Mercado_Receita!$T$2:$T$469,"44531B1Energia convencional pré-pagamentoResidencialResidencial baixa renda – faixa 02Não se aplicaNão se aplicaNão se aplica",Mercado_Receita!$N$2:$N$469)</f>
        <v>0</v>
      </c>
      <c r="R15" s="14">
        <f>SUMIF(Mercado_Receita!$T$2:$T$469,"44562B1Energia convencional pré-pagamentoResidencialResidencial baixa renda – faixa 02Não se aplicaNão se aplicaNão se aplica",Mercado_Receita!$N$2:$N$469)</f>
        <v>0</v>
      </c>
      <c r="S15" s="14">
        <f>SUMIF(Mercado_Receita!$T$2:$T$469,"44593B1Energia convencional pré-pagamentoResidencialResidencial baixa renda – faixa 02Não se aplicaNão se aplicaNão se aplica",Mercado_Receita!$N$2:$N$469)</f>
        <v>0</v>
      </c>
      <c r="T15" s="14">
        <f>SUMIF(Mercado_Receita!$T$2:$T$469,"44621B1Energia convencional pré-pagamentoResidencialResidencial baixa renda – faixa 02Não se aplicaNão se aplicaNão se aplica",Mercado_Receita!$N$2:$N$469)</f>
        <v>0</v>
      </c>
      <c r="U15" s="14">
        <f t="shared" si="0"/>
        <v>0</v>
      </c>
      <c r="V15" s="14"/>
      <c r="W15" s="14"/>
    </row>
    <row r="16" spans="1:30" ht="11.25" customHeight="1" x14ac:dyDescent="0.25">
      <c r="A16" s="116"/>
      <c r="B16" s="116"/>
      <c r="C16" s="116"/>
      <c r="D16" s="13" t="s">
        <v>31</v>
      </c>
      <c r="E16" s="13" t="s">
        <v>25</v>
      </c>
      <c r="F16" s="13" t="s">
        <v>25</v>
      </c>
      <c r="G16" s="14" t="s">
        <v>75</v>
      </c>
      <c r="H16" s="14" t="s">
        <v>71</v>
      </c>
      <c r="I16" s="14">
        <f>SUMIF(Mercado_Receita!$T$2:$T$469,"44287B1Energia convencional pré-pagamentoResidencialResidencial baixa renda – faixa 03Não se aplicaNão se aplicaNão se aplica",Mercado_Receita!$N$2:$N$469)</f>
        <v>0</v>
      </c>
      <c r="J16" s="14">
        <f>SUMIF(Mercado_Receita!$T$2:$T$469,"44317B1Energia convencional pré-pagamentoResidencialResidencial baixa renda – faixa 03Não se aplicaNão se aplicaNão se aplica",Mercado_Receita!$N$2:$N$469)</f>
        <v>0</v>
      </c>
      <c r="K16" s="14">
        <f>SUMIF(Mercado_Receita!$T$2:$T$469,"44348B1Energia convencional pré-pagamentoResidencialResidencial baixa renda – faixa 03Não se aplicaNão se aplicaNão se aplica",Mercado_Receita!$N$2:$N$469)</f>
        <v>0</v>
      </c>
      <c r="L16" s="14">
        <f>SUMIF(Mercado_Receita!$T$2:$T$469,"44378B1Energia convencional pré-pagamentoResidencialResidencial baixa renda – faixa 03Não se aplicaNão se aplicaNão se aplica",Mercado_Receita!$N$2:$N$469)</f>
        <v>0</v>
      </c>
      <c r="M16" s="14">
        <f>SUMIF(Mercado_Receita!$T$2:$T$469,"44409B1Energia convencional pré-pagamentoResidencialResidencial baixa renda – faixa 03Não se aplicaNão se aplicaNão se aplica",Mercado_Receita!$N$2:$N$469)</f>
        <v>0</v>
      </c>
      <c r="N16" s="14">
        <f>SUMIF(Mercado_Receita!$T$2:$T$469,"44440B1Energia convencional pré-pagamentoResidencialResidencial baixa renda – faixa 03Não se aplicaNão se aplicaNão se aplica",Mercado_Receita!$N$2:$N$469)</f>
        <v>0</v>
      </c>
      <c r="O16" s="14">
        <f>SUMIF(Mercado_Receita!$T$2:$T$469,"44470B1Energia convencional pré-pagamentoResidencialResidencial baixa renda – faixa 03Não se aplicaNão se aplicaNão se aplica",Mercado_Receita!$N$2:$N$469)</f>
        <v>0</v>
      </c>
      <c r="P16" s="14">
        <f>SUMIF(Mercado_Receita!$T$2:$T$469,"44501B1Energia convencional pré-pagamentoResidencialResidencial baixa renda – faixa 03Não se aplicaNão se aplicaNão se aplica",Mercado_Receita!$N$2:$N$469)</f>
        <v>0</v>
      </c>
      <c r="Q16" s="14">
        <f>SUMIF(Mercado_Receita!$T$2:$T$469,"44531B1Energia convencional pré-pagamentoResidencialResidencial baixa renda – faixa 03Não se aplicaNão se aplicaNão se aplica",Mercado_Receita!$N$2:$N$469)</f>
        <v>0</v>
      </c>
      <c r="R16" s="14">
        <f>SUMIF(Mercado_Receita!$T$2:$T$469,"44562B1Energia convencional pré-pagamentoResidencialResidencial baixa renda – faixa 03Não se aplicaNão se aplicaNão se aplica",Mercado_Receita!$N$2:$N$469)</f>
        <v>0</v>
      </c>
      <c r="S16" s="14">
        <f>SUMIF(Mercado_Receita!$T$2:$T$469,"44593B1Energia convencional pré-pagamentoResidencialResidencial baixa renda – faixa 03Não se aplicaNão se aplicaNão se aplica",Mercado_Receita!$N$2:$N$469)</f>
        <v>0</v>
      </c>
      <c r="T16" s="14">
        <f>SUMIF(Mercado_Receita!$T$2:$T$469,"44621B1Energia convencional pré-pagamentoResidencialResidencial baixa renda – faixa 03Não se aplicaNão se aplicaNão se aplica",Mercado_Receita!$N$2:$N$469)</f>
        <v>0</v>
      </c>
      <c r="U16" s="14">
        <f t="shared" si="0"/>
        <v>0</v>
      </c>
      <c r="V16" s="14"/>
      <c r="W16" s="14"/>
    </row>
    <row r="17" spans="1:23" ht="11.25" customHeight="1" x14ac:dyDescent="0.25">
      <c r="A17" s="116"/>
      <c r="B17" s="116"/>
      <c r="C17" s="116"/>
      <c r="D17" s="13" t="s">
        <v>32</v>
      </c>
      <c r="E17" s="13" t="s">
        <v>25</v>
      </c>
      <c r="F17" s="13" t="s">
        <v>25</v>
      </c>
      <c r="G17" s="14" t="s">
        <v>75</v>
      </c>
      <c r="H17" s="14" t="s">
        <v>71</v>
      </c>
      <c r="I17" s="14">
        <f>SUMIF(Mercado_Receita!$T$2:$T$469,"44287B1Energia convencional pré-pagamentoResidencialResidencial baixa renda – faixa 04Não se aplicaNão se aplicaNão se aplica",Mercado_Receita!$N$2:$N$469)</f>
        <v>0</v>
      </c>
      <c r="J17" s="14">
        <f>SUMIF(Mercado_Receita!$T$2:$T$469,"44317B1Energia convencional pré-pagamentoResidencialResidencial baixa renda – faixa 04Não se aplicaNão se aplicaNão se aplica",Mercado_Receita!$N$2:$N$469)</f>
        <v>0</v>
      </c>
      <c r="K17" s="14">
        <f>SUMIF(Mercado_Receita!$T$2:$T$469,"44348B1Energia convencional pré-pagamentoResidencialResidencial baixa renda – faixa 04Não se aplicaNão se aplicaNão se aplica",Mercado_Receita!$N$2:$N$469)</f>
        <v>0</v>
      </c>
      <c r="L17" s="14">
        <f>SUMIF(Mercado_Receita!$T$2:$T$469,"44378B1Energia convencional pré-pagamentoResidencialResidencial baixa renda – faixa 04Não se aplicaNão se aplicaNão se aplica",Mercado_Receita!$N$2:$N$469)</f>
        <v>0</v>
      </c>
      <c r="M17" s="14">
        <f>SUMIF(Mercado_Receita!$T$2:$T$469,"44409B1Energia convencional pré-pagamentoResidencialResidencial baixa renda – faixa 04Não se aplicaNão se aplicaNão se aplica",Mercado_Receita!$N$2:$N$469)</f>
        <v>0</v>
      </c>
      <c r="N17" s="14">
        <f>SUMIF(Mercado_Receita!$T$2:$T$469,"44440B1Energia convencional pré-pagamentoResidencialResidencial baixa renda – faixa 04Não se aplicaNão se aplicaNão se aplica",Mercado_Receita!$N$2:$N$469)</f>
        <v>0</v>
      </c>
      <c r="O17" s="14">
        <f>SUMIF(Mercado_Receita!$T$2:$T$469,"44470B1Energia convencional pré-pagamentoResidencialResidencial baixa renda – faixa 04Não se aplicaNão se aplicaNão se aplica",Mercado_Receita!$N$2:$N$469)</f>
        <v>0</v>
      </c>
      <c r="P17" s="14">
        <f>SUMIF(Mercado_Receita!$T$2:$T$469,"44501B1Energia convencional pré-pagamentoResidencialResidencial baixa renda – faixa 04Não se aplicaNão se aplicaNão se aplica",Mercado_Receita!$N$2:$N$469)</f>
        <v>0</v>
      </c>
      <c r="Q17" s="14">
        <f>SUMIF(Mercado_Receita!$T$2:$T$469,"44531B1Energia convencional pré-pagamentoResidencialResidencial baixa renda – faixa 04Não se aplicaNão se aplicaNão se aplica",Mercado_Receita!$N$2:$N$469)</f>
        <v>0</v>
      </c>
      <c r="R17" s="14">
        <f>SUMIF(Mercado_Receita!$T$2:$T$469,"44562B1Energia convencional pré-pagamentoResidencialResidencial baixa renda – faixa 04Não se aplicaNão se aplicaNão se aplica",Mercado_Receita!$N$2:$N$469)</f>
        <v>0</v>
      </c>
      <c r="S17" s="14">
        <f>SUMIF(Mercado_Receita!$T$2:$T$469,"44593B1Energia convencional pré-pagamentoResidencialResidencial baixa renda – faixa 04Não se aplicaNão se aplicaNão se aplica",Mercado_Receita!$N$2:$N$469)</f>
        <v>0</v>
      </c>
      <c r="T17" s="14">
        <f>SUMIF(Mercado_Receita!$T$2:$T$469,"44621B1Energia convencional pré-pagamentoResidencialResidencial baixa renda – faixa 04Não se aplicaNão se aplicaNão se aplica",Mercado_Receita!$N$2:$N$469)</f>
        <v>0</v>
      </c>
      <c r="U17" s="14">
        <f t="shared" si="0"/>
        <v>0</v>
      </c>
      <c r="V17" s="14"/>
      <c r="W17" s="14"/>
    </row>
    <row r="18" spans="1:23" ht="11.25" customHeight="1" x14ac:dyDescent="0.25">
      <c r="A18" s="115" t="s">
        <v>43</v>
      </c>
      <c r="B18" s="115" t="s">
        <v>70</v>
      </c>
      <c r="C18" s="115" t="s">
        <v>44</v>
      </c>
      <c r="D18" s="115" t="s">
        <v>25</v>
      </c>
      <c r="E18" s="115" t="s">
        <v>25</v>
      </c>
      <c r="F18" s="115" t="s">
        <v>25</v>
      </c>
      <c r="G18" s="14" t="s">
        <v>72</v>
      </c>
      <c r="H18" s="14" t="s">
        <v>71</v>
      </c>
      <c r="I18" s="14">
        <f>SUMIF(Mercado_Receita!$T$2:$T$469,"44287B2Energia horáriaRuralNão se aplicaNão se aplicaNão se aplicaPonta",Mercado_Receita!$N$2:$N$469)</f>
        <v>0</v>
      </c>
      <c r="J18" s="14">
        <f>SUMIF(Mercado_Receita!$T$2:$T$469,"44317B2Energia horáriaRuralNão se aplicaNão se aplicaNão se aplicaPonta",Mercado_Receita!$N$2:$N$469)</f>
        <v>0</v>
      </c>
      <c r="K18" s="14">
        <f>SUMIF(Mercado_Receita!$T$2:$T$469,"44348B2Energia horáriaRuralNão se aplicaNão se aplicaNão se aplicaPonta",Mercado_Receita!$N$2:$N$469)</f>
        <v>0</v>
      </c>
      <c r="L18" s="14">
        <f>SUMIF(Mercado_Receita!$T$2:$T$469,"44378B2Energia horáriaRuralNão se aplicaNão se aplicaNão se aplicaPonta",Mercado_Receita!$N$2:$N$469)</f>
        <v>0</v>
      </c>
      <c r="M18" s="14">
        <f>SUMIF(Mercado_Receita!$T$2:$T$469,"44409B2Energia horáriaRuralNão se aplicaNão se aplicaNão se aplicaPonta",Mercado_Receita!$N$2:$N$469)</f>
        <v>0</v>
      </c>
      <c r="N18" s="14">
        <f>SUMIF(Mercado_Receita!$T$2:$T$469,"44440B2Energia horáriaRuralNão se aplicaNão se aplicaNão se aplicaPonta",Mercado_Receita!$N$2:$N$469)</f>
        <v>0</v>
      </c>
      <c r="O18" s="14">
        <f>SUMIF(Mercado_Receita!$T$2:$T$469,"44470B2Energia horáriaRuralNão se aplicaNão se aplicaNão se aplicaPonta",Mercado_Receita!$N$2:$N$469)</f>
        <v>0</v>
      </c>
      <c r="P18" s="14">
        <f>SUMIF(Mercado_Receita!$T$2:$T$469,"44501B2Energia horáriaRuralNão se aplicaNão se aplicaNão se aplicaPonta",Mercado_Receita!$N$2:$N$469)</f>
        <v>0</v>
      </c>
      <c r="Q18" s="14">
        <f>SUMIF(Mercado_Receita!$T$2:$T$469,"44531B2Energia horáriaRuralNão se aplicaNão se aplicaNão se aplicaPonta",Mercado_Receita!$N$2:$N$469)</f>
        <v>0</v>
      </c>
      <c r="R18" s="14">
        <f>SUMIF(Mercado_Receita!$T$2:$T$469,"44562B2Energia horáriaRuralNão se aplicaNão se aplicaNão se aplicaPonta",Mercado_Receita!$N$2:$N$469)</f>
        <v>0</v>
      </c>
      <c r="S18" s="14">
        <f>SUMIF(Mercado_Receita!$T$2:$T$469,"44593B2Energia horáriaRuralNão se aplicaNão se aplicaNão se aplicaPonta",Mercado_Receita!$N$2:$N$469)</f>
        <v>0</v>
      </c>
      <c r="T18" s="14">
        <f>SUMIF(Mercado_Receita!$T$2:$T$469,"44621B2Energia horáriaRuralNão se aplicaNão se aplicaNão se aplicaPonta",Mercado_Receita!$N$2:$N$469)</f>
        <v>0</v>
      </c>
      <c r="U18" s="14">
        <f t="shared" si="0"/>
        <v>0</v>
      </c>
      <c r="V18" s="14"/>
      <c r="W18" s="14"/>
    </row>
    <row r="19" spans="1:23" ht="11.25" customHeight="1" x14ac:dyDescent="0.25">
      <c r="A19" s="116"/>
      <c r="B19" s="116"/>
      <c r="C19" s="116"/>
      <c r="D19" s="116"/>
      <c r="E19" s="116"/>
      <c r="F19" s="116"/>
      <c r="G19" s="14" t="s">
        <v>84</v>
      </c>
      <c r="H19" s="14" t="s">
        <v>71</v>
      </c>
      <c r="I19" s="14">
        <f>SUMIF(Mercado_Receita!$T$2:$T$469,"44287B2Energia horáriaRuralNão se aplicaNão se aplicaNão se aplicaIntermediário",Mercado_Receita!$N$2:$N$469)</f>
        <v>0</v>
      </c>
      <c r="J19" s="14">
        <f>SUMIF(Mercado_Receita!$T$2:$T$469,"44317B2Energia horáriaRuralNão se aplicaNão se aplicaNão se aplicaIntermediário",Mercado_Receita!$N$2:$N$469)</f>
        <v>0</v>
      </c>
      <c r="K19" s="14">
        <f>SUMIF(Mercado_Receita!$T$2:$T$469,"44348B2Energia horáriaRuralNão se aplicaNão se aplicaNão se aplicaIntermediário",Mercado_Receita!$N$2:$N$469)</f>
        <v>0</v>
      </c>
      <c r="L19" s="14">
        <f>SUMIF(Mercado_Receita!$T$2:$T$469,"44378B2Energia horáriaRuralNão se aplicaNão se aplicaNão se aplicaIntermediário",Mercado_Receita!$N$2:$N$469)</f>
        <v>0</v>
      </c>
      <c r="M19" s="14">
        <f>SUMIF(Mercado_Receita!$T$2:$T$469,"44409B2Energia horáriaRuralNão se aplicaNão se aplicaNão se aplicaIntermediário",Mercado_Receita!$N$2:$N$469)</f>
        <v>0</v>
      </c>
      <c r="N19" s="14">
        <f>SUMIF(Mercado_Receita!$T$2:$T$469,"44440B2Energia horáriaRuralNão se aplicaNão se aplicaNão se aplicaIntermediário",Mercado_Receita!$N$2:$N$469)</f>
        <v>0</v>
      </c>
      <c r="O19" s="14">
        <f>SUMIF(Mercado_Receita!$T$2:$T$469,"44470B2Energia horáriaRuralNão se aplicaNão se aplicaNão se aplicaIntermediário",Mercado_Receita!$N$2:$N$469)</f>
        <v>0</v>
      </c>
      <c r="P19" s="14">
        <f>SUMIF(Mercado_Receita!$T$2:$T$469,"44501B2Energia horáriaRuralNão se aplicaNão se aplicaNão se aplicaIntermediário",Mercado_Receita!$N$2:$N$469)</f>
        <v>0</v>
      </c>
      <c r="Q19" s="14">
        <f>SUMIF(Mercado_Receita!$T$2:$T$469,"44531B2Energia horáriaRuralNão se aplicaNão se aplicaNão se aplicaIntermediário",Mercado_Receita!$N$2:$N$469)</f>
        <v>0</v>
      </c>
      <c r="R19" s="14">
        <f>SUMIF(Mercado_Receita!$T$2:$T$469,"44562B2Energia horáriaRuralNão se aplicaNão se aplicaNão se aplicaIntermediário",Mercado_Receita!$N$2:$N$469)</f>
        <v>0</v>
      </c>
      <c r="S19" s="14">
        <f>SUMIF(Mercado_Receita!$T$2:$T$469,"44593B2Energia horáriaRuralNão se aplicaNão se aplicaNão se aplicaIntermediário",Mercado_Receita!$N$2:$N$469)</f>
        <v>0</v>
      </c>
      <c r="T19" s="14">
        <f>SUMIF(Mercado_Receita!$T$2:$T$469,"44621B2Energia horáriaRuralNão se aplicaNão se aplicaNão se aplicaIntermediário",Mercado_Receita!$N$2:$N$469)</f>
        <v>0</v>
      </c>
      <c r="U19" s="14">
        <f t="shared" si="0"/>
        <v>0</v>
      </c>
      <c r="V19" s="14"/>
      <c r="W19" s="14"/>
    </row>
    <row r="20" spans="1:23" ht="11.25" customHeight="1" x14ac:dyDescent="0.25">
      <c r="A20" s="116"/>
      <c r="B20" s="116"/>
      <c r="C20" s="116"/>
      <c r="D20" s="116"/>
      <c r="E20" s="116"/>
      <c r="F20" s="116"/>
      <c r="G20" s="14" t="s">
        <v>73</v>
      </c>
      <c r="H20" s="14" t="s">
        <v>71</v>
      </c>
      <c r="I20" s="14">
        <f>SUMIF(Mercado_Receita!$T$2:$T$469,"44287B2Energia horáriaRuralNão se aplicaNão se aplicaNão se aplicaFora ponta",Mercado_Receita!$N$2:$N$469)</f>
        <v>0</v>
      </c>
      <c r="J20" s="14">
        <f>SUMIF(Mercado_Receita!$T$2:$T$469,"44317B2Energia horáriaRuralNão se aplicaNão se aplicaNão se aplicaFora ponta",Mercado_Receita!$N$2:$N$469)</f>
        <v>0</v>
      </c>
      <c r="K20" s="14">
        <f>SUMIF(Mercado_Receita!$T$2:$T$469,"44348B2Energia horáriaRuralNão se aplicaNão se aplicaNão se aplicaFora ponta",Mercado_Receita!$N$2:$N$469)</f>
        <v>0</v>
      </c>
      <c r="L20" s="14">
        <f>SUMIF(Mercado_Receita!$T$2:$T$469,"44378B2Energia horáriaRuralNão se aplicaNão se aplicaNão se aplicaFora ponta",Mercado_Receita!$N$2:$N$469)</f>
        <v>0</v>
      </c>
      <c r="M20" s="14">
        <f>SUMIF(Mercado_Receita!$T$2:$T$469,"44409B2Energia horáriaRuralNão se aplicaNão se aplicaNão se aplicaFora ponta",Mercado_Receita!$N$2:$N$469)</f>
        <v>0</v>
      </c>
      <c r="N20" s="14">
        <f>SUMIF(Mercado_Receita!$T$2:$T$469,"44440B2Energia horáriaRuralNão se aplicaNão se aplicaNão se aplicaFora ponta",Mercado_Receita!$N$2:$N$469)</f>
        <v>0</v>
      </c>
      <c r="O20" s="14">
        <f>SUMIF(Mercado_Receita!$T$2:$T$469,"44470B2Energia horáriaRuralNão se aplicaNão se aplicaNão se aplicaFora ponta",Mercado_Receita!$N$2:$N$469)</f>
        <v>0</v>
      </c>
      <c r="P20" s="14">
        <f>SUMIF(Mercado_Receita!$T$2:$T$469,"44501B2Energia horáriaRuralNão se aplicaNão se aplicaNão se aplicaFora ponta",Mercado_Receita!$N$2:$N$469)</f>
        <v>0</v>
      </c>
      <c r="Q20" s="14">
        <f>SUMIF(Mercado_Receita!$T$2:$T$469,"44531B2Energia horáriaRuralNão se aplicaNão se aplicaNão se aplicaFora ponta",Mercado_Receita!$N$2:$N$469)</f>
        <v>0</v>
      </c>
      <c r="R20" s="14">
        <f>SUMIF(Mercado_Receita!$T$2:$T$469,"44562B2Energia horáriaRuralNão se aplicaNão se aplicaNão se aplicaFora ponta",Mercado_Receita!$N$2:$N$469)</f>
        <v>0</v>
      </c>
      <c r="S20" s="14">
        <f>SUMIF(Mercado_Receita!$T$2:$T$469,"44593B2Energia horáriaRuralNão se aplicaNão se aplicaNão se aplicaFora ponta",Mercado_Receita!$N$2:$N$469)</f>
        <v>0</v>
      </c>
      <c r="T20" s="14">
        <f>SUMIF(Mercado_Receita!$T$2:$T$469,"44621B2Energia horáriaRuralNão se aplicaNão se aplicaNão se aplicaFora ponta",Mercado_Receita!$N$2:$N$469)</f>
        <v>0</v>
      </c>
      <c r="U20" s="14">
        <f t="shared" si="0"/>
        <v>0</v>
      </c>
      <c r="V20" s="14"/>
      <c r="W20" s="14"/>
    </row>
    <row r="21" spans="1:23" ht="11.25" customHeight="1" x14ac:dyDescent="0.25">
      <c r="A21" s="116"/>
      <c r="B21" s="13" t="s">
        <v>74</v>
      </c>
      <c r="C21" s="13" t="s">
        <v>44</v>
      </c>
      <c r="D21" s="13" t="s">
        <v>25</v>
      </c>
      <c r="E21" s="13" t="s">
        <v>25</v>
      </c>
      <c r="F21" s="13" t="s">
        <v>25</v>
      </c>
      <c r="G21" s="14" t="s">
        <v>75</v>
      </c>
      <c r="H21" s="14" t="s">
        <v>71</v>
      </c>
      <c r="I21" s="14">
        <f>SUMIF(Mercado_Receita!$T$2:$T$469,"44287B2Energia convencionalRuralNão se aplicaNão se aplicaNão se aplicaNão se aplica",Mercado_Receita!$N$2:$N$469)</f>
        <v>350.065</v>
      </c>
      <c r="J21" s="14">
        <f>SUMIF(Mercado_Receita!$T$2:$T$469,"44317B2Energia convencionalRuralNão se aplicaNão se aplicaNão se aplicaNão se aplica",Mercado_Receita!$N$2:$N$469)</f>
        <v>283.28200000000004</v>
      </c>
      <c r="K21" s="14">
        <f>SUMIF(Mercado_Receita!$T$2:$T$469,"44348B2Energia convencionalRuralNão se aplicaNão se aplicaNão se aplicaNão se aplica",Mercado_Receita!$N$2:$N$469)</f>
        <v>274.66800000000001</v>
      </c>
      <c r="L21" s="14">
        <f>SUMIF(Mercado_Receita!$T$2:$T$469,"44378B2Energia convencionalRuralNão se aplicaNão se aplicaNão se aplicaNão se aplica",Mercado_Receita!$N$2:$N$469)</f>
        <v>263.56799999999998</v>
      </c>
      <c r="M21" s="14">
        <f>SUMIF(Mercado_Receita!$T$2:$T$469,"44409B2Energia convencionalRuralNão se aplicaNão se aplicaNão se aplicaNão se aplica",Mercado_Receita!$N$2:$N$469)</f>
        <v>252.08099999999999</v>
      </c>
      <c r="N21" s="14">
        <f>SUMIF(Mercado_Receita!$T$2:$T$469,"44440B2Energia convencionalRuralNão se aplicaNão se aplicaNão se aplicaNão se aplica",Mercado_Receita!$N$2:$N$469)</f>
        <v>279.64100000000002</v>
      </c>
      <c r="O21" s="14">
        <f>SUMIF(Mercado_Receita!$T$2:$T$469,"44470B2Energia convencionalRuralNão se aplicaNão se aplicaNão se aplicaNão se aplica",Mercado_Receita!$N$2:$N$469)</f>
        <v>268.90499999999997</v>
      </c>
      <c r="P21" s="14">
        <f>SUMIF(Mercado_Receita!$T$2:$T$469,"44501B2Energia convencionalRuralNão se aplicaNão se aplicaNão se aplicaNão se aplica",Mercado_Receita!$N$2:$N$469)</f>
        <v>258.03300000000002</v>
      </c>
      <c r="Q21" s="14">
        <f>SUMIF(Mercado_Receita!$T$2:$T$469,"44531B2Energia convencionalRuralNão se aplicaNão se aplicaNão se aplicaNão se aplica",Mercado_Receita!$N$2:$N$469)</f>
        <v>255.23299999999998</v>
      </c>
      <c r="R21" s="14">
        <f>SUMIF(Mercado_Receita!$T$2:$T$469,"44562B2Energia convencionalRuralNão se aplicaNão se aplicaNão se aplicaNão se aplica",Mercado_Receita!$N$2:$N$469)</f>
        <v>282.613</v>
      </c>
      <c r="S21" s="14">
        <f>SUMIF(Mercado_Receita!$T$2:$T$469,"44593B2Energia convencionalRuralNão se aplicaNão se aplicaNão se aplicaNão se aplica",Mercado_Receita!$N$2:$N$469)</f>
        <v>275.13</v>
      </c>
      <c r="T21" s="14">
        <f>SUMIF(Mercado_Receita!$T$2:$T$469,"44621B2Energia convencionalRuralNão se aplicaNão se aplicaNão se aplicaNão se aplica",Mercado_Receita!$N$2:$N$469)</f>
        <v>270.18599999999998</v>
      </c>
      <c r="U21" s="14">
        <f t="shared" si="0"/>
        <v>3313.4050000000002</v>
      </c>
      <c r="V21" s="14"/>
      <c r="W21" s="14"/>
    </row>
    <row r="22" spans="1:23" ht="11.25" customHeight="1" x14ac:dyDescent="0.25">
      <c r="A22" s="116"/>
      <c r="B22" s="115" t="s">
        <v>70</v>
      </c>
      <c r="C22" s="115" t="s">
        <v>44</v>
      </c>
      <c r="D22" s="115" t="s">
        <v>87</v>
      </c>
      <c r="E22" s="115" t="s">
        <v>25</v>
      </c>
      <c r="F22" s="115" t="s">
        <v>25</v>
      </c>
      <c r="G22" s="14" t="s">
        <v>72</v>
      </c>
      <c r="H22" s="14" t="s">
        <v>71</v>
      </c>
      <c r="I22" s="14">
        <f>SUMIF(Mercado_Receita!$T$2:$T$469,"44287B2Energia horáriaRuralCooperativa de eletrificação ruralNão se aplicaNão se aplicaPonta",Mercado_Receita!$N$2:$N$469)</f>
        <v>0</v>
      </c>
      <c r="J22" s="14">
        <f>SUMIF(Mercado_Receita!$T$2:$T$469,"44317B2Energia horáriaRuralCooperativa de eletrificação ruralNão se aplicaNão se aplicaPonta",Mercado_Receita!$N$2:$N$469)</f>
        <v>0</v>
      </c>
      <c r="K22" s="14">
        <f>SUMIF(Mercado_Receita!$T$2:$T$469,"44348B2Energia horáriaRuralCooperativa de eletrificação ruralNão se aplicaNão se aplicaPonta",Mercado_Receita!$N$2:$N$469)</f>
        <v>0</v>
      </c>
      <c r="L22" s="14">
        <f>SUMIF(Mercado_Receita!$T$2:$T$469,"44378B2Energia horáriaRuralCooperativa de eletrificação ruralNão se aplicaNão se aplicaPonta",Mercado_Receita!$N$2:$N$469)</f>
        <v>0</v>
      </c>
      <c r="M22" s="14">
        <f>SUMIF(Mercado_Receita!$T$2:$T$469,"44409B2Energia horáriaRuralCooperativa de eletrificação ruralNão se aplicaNão se aplicaPonta",Mercado_Receita!$N$2:$N$469)</f>
        <v>0</v>
      </c>
      <c r="N22" s="14">
        <f>SUMIF(Mercado_Receita!$T$2:$T$469,"44440B2Energia horáriaRuralCooperativa de eletrificação ruralNão se aplicaNão se aplicaPonta",Mercado_Receita!$N$2:$N$469)</f>
        <v>0</v>
      </c>
      <c r="O22" s="14">
        <f>SUMIF(Mercado_Receita!$T$2:$T$469,"44470B2Energia horáriaRuralCooperativa de eletrificação ruralNão se aplicaNão se aplicaPonta",Mercado_Receita!$N$2:$N$469)</f>
        <v>0</v>
      </c>
      <c r="P22" s="14">
        <f>SUMIF(Mercado_Receita!$T$2:$T$469,"44501B2Energia horáriaRuralCooperativa de eletrificação ruralNão se aplicaNão se aplicaPonta",Mercado_Receita!$N$2:$N$469)</f>
        <v>0</v>
      </c>
      <c r="Q22" s="14">
        <f>SUMIF(Mercado_Receita!$T$2:$T$469,"44531B2Energia horáriaRuralCooperativa de eletrificação ruralNão se aplicaNão se aplicaPonta",Mercado_Receita!$N$2:$N$469)</f>
        <v>0</v>
      </c>
      <c r="R22" s="14">
        <f>SUMIF(Mercado_Receita!$T$2:$T$469,"44562B2Energia horáriaRuralCooperativa de eletrificação ruralNão se aplicaNão se aplicaPonta",Mercado_Receita!$N$2:$N$469)</f>
        <v>0</v>
      </c>
      <c r="S22" s="14">
        <f>SUMIF(Mercado_Receita!$T$2:$T$469,"44593B2Energia horáriaRuralCooperativa de eletrificação ruralNão se aplicaNão se aplicaPonta",Mercado_Receita!$N$2:$N$469)</f>
        <v>0</v>
      </c>
      <c r="T22" s="14">
        <f>SUMIF(Mercado_Receita!$T$2:$T$469,"44621B2Energia horáriaRuralCooperativa de eletrificação ruralNão se aplicaNão se aplicaPonta",Mercado_Receita!$N$2:$N$469)</f>
        <v>0</v>
      </c>
      <c r="U22" s="14">
        <f t="shared" si="0"/>
        <v>0</v>
      </c>
      <c r="V22" s="14"/>
      <c r="W22" s="14"/>
    </row>
    <row r="23" spans="1:23" ht="11.25" customHeight="1" x14ac:dyDescent="0.25">
      <c r="A23" s="116"/>
      <c r="B23" s="116"/>
      <c r="C23" s="116"/>
      <c r="D23" s="116"/>
      <c r="E23" s="116"/>
      <c r="F23" s="116"/>
      <c r="G23" s="14" t="s">
        <v>84</v>
      </c>
      <c r="H23" s="14" t="s">
        <v>71</v>
      </c>
      <c r="I23" s="14">
        <f>SUMIF(Mercado_Receita!$T$2:$T$469,"44287B2Energia horáriaRuralCooperativa de eletrificação ruralNão se aplicaNão se aplicaIntermediário",Mercado_Receita!$N$2:$N$469)</f>
        <v>0</v>
      </c>
      <c r="J23" s="14">
        <f>SUMIF(Mercado_Receita!$T$2:$T$469,"44317B2Energia horáriaRuralCooperativa de eletrificação ruralNão se aplicaNão se aplicaIntermediário",Mercado_Receita!$N$2:$N$469)</f>
        <v>0</v>
      </c>
      <c r="K23" s="14">
        <f>SUMIF(Mercado_Receita!$T$2:$T$469,"44348B2Energia horáriaRuralCooperativa de eletrificação ruralNão se aplicaNão se aplicaIntermediário",Mercado_Receita!$N$2:$N$469)</f>
        <v>0</v>
      </c>
      <c r="L23" s="14">
        <f>SUMIF(Mercado_Receita!$T$2:$T$469,"44378B2Energia horáriaRuralCooperativa de eletrificação ruralNão se aplicaNão se aplicaIntermediário",Mercado_Receita!$N$2:$N$469)</f>
        <v>0</v>
      </c>
      <c r="M23" s="14">
        <f>SUMIF(Mercado_Receita!$T$2:$T$469,"44409B2Energia horáriaRuralCooperativa de eletrificação ruralNão se aplicaNão se aplicaIntermediário",Mercado_Receita!$N$2:$N$469)</f>
        <v>0</v>
      </c>
      <c r="N23" s="14">
        <f>SUMIF(Mercado_Receita!$T$2:$T$469,"44440B2Energia horáriaRuralCooperativa de eletrificação ruralNão se aplicaNão se aplicaIntermediário",Mercado_Receita!$N$2:$N$469)</f>
        <v>0</v>
      </c>
      <c r="O23" s="14">
        <f>SUMIF(Mercado_Receita!$T$2:$T$469,"44470B2Energia horáriaRuralCooperativa de eletrificação ruralNão se aplicaNão se aplicaIntermediário",Mercado_Receita!$N$2:$N$469)</f>
        <v>0</v>
      </c>
      <c r="P23" s="14">
        <f>SUMIF(Mercado_Receita!$T$2:$T$469,"44501B2Energia horáriaRuralCooperativa de eletrificação ruralNão se aplicaNão se aplicaIntermediário",Mercado_Receita!$N$2:$N$469)</f>
        <v>0</v>
      </c>
      <c r="Q23" s="14">
        <f>SUMIF(Mercado_Receita!$T$2:$T$469,"44531B2Energia horáriaRuralCooperativa de eletrificação ruralNão se aplicaNão se aplicaIntermediário",Mercado_Receita!$N$2:$N$469)</f>
        <v>0</v>
      </c>
      <c r="R23" s="14">
        <f>SUMIF(Mercado_Receita!$T$2:$T$469,"44562B2Energia horáriaRuralCooperativa de eletrificação ruralNão se aplicaNão se aplicaIntermediário",Mercado_Receita!$N$2:$N$469)</f>
        <v>0</v>
      </c>
      <c r="S23" s="14">
        <f>SUMIF(Mercado_Receita!$T$2:$T$469,"44593B2Energia horáriaRuralCooperativa de eletrificação ruralNão se aplicaNão se aplicaIntermediário",Mercado_Receita!$N$2:$N$469)</f>
        <v>0</v>
      </c>
      <c r="T23" s="14">
        <f>SUMIF(Mercado_Receita!$T$2:$T$469,"44621B2Energia horáriaRuralCooperativa de eletrificação ruralNão se aplicaNão se aplicaIntermediário",Mercado_Receita!$N$2:$N$469)</f>
        <v>0</v>
      </c>
      <c r="U23" s="14">
        <f t="shared" si="0"/>
        <v>0</v>
      </c>
      <c r="V23" s="14"/>
      <c r="W23" s="14"/>
    </row>
    <row r="24" spans="1:23" ht="11.25" customHeight="1" x14ac:dyDescent="0.25">
      <c r="A24" s="116"/>
      <c r="B24" s="116"/>
      <c r="C24" s="116"/>
      <c r="D24" s="116"/>
      <c r="E24" s="116"/>
      <c r="F24" s="116"/>
      <c r="G24" s="14" t="s">
        <v>73</v>
      </c>
      <c r="H24" s="14" t="s">
        <v>71</v>
      </c>
      <c r="I24" s="14">
        <f>SUMIF(Mercado_Receita!$T$2:$T$469,"44287B2Energia horáriaRuralCooperativa de eletrificação ruralNão se aplicaNão se aplicaFora ponta",Mercado_Receita!$N$2:$N$469)</f>
        <v>0</v>
      </c>
      <c r="J24" s="14">
        <f>SUMIF(Mercado_Receita!$T$2:$T$469,"44317B2Energia horáriaRuralCooperativa de eletrificação ruralNão se aplicaNão se aplicaFora ponta",Mercado_Receita!$N$2:$N$469)</f>
        <v>0</v>
      </c>
      <c r="K24" s="14">
        <f>SUMIF(Mercado_Receita!$T$2:$T$469,"44348B2Energia horáriaRuralCooperativa de eletrificação ruralNão se aplicaNão se aplicaFora ponta",Mercado_Receita!$N$2:$N$469)</f>
        <v>0</v>
      </c>
      <c r="L24" s="14">
        <f>SUMIF(Mercado_Receita!$T$2:$T$469,"44378B2Energia horáriaRuralCooperativa de eletrificação ruralNão se aplicaNão se aplicaFora ponta",Mercado_Receita!$N$2:$N$469)</f>
        <v>0</v>
      </c>
      <c r="M24" s="14">
        <f>SUMIF(Mercado_Receita!$T$2:$T$469,"44409B2Energia horáriaRuralCooperativa de eletrificação ruralNão se aplicaNão se aplicaFora ponta",Mercado_Receita!$N$2:$N$469)</f>
        <v>0</v>
      </c>
      <c r="N24" s="14">
        <f>SUMIF(Mercado_Receita!$T$2:$T$469,"44440B2Energia horáriaRuralCooperativa de eletrificação ruralNão se aplicaNão se aplicaFora ponta",Mercado_Receita!$N$2:$N$469)</f>
        <v>0</v>
      </c>
      <c r="O24" s="14">
        <f>SUMIF(Mercado_Receita!$T$2:$T$469,"44470B2Energia horáriaRuralCooperativa de eletrificação ruralNão se aplicaNão se aplicaFora ponta",Mercado_Receita!$N$2:$N$469)</f>
        <v>0</v>
      </c>
      <c r="P24" s="14">
        <f>SUMIF(Mercado_Receita!$T$2:$T$469,"44501B2Energia horáriaRuralCooperativa de eletrificação ruralNão se aplicaNão se aplicaFora ponta",Mercado_Receita!$N$2:$N$469)</f>
        <v>0</v>
      </c>
      <c r="Q24" s="14">
        <f>SUMIF(Mercado_Receita!$T$2:$T$469,"44531B2Energia horáriaRuralCooperativa de eletrificação ruralNão se aplicaNão se aplicaFora ponta",Mercado_Receita!$N$2:$N$469)</f>
        <v>0</v>
      </c>
      <c r="R24" s="14">
        <f>SUMIF(Mercado_Receita!$T$2:$T$469,"44562B2Energia horáriaRuralCooperativa de eletrificação ruralNão se aplicaNão se aplicaFora ponta",Mercado_Receita!$N$2:$N$469)</f>
        <v>0</v>
      </c>
      <c r="S24" s="14">
        <f>SUMIF(Mercado_Receita!$T$2:$T$469,"44593B2Energia horáriaRuralCooperativa de eletrificação ruralNão se aplicaNão se aplicaFora ponta",Mercado_Receita!$N$2:$N$469)</f>
        <v>0</v>
      </c>
      <c r="T24" s="14">
        <f>SUMIF(Mercado_Receita!$T$2:$T$469,"44621B2Energia horáriaRuralCooperativa de eletrificação ruralNão se aplicaNão se aplicaFora ponta",Mercado_Receita!$N$2:$N$469)</f>
        <v>0</v>
      </c>
      <c r="U24" s="14">
        <f t="shared" si="0"/>
        <v>0</v>
      </c>
      <c r="V24" s="14"/>
      <c r="W24" s="14"/>
    </row>
    <row r="25" spans="1:23" ht="11.25" customHeight="1" x14ac:dyDescent="0.25">
      <c r="A25" s="116"/>
      <c r="B25" s="13" t="s">
        <v>74</v>
      </c>
      <c r="C25" s="13" t="s">
        <v>44</v>
      </c>
      <c r="D25" s="13" t="s">
        <v>87</v>
      </c>
      <c r="E25" s="13" t="s">
        <v>25</v>
      </c>
      <c r="F25" s="13" t="s">
        <v>25</v>
      </c>
      <c r="G25" s="14" t="s">
        <v>75</v>
      </c>
      <c r="H25" s="14" t="s">
        <v>71</v>
      </c>
      <c r="I25" s="14">
        <f>SUMIF(Mercado_Receita!$T$2:$T$469,"44287B2Energia convencionalRuralCooperativa de eletrificação ruralNão se aplicaNão se aplicaNão se aplica",Mercado_Receita!$N$2:$N$469)</f>
        <v>0</v>
      </c>
      <c r="J25" s="14">
        <f>SUMIF(Mercado_Receita!$T$2:$T$469,"44317B2Energia convencionalRuralCooperativa de eletrificação ruralNão se aplicaNão se aplicaNão se aplica",Mercado_Receita!$N$2:$N$469)</f>
        <v>0</v>
      </c>
      <c r="K25" s="14">
        <f>SUMIF(Mercado_Receita!$T$2:$T$469,"44348B2Energia convencionalRuralCooperativa de eletrificação ruralNão se aplicaNão se aplicaNão se aplica",Mercado_Receita!$N$2:$N$469)</f>
        <v>0</v>
      </c>
      <c r="L25" s="14">
        <f>SUMIF(Mercado_Receita!$T$2:$T$469,"44378B2Energia convencionalRuralCooperativa de eletrificação ruralNão se aplicaNão se aplicaNão se aplica",Mercado_Receita!$N$2:$N$469)</f>
        <v>0</v>
      </c>
      <c r="M25" s="14">
        <f>SUMIF(Mercado_Receita!$T$2:$T$469,"44409B2Energia convencionalRuralCooperativa de eletrificação ruralNão se aplicaNão se aplicaNão se aplica",Mercado_Receita!$N$2:$N$469)</f>
        <v>0</v>
      </c>
      <c r="N25" s="14">
        <f>SUMIF(Mercado_Receita!$T$2:$T$469,"44440B2Energia convencionalRuralCooperativa de eletrificação ruralNão se aplicaNão se aplicaNão se aplica",Mercado_Receita!$N$2:$N$469)</f>
        <v>0</v>
      </c>
      <c r="O25" s="14">
        <f>SUMIF(Mercado_Receita!$T$2:$T$469,"44470B2Energia convencionalRuralCooperativa de eletrificação ruralNão se aplicaNão se aplicaNão se aplica",Mercado_Receita!$N$2:$N$469)</f>
        <v>0</v>
      </c>
      <c r="P25" s="14">
        <f>SUMIF(Mercado_Receita!$T$2:$T$469,"44501B2Energia convencionalRuralCooperativa de eletrificação ruralNão se aplicaNão se aplicaNão se aplica",Mercado_Receita!$N$2:$N$469)</f>
        <v>0</v>
      </c>
      <c r="Q25" s="14">
        <f>SUMIF(Mercado_Receita!$T$2:$T$469,"44531B2Energia convencionalRuralCooperativa de eletrificação ruralNão se aplicaNão se aplicaNão se aplica",Mercado_Receita!$N$2:$N$469)</f>
        <v>0</v>
      </c>
      <c r="R25" s="14">
        <f>SUMIF(Mercado_Receita!$T$2:$T$469,"44562B2Energia convencionalRuralCooperativa de eletrificação ruralNão se aplicaNão se aplicaNão se aplica",Mercado_Receita!$N$2:$N$469)</f>
        <v>0</v>
      </c>
      <c r="S25" s="14">
        <f>SUMIF(Mercado_Receita!$T$2:$T$469,"44593B2Energia convencionalRuralCooperativa de eletrificação ruralNão se aplicaNão se aplicaNão se aplica",Mercado_Receita!$N$2:$N$469)</f>
        <v>0</v>
      </c>
      <c r="T25" s="14">
        <f>SUMIF(Mercado_Receita!$T$2:$T$469,"44621B2Energia convencionalRuralCooperativa de eletrificação ruralNão se aplicaNão se aplicaNão se aplica",Mercado_Receita!$N$2:$N$469)</f>
        <v>0</v>
      </c>
      <c r="U25" s="14">
        <f t="shared" si="0"/>
        <v>0</v>
      </c>
      <c r="V25" s="14"/>
      <c r="W25" s="14"/>
    </row>
    <row r="26" spans="1:23" ht="11.25" customHeight="1" x14ac:dyDescent="0.25">
      <c r="A26" s="116"/>
      <c r="B26" s="115" t="s">
        <v>70</v>
      </c>
      <c r="C26" s="115" t="s">
        <v>44</v>
      </c>
      <c r="D26" s="115" t="s">
        <v>88</v>
      </c>
      <c r="E26" s="115" t="s">
        <v>25</v>
      </c>
      <c r="F26" s="115" t="s">
        <v>25</v>
      </c>
      <c r="G26" s="14" t="s">
        <v>72</v>
      </c>
      <c r="H26" s="14" t="s">
        <v>71</v>
      </c>
      <c r="I26" s="14">
        <f>SUMIF(Mercado_Receita!$T$2:$T$469,"44287B2Energia horáriaRuralServiço público de irrigação ruralNão se aplicaNão se aplicaPonta",Mercado_Receita!$N$2:$N$469)</f>
        <v>0</v>
      </c>
      <c r="J26" s="14">
        <f>SUMIF(Mercado_Receita!$T$2:$T$469,"44317B2Energia horáriaRuralServiço público de irrigação ruralNão se aplicaNão se aplicaPonta",Mercado_Receita!$N$2:$N$469)</f>
        <v>0</v>
      </c>
      <c r="K26" s="14">
        <f>SUMIF(Mercado_Receita!$T$2:$T$469,"44348B2Energia horáriaRuralServiço público de irrigação ruralNão se aplicaNão se aplicaPonta",Mercado_Receita!$N$2:$N$469)</f>
        <v>0</v>
      </c>
      <c r="L26" s="14">
        <f>SUMIF(Mercado_Receita!$T$2:$T$469,"44378B2Energia horáriaRuralServiço público de irrigação ruralNão se aplicaNão se aplicaPonta",Mercado_Receita!$N$2:$N$469)</f>
        <v>0</v>
      </c>
      <c r="M26" s="14">
        <f>SUMIF(Mercado_Receita!$T$2:$T$469,"44409B2Energia horáriaRuralServiço público de irrigação ruralNão se aplicaNão se aplicaPonta",Mercado_Receita!$N$2:$N$469)</f>
        <v>0</v>
      </c>
      <c r="N26" s="14">
        <f>SUMIF(Mercado_Receita!$T$2:$T$469,"44440B2Energia horáriaRuralServiço público de irrigação ruralNão se aplicaNão se aplicaPonta",Mercado_Receita!$N$2:$N$469)</f>
        <v>0</v>
      </c>
      <c r="O26" s="14">
        <f>SUMIF(Mercado_Receita!$T$2:$T$469,"44470B2Energia horáriaRuralServiço público de irrigação ruralNão se aplicaNão se aplicaPonta",Mercado_Receita!$N$2:$N$469)</f>
        <v>0</v>
      </c>
      <c r="P26" s="14">
        <f>SUMIF(Mercado_Receita!$T$2:$T$469,"44501B2Energia horáriaRuralServiço público de irrigação ruralNão se aplicaNão se aplicaPonta",Mercado_Receita!$N$2:$N$469)</f>
        <v>0</v>
      </c>
      <c r="Q26" s="14">
        <f>SUMIF(Mercado_Receita!$T$2:$T$469,"44531B2Energia horáriaRuralServiço público de irrigação ruralNão se aplicaNão se aplicaPonta",Mercado_Receita!$N$2:$N$469)</f>
        <v>0</v>
      </c>
      <c r="R26" s="14">
        <f>SUMIF(Mercado_Receita!$T$2:$T$469,"44562B2Energia horáriaRuralServiço público de irrigação ruralNão se aplicaNão se aplicaPonta",Mercado_Receita!$N$2:$N$469)</f>
        <v>0</v>
      </c>
      <c r="S26" s="14">
        <f>SUMIF(Mercado_Receita!$T$2:$T$469,"44593B2Energia horáriaRuralServiço público de irrigação ruralNão se aplicaNão se aplicaPonta",Mercado_Receita!$N$2:$N$469)</f>
        <v>0</v>
      </c>
      <c r="T26" s="14">
        <f>SUMIF(Mercado_Receita!$T$2:$T$469,"44621B2Energia horáriaRuralServiço público de irrigação ruralNão se aplicaNão se aplicaPonta",Mercado_Receita!$N$2:$N$469)</f>
        <v>0</v>
      </c>
      <c r="U26" s="14">
        <f t="shared" si="0"/>
        <v>0</v>
      </c>
      <c r="V26" s="14"/>
      <c r="W26" s="14"/>
    </row>
    <row r="27" spans="1:23" ht="11.25" customHeight="1" x14ac:dyDescent="0.25">
      <c r="A27" s="116"/>
      <c r="B27" s="116"/>
      <c r="C27" s="116"/>
      <c r="D27" s="116"/>
      <c r="E27" s="116"/>
      <c r="F27" s="116"/>
      <c r="G27" s="14" t="s">
        <v>84</v>
      </c>
      <c r="H27" s="14" t="s">
        <v>71</v>
      </c>
      <c r="I27" s="14">
        <f>SUMIF(Mercado_Receita!$T$2:$T$469,"44287B2Energia horáriaRuralServiço público de irrigação ruralNão se aplicaNão se aplicaIntermediário",Mercado_Receita!$N$2:$N$469)</f>
        <v>0</v>
      </c>
      <c r="J27" s="14">
        <f>SUMIF(Mercado_Receita!$T$2:$T$469,"44317B2Energia horáriaRuralServiço público de irrigação ruralNão se aplicaNão se aplicaIntermediário",Mercado_Receita!$N$2:$N$469)</f>
        <v>0</v>
      </c>
      <c r="K27" s="14">
        <f>SUMIF(Mercado_Receita!$T$2:$T$469,"44348B2Energia horáriaRuralServiço público de irrigação ruralNão se aplicaNão se aplicaIntermediário",Mercado_Receita!$N$2:$N$469)</f>
        <v>0</v>
      </c>
      <c r="L27" s="14">
        <f>SUMIF(Mercado_Receita!$T$2:$T$469,"44378B2Energia horáriaRuralServiço público de irrigação ruralNão se aplicaNão se aplicaIntermediário",Mercado_Receita!$N$2:$N$469)</f>
        <v>0</v>
      </c>
      <c r="M27" s="14">
        <f>SUMIF(Mercado_Receita!$T$2:$T$469,"44409B2Energia horáriaRuralServiço público de irrigação ruralNão se aplicaNão se aplicaIntermediário",Mercado_Receita!$N$2:$N$469)</f>
        <v>0</v>
      </c>
      <c r="N27" s="14">
        <f>SUMIF(Mercado_Receita!$T$2:$T$469,"44440B2Energia horáriaRuralServiço público de irrigação ruralNão se aplicaNão se aplicaIntermediário",Mercado_Receita!$N$2:$N$469)</f>
        <v>0</v>
      </c>
      <c r="O27" s="14">
        <f>SUMIF(Mercado_Receita!$T$2:$T$469,"44470B2Energia horáriaRuralServiço público de irrigação ruralNão se aplicaNão se aplicaIntermediário",Mercado_Receita!$N$2:$N$469)</f>
        <v>0</v>
      </c>
      <c r="P27" s="14">
        <f>SUMIF(Mercado_Receita!$T$2:$T$469,"44501B2Energia horáriaRuralServiço público de irrigação ruralNão se aplicaNão se aplicaIntermediário",Mercado_Receita!$N$2:$N$469)</f>
        <v>0</v>
      </c>
      <c r="Q27" s="14">
        <f>SUMIF(Mercado_Receita!$T$2:$T$469,"44531B2Energia horáriaRuralServiço público de irrigação ruralNão se aplicaNão se aplicaIntermediário",Mercado_Receita!$N$2:$N$469)</f>
        <v>0</v>
      </c>
      <c r="R27" s="14">
        <f>SUMIF(Mercado_Receita!$T$2:$T$469,"44562B2Energia horáriaRuralServiço público de irrigação ruralNão se aplicaNão se aplicaIntermediário",Mercado_Receita!$N$2:$N$469)</f>
        <v>0</v>
      </c>
      <c r="S27" s="14">
        <f>SUMIF(Mercado_Receita!$T$2:$T$469,"44593B2Energia horáriaRuralServiço público de irrigação ruralNão se aplicaNão se aplicaIntermediário",Mercado_Receita!$N$2:$N$469)</f>
        <v>0</v>
      </c>
      <c r="T27" s="14">
        <f>SUMIF(Mercado_Receita!$T$2:$T$469,"44621B2Energia horáriaRuralServiço público de irrigação ruralNão se aplicaNão se aplicaIntermediário",Mercado_Receita!$N$2:$N$469)</f>
        <v>0</v>
      </c>
      <c r="U27" s="14">
        <f t="shared" si="0"/>
        <v>0</v>
      </c>
      <c r="V27" s="14"/>
      <c r="W27" s="14"/>
    </row>
    <row r="28" spans="1:23" ht="11.25" customHeight="1" x14ac:dyDescent="0.25">
      <c r="A28" s="116"/>
      <c r="B28" s="116"/>
      <c r="C28" s="116"/>
      <c r="D28" s="116"/>
      <c r="E28" s="116"/>
      <c r="F28" s="116"/>
      <c r="G28" s="14" t="s">
        <v>73</v>
      </c>
      <c r="H28" s="14" t="s">
        <v>71</v>
      </c>
      <c r="I28" s="14">
        <f>SUMIF(Mercado_Receita!$T$2:$T$469,"44287B2Energia horáriaRuralServiço público de irrigação ruralNão se aplicaNão se aplicaFora ponta",Mercado_Receita!$N$2:$N$469)</f>
        <v>0</v>
      </c>
      <c r="J28" s="14">
        <f>SUMIF(Mercado_Receita!$T$2:$T$469,"44317B2Energia horáriaRuralServiço público de irrigação ruralNão se aplicaNão se aplicaFora ponta",Mercado_Receita!$N$2:$N$469)</f>
        <v>0</v>
      </c>
      <c r="K28" s="14">
        <f>SUMIF(Mercado_Receita!$T$2:$T$469,"44348B2Energia horáriaRuralServiço público de irrigação ruralNão se aplicaNão se aplicaFora ponta",Mercado_Receita!$N$2:$N$469)</f>
        <v>0</v>
      </c>
      <c r="L28" s="14">
        <f>SUMIF(Mercado_Receita!$T$2:$T$469,"44378B2Energia horáriaRuralServiço público de irrigação ruralNão se aplicaNão se aplicaFora ponta",Mercado_Receita!$N$2:$N$469)</f>
        <v>0</v>
      </c>
      <c r="M28" s="14">
        <f>SUMIF(Mercado_Receita!$T$2:$T$469,"44409B2Energia horáriaRuralServiço público de irrigação ruralNão se aplicaNão se aplicaFora ponta",Mercado_Receita!$N$2:$N$469)</f>
        <v>0</v>
      </c>
      <c r="N28" s="14">
        <f>SUMIF(Mercado_Receita!$T$2:$T$469,"44440B2Energia horáriaRuralServiço público de irrigação ruralNão se aplicaNão se aplicaFora ponta",Mercado_Receita!$N$2:$N$469)</f>
        <v>0</v>
      </c>
      <c r="O28" s="14">
        <f>SUMIF(Mercado_Receita!$T$2:$T$469,"44470B2Energia horáriaRuralServiço público de irrigação ruralNão se aplicaNão se aplicaFora ponta",Mercado_Receita!$N$2:$N$469)</f>
        <v>0</v>
      </c>
      <c r="P28" s="14">
        <f>SUMIF(Mercado_Receita!$T$2:$T$469,"44501B2Energia horáriaRuralServiço público de irrigação ruralNão se aplicaNão se aplicaFora ponta",Mercado_Receita!$N$2:$N$469)</f>
        <v>0</v>
      </c>
      <c r="Q28" s="14">
        <f>SUMIF(Mercado_Receita!$T$2:$T$469,"44531B2Energia horáriaRuralServiço público de irrigação ruralNão se aplicaNão se aplicaFora ponta",Mercado_Receita!$N$2:$N$469)</f>
        <v>0</v>
      </c>
      <c r="R28" s="14">
        <f>SUMIF(Mercado_Receita!$T$2:$T$469,"44562B2Energia horáriaRuralServiço público de irrigação ruralNão se aplicaNão se aplicaFora ponta",Mercado_Receita!$N$2:$N$469)</f>
        <v>0</v>
      </c>
      <c r="S28" s="14">
        <f>SUMIF(Mercado_Receita!$T$2:$T$469,"44593B2Energia horáriaRuralServiço público de irrigação ruralNão se aplicaNão se aplicaFora ponta",Mercado_Receita!$N$2:$N$469)</f>
        <v>0</v>
      </c>
      <c r="T28" s="14">
        <f>SUMIF(Mercado_Receita!$T$2:$T$469,"44621B2Energia horáriaRuralServiço público de irrigação ruralNão se aplicaNão se aplicaFora ponta",Mercado_Receita!$N$2:$N$469)</f>
        <v>0</v>
      </c>
      <c r="U28" s="14">
        <f t="shared" si="0"/>
        <v>0</v>
      </c>
      <c r="V28" s="14"/>
      <c r="W28" s="14"/>
    </row>
    <row r="29" spans="1:23" ht="11.25" customHeight="1" x14ac:dyDescent="0.25">
      <c r="A29" s="116"/>
      <c r="B29" s="13" t="s">
        <v>74</v>
      </c>
      <c r="C29" s="13" t="s">
        <v>44</v>
      </c>
      <c r="D29" s="13" t="s">
        <v>88</v>
      </c>
      <c r="E29" s="13" t="s">
        <v>25</v>
      </c>
      <c r="F29" s="13" t="s">
        <v>25</v>
      </c>
      <c r="G29" s="14" t="s">
        <v>75</v>
      </c>
      <c r="H29" s="14" t="s">
        <v>71</v>
      </c>
      <c r="I29" s="14">
        <f>SUMIF(Mercado_Receita!$T$2:$T$469,"44287B2Energia convencionalRuralServiço público de irrigação ruralNão se aplicaNão se aplicaNão se aplica",Mercado_Receita!$N$2:$N$469)</f>
        <v>0</v>
      </c>
      <c r="J29" s="14">
        <f>SUMIF(Mercado_Receita!$T$2:$T$469,"44317B2Energia convencionalRuralServiço público de irrigação ruralNão se aplicaNão se aplicaNão se aplica",Mercado_Receita!$N$2:$N$469)</f>
        <v>0</v>
      </c>
      <c r="K29" s="14">
        <f>SUMIF(Mercado_Receita!$T$2:$T$469,"44348B2Energia convencionalRuralServiço público de irrigação ruralNão se aplicaNão se aplicaNão se aplica",Mercado_Receita!$N$2:$N$469)</f>
        <v>0</v>
      </c>
      <c r="L29" s="14">
        <f>SUMIF(Mercado_Receita!$T$2:$T$469,"44378B2Energia convencionalRuralServiço público de irrigação ruralNão se aplicaNão se aplicaNão se aplica",Mercado_Receita!$N$2:$N$469)</f>
        <v>0</v>
      </c>
      <c r="M29" s="14">
        <f>SUMIF(Mercado_Receita!$T$2:$T$469,"44409B2Energia convencionalRuralServiço público de irrigação ruralNão se aplicaNão se aplicaNão se aplica",Mercado_Receita!$N$2:$N$469)</f>
        <v>0</v>
      </c>
      <c r="N29" s="14">
        <f>SUMIF(Mercado_Receita!$T$2:$T$469,"44440B2Energia convencionalRuralServiço público de irrigação ruralNão se aplicaNão se aplicaNão se aplica",Mercado_Receita!$N$2:$N$469)</f>
        <v>0</v>
      </c>
      <c r="O29" s="14">
        <f>SUMIF(Mercado_Receita!$T$2:$T$469,"44470B2Energia convencionalRuralServiço público de irrigação ruralNão se aplicaNão se aplicaNão se aplica",Mercado_Receita!$N$2:$N$469)</f>
        <v>0</v>
      </c>
      <c r="P29" s="14">
        <f>SUMIF(Mercado_Receita!$T$2:$T$469,"44501B2Energia convencionalRuralServiço público de irrigação ruralNão se aplicaNão se aplicaNão se aplica",Mercado_Receita!$N$2:$N$469)</f>
        <v>0</v>
      </c>
      <c r="Q29" s="14">
        <f>SUMIF(Mercado_Receita!$T$2:$T$469,"44531B2Energia convencionalRuralServiço público de irrigação ruralNão se aplicaNão se aplicaNão se aplica",Mercado_Receita!$N$2:$N$469)</f>
        <v>0</v>
      </c>
      <c r="R29" s="14">
        <f>SUMIF(Mercado_Receita!$T$2:$T$469,"44562B2Energia convencionalRuralServiço público de irrigação ruralNão se aplicaNão se aplicaNão se aplica",Mercado_Receita!$N$2:$N$469)</f>
        <v>0</v>
      </c>
      <c r="S29" s="14">
        <f>SUMIF(Mercado_Receita!$T$2:$T$469,"44593B2Energia convencionalRuralServiço público de irrigação ruralNão se aplicaNão se aplicaNão se aplica",Mercado_Receita!$N$2:$N$469)</f>
        <v>0</v>
      </c>
      <c r="T29" s="14">
        <f>SUMIF(Mercado_Receita!$T$2:$T$469,"44621B2Energia convencionalRuralServiço público de irrigação ruralNão se aplicaNão se aplicaNão se aplica",Mercado_Receita!$N$2:$N$469)</f>
        <v>0</v>
      </c>
      <c r="U29" s="14">
        <f t="shared" si="0"/>
        <v>0</v>
      </c>
      <c r="V29" s="14"/>
      <c r="W29" s="14"/>
    </row>
    <row r="30" spans="1:23" ht="11.25" customHeight="1" x14ac:dyDescent="0.25">
      <c r="A30" s="116"/>
      <c r="B30" s="115" t="s">
        <v>85</v>
      </c>
      <c r="C30" s="115" t="s">
        <v>44</v>
      </c>
      <c r="D30" s="13" t="s">
        <v>25</v>
      </c>
      <c r="E30" s="13" t="s">
        <v>25</v>
      </c>
      <c r="F30" s="13" t="s">
        <v>25</v>
      </c>
      <c r="G30" s="14" t="s">
        <v>75</v>
      </c>
      <c r="H30" s="14" t="s">
        <v>71</v>
      </c>
      <c r="I30" s="14">
        <f>SUMIF(Mercado_Receita!$T$2:$T$469,"44287B2Energia convencional pré-pagamentoRuralNão se aplicaNão se aplicaNão se aplicaNão se aplica",Mercado_Receita!$N$2:$N$469)</f>
        <v>0</v>
      </c>
      <c r="J30" s="14">
        <f>SUMIF(Mercado_Receita!$T$2:$T$469,"44317B2Energia convencional pré-pagamentoRuralNão se aplicaNão se aplicaNão se aplicaNão se aplica",Mercado_Receita!$N$2:$N$469)</f>
        <v>0</v>
      </c>
      <c r="K30" s="14">
        <f>SUMIF(Mercado_Receita!$T$2:$T$469,"44348B2Energia convencional pré-pagamentoRuralNão se aplicaNão se aplicaNão se aplicaNão se aplica",Mercado_Receita!$N$2:$N$469)</f>
        <v>0</v>
      </c>
      <c r="L30" s="14">
        <f>SUMIF(Mercado_Receita!$T$2:$T$469,"44378B2Energia convencional pré-pagamentoRuralNão se aplicaNão se aplicaNão se aplicaNão se aplica",Mercado_Receita!$N$2:$N$469)</f>
        <v>0</v>
      </c>
      <c r="M30" s="14">
        <f>SUMIF(Mercado_Receita!$T$2:$T$469,"44409B2Energia convencional pré-pagamentoRuralNão se aplicaNão se aplicaNão se aplicaNão se aplica",Mercado_Receita!$N$2:$N$469)</f>
        <v>0</v>
      </c>
      <c r="N30" s="14">
        <f>SUMIF(Mercado_Receita!$T$2:$T$469,"44440B2Energia convencional pré-pagamentoRuralNão se aplicaNão se aplicaNão se aplicaNão se aplica",Mercado_Receita!$N$2:$N$469)</f>
        <v>0</v>
      </c>
      <c r="O30" s="14">
        <f>SUMIF(Mercado_Receita!$T$2:$T$469,"44470B2Energia convencional pré-pagamentoRuralNão se aplicaNão se aplicaNão se aplicaNão se aplica",Mercado_Receita!$N$2:$N$469)</f>
        <v>0</v>
      </c>
      <c r="P30" s="14">
        <f>SUMIF(Mercado_Receita!$T$2:$T$469,"44501B2Energia convencional pré-pagamentoRuralNão se aplicaNão se aplicaNão se aplicaNão se aplica",Mercado_Receita!$N$2:$N$469)</f>
        <v>0</v>
      </c>
      <c r="Q30" s="14">
        <f>SUMIF(Mercado_Receita!$T$2:$T$469,"44531B2Energia convencional pré-pagamentoRuralNão se aplicaNão se aplicaNão se aplicaNão se aplica",Mercado_Receita!$N$2:$N$469)</f>
        <v>0</v>
      </c>
      <c r="R30" s="14">
        <f>SUMIF(Mercado_Receita!$T$2:$T$469,"44562B2Energia convencional pré-pagamentoRuralNão se aplicaNão se aplicaNão se aplicaNão se aplica",Mercado_Receita!$N$2:$N$469)</f>
        <v>0</v>
      </c>
      <c r="S30" s="14">
        <f>SUMIF(Mercado_Receita!$T$2:$T$469,"44593B2Energia convencional pré-pagamentoRuralNão se aplicaNão se aplicaNão se aplicaNão se aplica",Mercado_Receita!$N$2:$N$469)</f>
        <v>0</v>
      </c>
      <c r="T30" s="14">
        <f>SUMIF(Mercado_Receita!$T$2:$T$469,"44621B2Energia convencional pré-pagamentoRuralNão se aplicaNão se aplicaNão se aplicaNão se aplica",Mercado_Receita!$N$2:$N$469)</f>
        <v>0</v>
      </c>
      <c r="U30" s="14">
        <f t="shared" si="0"/>
        <v>0</v>
      </c>
      <c r="V30" s="14"/>
      <c r="W30" s="14"/>
    </row>
    <row r="31" spans="1:23" ht="11.25" customHeight="1" x14ac:dyDescent="0.25">
      <c r="A31" s="116"/>
      <c r="B31" s="116"/>
      <c r="C31" s="116"/>
      <c r="D31" s="13" t="s">
        <v>87</v>
      </c>
      <c r="E31" s="13" t="s">
        <v>25</v>
      </c>
      <c r="F31" s="13" t="s">
        <v>25</v>
      </c>
      <c r="G31" s="14" t="s">
        <v>75</v>
      </c>
      <c r="H31" s="14" t="s">
        <v>71</v>
      </c>
      <c r="I31" s="14">
        <f>SUMIF(Mercado_Receita!$T$2:$T$469,"44287B2Energia convencional pré-pagamentoRuralCooperativa de eletrificação ruralNão se aplicaNão se aplicaNão se aplica",Mercado_Receita!$N$2:$N$469)</f>
        <v>0</v>
      </c>
      <c r="J31" s="14">
        <f>SUMIF(Mercado_Receita!$T$2:$T$469,"44317B2Energia convencional pré-pagamentoRuralCooperativa de eletrificação ruralNão se aplicaNão se aplicaNão se aplica",Mercado_Receita!$N$2:$N$469)</f>
        <v>0</v>
      </c>
      <c r="K31" s="14">
        <f>SUMIF(Mercado_Receita!$T$2:$T$469,"44348B2Energia convencional pré-pagamentoRuralCooperativa de eletrificação ruralNão se aplicaNão se aplicaNão se aplica",Mercado_Receita!$N$2:$N$469)</f>
        <v>0</v>
      </c>
      <c r="L31" s="14">
        <f>SUMIF(Mercado_Receita!$T$2:$T$469,"44378B2Energia convencional pré-pagamentoRuralCooperativa de eletrificação ruralNão se aplicaNão se aplicaNão se aplica",Mercado_Receita!$N$2:$N$469)</f>
        <v>0</v>
      </c>
      <c r="M31" s="14">
        <f>SUMIF(Mercado_Receita!$T$2:$T$469,"44409B2Energia convencional pré-pagamentoRuralCooperativa de eletrificação ruralNão se aplicaNão se aplicaNão se aplica",Mercado_Receita!$N$2:$N$469)</f>
        <v>0</v>
      </c>
      <c r="N31" s="14">
        <f>SUMIF(Mercado_Receita!$T$2:$T$469,"44440B2Energia convencional pré-pagamentoRuralCooperativa de eletrificação ruralNão se aplicaNão se aplicaNão se aplica",Mercado_Receita!$N$2:$N$469)</f>
        <v>0</v>
      </c>
      <c r="O31" s="14">
        <f>SUMIF(Mercado_Receita!$T$2:$T$469,"44470B2Energia convencional pré-pagamentoRuralCooperativa de eletrificação ruralNão se aplicaNão se aplicaNão se aplica",Mercado_Receita!$N$2:$N$469)</f>
        <v>0</v>
      </c>
      <c r="P31" s="14">
        <f>SUMIF(Mercado_Receita!$T$2:$T$469,"44501B2Energia convencional pré-pagamentoRuralCooperativa de eletrificação ruralNão se aplicaNão se aplicaNão se aplica",Mercado_Receita!$N$2:$N$469)</f>
        <v>0</v>
      </c>
      <c r="Q31" s="14">
        <f>SUMIF(Mercado_Receita!$T$2:$T$469,"44531B2Energia convencional pré-pagamentoRuralCooperativa de eletrificação ruralNão se aplicaNão se aplicaNão se aplica",Mercado_Receita!$N$2:$N$469)</f>
        <v>0</v>
      </c>
      <c r="R31" s="14">
        <f>SUMIF(Mercado_Receita!$T$2:$T$469,"44562B2Energia convencional pré-pagamentoRuralCooperativa de eletrificação ruralNão se aplicaNão se aplicaNão se aplica",Mercado_Receita!$N$2:$N$469)</f>
        <v>0</v>
      </c>
      <c r="S31" s="14">
        <f>SUMIF(Mercado_Receita!$T$2:$T$469,"44593B2Energia convencional pré-pagamentoRuralCooperativa de eletrificação ruralNão se aplicaNão se aplicaNão se aplica",Mercado_Receita!$N$2:$N$469)</f>
        <v>0</v>
      </c>
      <c r="T31" s="14">
        <f>SUMIF(Mercado_Receita!$T$2:$T$469,"44621B2Energia convencional pré-pagamentoRuralCooperativa de eletrificação ruralNão se aplicaNão se aplicaNão se aplica",Mercado_Receita!$N$2:$N$469)</f>
        <v>0</v>
      </c>
      <c r="U31" s="14">
        <f t="shared" si="0"/>
        <v>0</v>
      </c>
      <c r="V31" s="14"/>
      <c r="W31" s="14"/>
    </row>
    <row r="32" spans="1:23" ht="11.25" customHeight="1" x14ac:dyDescent="0.25">
      <c r="A32" s="116"/>
      <c r="B32" s="116"/>
      <c r="C32" s="116"/>
      <c r="D32" s="13" t="s">
        <v>88</v>
      </c>
      <c r="E32" s="13" t="s">
        <v>25</v>
      </c>
      <c r="F32" s="13" t="s">
        <v>25</v>
      </c>
      <c r="G32" s="14" t="s">
        <v>75</v>
      </c>
      <c r="H32" s="14" t="s">
        <v>71</v>
      </c>
      <c r="I32" s="14">
        <f>SUMIF(Mercado_Receita!$T$2:$T$469,"44287B2Energia convencional pré-pagamentoRuralServiço público de irrigação ruralNão se aplicaNão se aplicaNão se aplica",Mercado_Receita!$N$2:$N$469)</f>
        <v>0</v>
      </c>
      <c r="J32" s="14">
        <f>SUMIF(Mercado_Receita!$T$2:$T$469,"44317B2Energia convencional pré-pagamentoRuralServiço público de irrigação ruralNão se aplicaNão se aplicaNão se aplica",Mercado_Receita!$N$2:$N$469)</f>
        <v>0</v>
      </c>
      <c r="K32" s="14">
        <f>SUMIF(Mercado_Receita!$T$2:$T$469,"44348B2Energia convencional pré-pagamentoRuralServiço público de irrigação ruralNão se aplicaNão se aplicaNão se aplica",Mercado_Receita!$N$2:$N$469)</f>
        <v>0</v>
      </c>
      <c r="L32" s="14">
        <f>SUMIF(Mercado_Receita!$T$2:$T$469,"44378B2Energia convencional pré-pagamentoRuralServiço público de irrigação ruralNão se aplicaNão se aplicaNão se aplica",Mercado_Receita!$N$2:$N$469)</f>
        <v>0</v>
      </c>
      <c r="M32" s="14">
        <f>SUMIF(Mercado_Receita!$T$2:$T$469,"44409B2Energia convencional pré-pagamentoRuralServiço público de irrigação ruralNão se aplicaNão se aplicaNão se aplica",Mercado_Receita!$N$2:$N$469)</f>
        <v>0</v>
      </c>
      <c r="N32" s="14">
        <f>SUMIF(Mercado_Receita!$T$2:$T$469,"44440B2Energia convencional pré-pagamentoRuralServiço público de irrigação ruralNão se aplicaNão se aplicaNão se aplica",Mercado_Receita!$N$2:$N$469)</f>
        <v>0</v>
      </c>
      <c r="O32" s="14">
        <f>SUMIF(Mercado_Receita!$T$2:$T$469,"44470B2Energia convencional pré-pagamentoRuralServiço público de irrigação ruralNão se aplicaNão se aplicaNão se aplica",Mercado_Receita!$N$2:$N$469)</f>
        <v>0</v>
      </c>
      <c r="P32" s="14">
        <f>SUMIF(Mercado_Receita!$T$2:$T$469,"44501B2Energia convencional pré-pagamentoRuralServiço público de irrigação ruralNão se aplicaNão se aplicaNão se aplica",Mercado_Receita!$N$2:$N$469)</f>
        <v>0</v>
      </c>
      <c r="Q32" s="14">
        <f>SUMIF(Mercado_Receita!$T$2:$T$469,"44531B2Energia convencional pré-pagamentoRuralServiço público de irrigação ruralNão se aplicaNão se aplicaNão se aplica",Mercado_Receita!$N$2:$N$469)</f>
        <v>0</v>
      </c>
      <c r="R32" s="14">
        <f>SUMIF(Mercado_Receita!$T$2:$T$469,"44562B2Energia convencional pré-pagamentoRuralServiço público de irrigação ruralNão se aplicaNão se aplicaNão se aplica",Mercado_Receita!$N$2:$N$469)</f>
        <v>0</v>
      </c>
      <c r="S32" s="14">
        <f>SUMIF(Mercado_Receita!$T$2:$T$469,"44593B2Energia convencional pré-pagamentoRuralServiço público de irrigação ruralNão se aplicaNão se aplicaNão se aplica",Mercado_Receita!$N$2:$N$469)</f>
        <v>0</v>
      </c>
      <c r="T32" s="14">
        <f>SUMIF(Mercado_Receita!$T$2:$T$469,"44621B2Energia convencional pré-pagamentoRuralServiço público de irrigação ruralNão se aplicaNão se aplicaNão se aplica",Mercado_Receita!$N$2:$N$469)</f>
        <v>0</v>
      </c>
      <c r="U32" s="14">
        <f t="shared" si="0"/>
        <v>0</v>
      </c>
      <c r="V32" s="14"/>
      <c r="W32" s="14"/>
    </row>
    <row r="33" spans="1:23" ht="11.25" customHeight="1" x14ac:dyDescent="0.25">
      <c r="A33" s="115" t="s">
        <v>39</v>
      </c>
      <c r="B33" s="115" t="s">
        <v>70</v>
      </c>
      <c r="C33" s="115" t="s">
        <v>25</v>
      </c>
      <c r="D33" s="115" t="s">
        <v>25</v>
      </c>
      <c r="E33" s="115" t="s">
        <v>25</v>
      </c>
      <c r="F33" s="115" t="s">
        <v>25</v>
      </c>
      <c r="G33" s="14" t="s">
        <v>72</v>
      </c>
      <c r="H33" s="14" t="s">
        <v>71</v>
      </c>
      <c r="I33" s="14">
        <f>SUMIF(Mercado_Receita!$T$2:$T$469,"44287B3Energia horáriaNão se aplicaNão se aplicaNão se aplicaNão se aplicaPonta",Mercado_Receita!$N$2:$N$469)</f>
        <v>0</v>
      </c>
      <c r="J33" s="14">
        <f>SUMIF(Mercado_Receita!$T$2:$T$469,"44317B3Energia horáriaNão se aplicaNão se aplicaNão se aplicaNão se aplicaPonta",Mercado_Receita!$N$2:$N$469)</f>
        <v>0</v>
      </c>
      <c r="K33" s="14">
        <f>SUMIF(Mercado_Receita!$T$2:$T$469,"44348B3Energia horáriaNão se aplicaNão se aplicaNão se aplicaNão se aplicaPonta",Mercado_Receita!$N$2:$N$469)</f>
        <v>0</v>
      </c>
      <c r="L33" s="14">
        <f>SUMIF(Mercado_Receita!$T$2:$T$469,"44378B3Energia horáriaNão se aplicaNão se aplicaNão se aplicaNão se aplicaPonta",Mercado_Receita!$N$2:$N$469)</f>
        <v>0</v>
      </c>
      <c r="M33" s="14">
        <f>SUMIF(Mercado_Receita!$T$2:$T$469,"44409B3Energia horáriaNão se aplicaNão se aplicaNão se aplicaNão se aplicaPonta",Mercado_Receita!$N$2:$N$469)</f>
        <v>0</v>
      </c>
      <c r="N33" s="14">
        <f>SUMIF(Mercado_Receita!$T$2:$T$469,"44440B3Energia horáriaNão se aplicaNão se aplicaNão se aplicaNão se aplicaPonta",Mercado_Receita!$N$2:$N$469)</f>
        <v>0</v>
      </c>
      <c r="O33" s="14">
        <f>SUMIF(Mercado_Receita!$T$2:$T$469,"44470B3Energia horáriaNão se aplicaNão se aplicaNão se aplicaNão se aplicaPonta",Mercado_Receita!$N$2:$N$469)</f>
        <v>0</v>
      </c>
      <c r="P33" s="14">
        <f>SUMIF(Mercado_Receita!$T$2:$T$469,"44501B3Energia horáriaNão se aplicaNão se aplicaNão se aplicaNão se aplicaPonta",Mercado_Receita!$N$2:$N$469)</f>
        <v>0</v>
      </c>
      <c r="Q33" s="14">
        <f>SUMIF(Mercado_Receita!$T$2:$T$469,"44531B3Energia horáriaNão se aplicaNão se aplicaNão se aplicaNão se aplicaPonta",Mercado_Receita!$N$2:$N$469)</f>
        <v>0</v>
      </c>
      <c r="R33" s="14">
        <f>SUMIF(Mercado_Receita!$T$2:$T$469,"44562B3Energia horáriaNão se aplicaNão se aplicaNão se aplicaNão se aplicaPonta",Mercado_Receita!$N$2:$N$469)</f>
        <v>0</v>
      </c>
      <c r="S33" s="14">
        <f>SUMIF(Mercado_Receita!$T$2:$T$469,"44593B3Energia horáriaNão se aplicaNão se aplicaNão se aplicaNão se aplicaPonta",Mercado_Receita!$N$2:$N$469)</f>
        <v>0</v>
      </c>
      <c r="T33" s="14">
        <f>SUMIF(Mercado_Receita!$T$2:$T$469,"44621B3Energia horáriaNão se aplicaNão se aplicaNão se aplicaNão se aplicaPonta",Mercado_Receita!$N$2:$N$469)</f>
        <v>0</v>
      </c>
      <c r="U33" s="14">
        <f t="shared" si="0"/>
        <v>0</v>
      </c>
      <c r="V33" s="14"/>
      <c r="W33" s="14"/>
    </row>
    <row r="34" spans="1:23" ht="11.25" customHeight="1" x14ac:dyDescent="0.25">
      <c r="A34" s="116"/>
      <c r="B34" s="116"/>
      <c r="C34" s="116"/>
      <c r="D34" s="116"/>
      <c r="E34" s="116"/>
      <c r="F34" s="116"/>
      <c r="G34" s="14" t="s">
        <v>84</v>
      </c>
      <c r="H34" s="14" t="s">
        <v>71</v>
      </c>
      <c r="I34" s="14">
        <f>SUMIF(Mercado_Receita!$T$2:$T$469,"44287B3Energia horáriaNão se aplicaNão se aplicaNão se aplicaNão se aplicaIntermediário",Mercado_Receita!$N$2:$N$469)</f>
        <v>0</v>
      </c>
      <c r="J34" s="14">
        <f>SUMIF(Mercado_Receita!$T$2:$T$469,"44317B3Energia horáriaNão se aplicaNão se aplicaNão se aplicaNão se aplicaIntermediário",Mercado_Receita!$N$2:$N$469)</f>
        <v>0</v>
      </c>
      <c r="K34" s="14">
        <f>SUMIF(Mercado_Receita!$T$2:$T$469,"44348B3Energia horáriaNão se aplicaNão se aplicaNão se aplicaNão se aplicaIntermediário",Mercado_Receita!$N$2:$N$469)</f>
        <v>0</v>
      </c>
      <c r="L34" s="14">
        <f>SUMIF(Mercado_Receita!$T$2:$T$469,"44378B3Energia horáriaNão se aplicaNão se aplicaNão se aplicaNão se aplicaIntermediário",Mercado_Receita!$N$2:$N$469)</f>
        <v>0</v>
      </c>
      <c r="M34" s="14">
        <f>SUMIF(Mercado_Receita!$T$2:$T$469,"44409B3Energia horáriaNão se aplicaNão se aplicaNão se aplicaNão se aplicaIntermediário",Mercado_Receita!$N$2:$N$469)</f>
        <v>0</v>
      </c>
      <c r="N34" s="14">
        <f>SUMIF(Mercado_Receita!$T$2:$T$469,"44440B3Energia horáriaNão se aplicaNão se aplicaNão se aplicaNão se aplicaIntermediário",Mercado_Receita!$N$2:$N$469)</f>
        <v>0</v>
      </c>
      <c r="O34" s="14">
        <f>SUMIF(Mercado_Receita!$T$2:$T$469,"44470B3Energia horáriaNão se aplicaNão se aplicaNão se aplicaNão se aplicaIntermediário",Mercado_Receita!$N$2:$N$469)</f>
        <v>0</v>
      </c>
      <c r="P34" s="14">
        <f>SUMIF(Mercado_Receita!$T$2:$T$469,"44501B3Energia horáriaNão se aplicaNão se aplicaNão se aplicaNão se aplicaIntermediário",Mercado_Receita!$N$2:$N$469)</f>
        <v>0</v>
      </c>
      <c r="Q34" s="14">
        <f>SUMIF(Mercado_Receita!$T$2:$T$469,"44531B3Energia horáriaNão se aplicaNão se aplicaNão se aplicaNão se aplicaIntermediário",Mercado_Receita!$N$2:$N$469)</f>
        <v>0</v>
      </c>
      <c r="R34" s="14">
        <f>SUMIF(Mercado_Receita!$T$2:$T$469,"44562B3Energia horáriaNão se aplicaNão se aplicaNão se aplicaNão se aplicaIntermediário",Mercado_Receita!$N$2:$N$469)</f>
        <v>0</v>
      </c>
      <c r="S34" s="14">
        <f>SUMIF(Mercado_Receita!$T$2:$T$469,"44593B3Energia horáriaNão se aplicaNão se aplicaNão se aplicaNão se aplicaIntermediário",Mercado_Receita!$N$2:$N$469)</f>
        <v>0</v>
      </c>
      <c r="T34" s="14">
        <f>SUMIF(Mercado_Receita!$T$2:$T$469,"44621B3Energia horáriaNão se aplicaNão se aplicaNão se aplicaNão se aplicaIntermediário",Mercado_Receita!$N$2:$N$469)</f>
        <v>0</v>
      </c>
      <c r="U34" s="14">
        <f t="shared" si="0"/>
        <v>0</v>
      </c>
      <c r="V34" s="14"/>
      <c r="W34" s="14"/>
    </row>
    <row r="35" spans="1:23" ht="11.25" customHeight="1" x14ac:dyDescent="0.25">
      <c r="A35" s="116"/>
      <c r="B35" s="116"/>
      <c r="C35" s="116"/>
      <c r="D35" s="116"/>
      <c r="E35" s="116"/>
      <c r="F35" s="116"/>
      <c r="G35" s="14" t="s">
        <v>73</v>
      </c>
      <c r="H35" s="14" t="s">
        <v>71</v>
      </c>
      <c r="I35" s="14">
        <f>SUMIF(Mercado_Receita!$T$2:$T$469,"44287B3Energia horáriaNão se aplicaNão se aplicaNão se aplicaNão se aplicaFora ponta",Mercado_Receita!$N$2:$N$469)</f>
        <v>0</v>
      </c>
      <c r="J35" s="14">
        <f>SUMIF(Mercado_Receita!$T$2:$T$469,"44317B3Energia horáriaNão se aplicaNão se aplicaNão se aplicaNão se aplicaFora ponta",Mercado_Receita!$N$2:$N$469)</f>
        <v>0</v>
      </c>
      <c r="K35" s="14">
        <f>SUMIF(Mercado_Receita!$T$2:$T$469,"44348B3Energia horáriaNão se aplicaNão se aplicaNão se aplicaNão se aplicaFora ponta",Mercado_Receita!$N$2:$N$469)</f>
        <v>0</v>
      </c>
      <c r="L35" s="14">
        <f>SUMIF(Mercado_Receita!$T$2:$T$469,"44378B3Energia horáriaNão se aplicaNão se aplicaNão se aplicaNão se aplicaFora ponta",Mercado_Receita!$N$2:$N$469)</f>
        <v>0</v>
      </c>
      <c r="M35" s="14">
        <f>SUMIF(Mercado_Receita!$T$2:$T$469,"44409B3Energia horáriaNão se aplicaNão se aplicaNão se aplicaNão se aplicaFora ponta",Mercado_Receita!$N$2:$N$469)</f>
        <v>0</v>
      </c>
      <c r="N35" s="14">
        <f>SUMIF(Mercado_Receita!$T$2:$T$469,"44440B3Energia horáriaNão se aplicaNão se aplicaNão se aplicaNão se aplicaFora ponta",Mercado_Receita!$N$2:$N$469)</f>
        <v>0</v>
      </c>
      <c r="O35" s="14">
        <f>SUMIF(Mercado_Receita!$T$2:$T$469,"44470B3Energia horáriaNão se aplicaNão se aplicaNão se aplicaNão se aplicaFora ponta",Mercado_Receita!$N$2:$N$469)</f>
        <v>0</v>
      </c>
      <c r="P35" s="14">
        <f>SUMIF(Mercado_Receita!$T$2:$T$469,"44501B3Energia horáriaNão se aplicaNão se aplicaNão se aplicaNão se aplicaFora ponta",Mercado_Receita!$N$2:$N$469)</f>
        <v>0</v>
      </c>
      <c r="Q35" s="14">
        <f>SUMIF(Mercado_Receita!$T$2:$T$469,"44531B3Energia horáriaNão se aplicaNão se aplicaNão se aplicaNão se aplicaFora ponta",Mercado_Receita!$N$2:$N$469)</f>
        <v>0</v>
      </c>
      <c r="R35" s="14">
        <f>SUMIF(Mercado_Receita!$T$2:$T$469,"44562B3Energia horáriaNão se aplicaNão se aplicaNão se aplicaNão se aplicaFora ponta",Mercado_Receita!$N$2:$N$469)</f>
        <v>0</v>
      </c>
      <c r="S35" s="14">
        <f>SUMIF(Mercado_Receita!$T$2:$T$469,"44593B3Energia horáriaNão se aplicaNão se aplicaNão se aplicaNão se aplicaFora ponta",Mercado_Receita!$N$2:$N$469)</f>
        <v>0</v>
      </c>
      <c r="T35" s="14">
        <f>SUMIF(Mercado_Receita!$T$2:$T$469,"44621B3Energia horáriaNão se aplicaNão se aplicaNão se aplicaNão se aplicaFora ponta",Mercado_Receita!$N$2:$N$469)</f>
        <v>0</v>
      </c>
      <c r="U35" s="14">
        <f t="shared" si="0"/>
        <v>0</v>
      </c>
      <c r="V35" s="14"/>
      <c r="W35" s="14"/>
    </row>
    <row r="36" spans="1:23" ht="11.25" customHeight="1" x14ac:dyDescent="0.25">
      <c r="A36" s="116"/>
      <c r="B36" s="13" t="s">
        <v>74</v>
      </c>
      <c r="C36" s="13" t="s">
        <v>25</v>
      </c>
      <c r="D36" s="13" t="s">
        <v>25</v>
      </c>
      <c r="E36" s="13" t="s">
        <v>25</v>
      </c>
      <c r="F36" s="13" t="s">
        <v>25</v>
      </c>
      <c r="G36" s="14" t="s">
        <v>75</v>
      </c>
      <c r="H36" s="14" t="s">
        <v>71</v>
      </c>
      <c r="I36" s="14">
        <f>SUMIF(Mercado_Receita!$T$2:$T$469,"44287B3Energia convencionalNão se aplicaNão se aplicaNão se aplicaNão se aplicaNão se aplica",Mercado_Receita!$N$2:$N$469)</f>
        <v>396.68300000000005</v>
      </c>
      <c r="J36" s="14">
        <f>SUMIF(Mercado_Receita!$T$2:$T$469,"44317B3Energia convencionalNão se aplicaNão se aplicaNão se aplicaNão se aplicaNão se aplica",Mercado_Receita!$N$2:$N$469)</f>
        <v>360.99299999999999</v>
      </c>
      <c r="K36" s="14">
        <f>SUMIF(Mercado_Receita!$T$2:$T$469,"44348B3Energia convencionalNão se aplicaNão se aplicaNão se aplicaNão se aplicaNão se aplica",Mercado_Receita!$N$2:$N$469)</f>
        <v>361.952</v>
      </c>
      <c r="L36" s="14">
        <f>SUMIF(Mercado_Receita!$T$2:$T$469,"44378B3Energia convencionalNão se aplicaNão se aplicaNão se aplicaNão se aplicaNão se aplica",Mercado_Receita!$N$2:$N$469)</f>
        <v>332.18400000000003</v>
      </c>
      <c r="M36" s="14">
        <f>SUMIF(Mercado_Receita!$T$2:$T$469,"44409B3Energia convencionalNão se aplicaNão se aplicaNão se aplicaNão se aplicaNão se aplica",Mercado_Receita!$N$2:$N$469)</f>
        <v>345.24299999999999</v>
      </c>
      <c r="N36" s="14">
        <f>SUMIF(Mercado_Receita!$T$2:$T$469,"44440B3Energia convencionalNão se aplicaNão se aplicaNão se aplicaNão se aplicaNão se aplica",Mercado_Receita!$N$2:$N$469)</f>
        <v>386.4550000000001</v>
      </c>
      <c r="O36" s="14">
        <f>SUMIF(Mercado_Receita!$T$2:$T$469,"44470B3Energia convencionalNão se aplicaNão se aplicaNão se aplicaNão se aplicaNão se aplica",Mercado_Receita!$N$2:$N$469)</f>
        <v>373.14600000000007</v>
      </c>
      <c r="P36" s="14">
        <f>SUMIF(Mercado_Receita!$T$2:$T$469,"44501B3Energia convencionalNão se aplicaNão se aplicaNão se aplicaNão se aplicaNão se aplica",Mercado_Receita!$N$2:$N$469)</f>
        <v>375.62400000000002</v>
      </c>
      <c r="Q36" s="14">
        <f>SUMIF(Mercado_Receita!$T$2:$T$469,"44531B3Energia convencionalNão se aplicaNão se aplicaNão se aplicaNão se aplicaNão se aplica",Mercado_Receita!$N$2:$N$469)</f>
        <v>393.899</v>
      </c>
      <c r="R36" s="14">
        <f>SUMIF(Mercado_Receita!$T$2:$T$469,"44562B3Energia convencionalNão se aplicaNão se aplicaNão se aplicaNão se aplicaNão se aplica",Mercado_Receita!$N$2:$N$469)</f>
        <v>402.57600000000002</v>
      </c>
      <c r="S36" s="14">
        <f>SUMIF(Mercado_Receita!$T$2:$T$469,"44593B3Energia convencionalNão se aplicaNão se aplicaNão se aplicaNão se aplicaNão se aplica",Mercado_Receita!$N$2:$N$469)</f>
        <v>445.31299999999999</v>
      </c>
      <c r="T36" s="14">
        <f>SUMIF(Mercado_Receita!$T$2:$T$469,"44621B3Energia convencionalNão se aplicaNão se aplicaNão se aplicaNão se aplicaNão se aplica",Mercado_Receita!$N$2:$N$469)</f>
        <v>448.19599999999991</v>
      </c>
      <c r="U36" s="14">
        <f t="shared" si="0"/>
        <v>4622.2640000000001</v>
      </c>
      <c r="V36" s="14"/>
      <c r="W36" s="14"/>
    </row>
    <row r="37" spans="1:23" ht="11.25" customHeight="1" x14ac:dyDescent="0.25">
      <c r="A37" s="116"/>
      <c r="B37" s="13" t="s">
        <v>85</v>
      </c>
      <c r="C37" s="13" t="s">
        <v>25</v>
      </c>
      <c r="D37" s="13" t="s">
        <v>25</v>
      </c>
      <c r="E37" s="13" t="s">
        <v>25</v>
      </c>
      <c r="F37" s="13" t="s">
        <v>25</v>
      </c>
      <c r="G37" s="14" t="s">
        <v>75</v>
      </c>
      <c r="H37" s="14" t="s">
        <v>71</v>
      </c>
      <c r="I37" s="14">
        <f>SUMIF(Mercado_Receita!$T$2:$T$469,"44287B3Energia convencional pré-pagamentoNão se aplicaNão se aplicaNão se aplicaNão se aplicaNão se aplica",Mercado_Receita!$N$2:$N$469)</f>
        <v>0</v>
      </c>
      <c r="J37" s="14">
        <f>SUMIF(Mercado_Receita!$T$2:$T$469,"44317B3Energia convencional pré-pagamentoNão se aplicaNão se aplicaNão se aplicaNão se aplicaNão se aplica",Mercado_Receita!$N$2:$N$469)</f>
        <v>0</v>
      </c>
      <c r="K37" s="14">
        <f>SUMIF(Mercado_Receita!$T$2:$T$469,"44348B3Energia convencional pré-pagamentoNão se aplicaNão se aplicaNão se aplicaNão se aplicaNão se aplica",Mercado_Receita!$N$2:$N$469)</f>
        <v>0</v>
      </c>
      <c r="L37" s="14">
        <f>SUMIF(Mercado_Receita!$T$2:$T$469,"44378B3Energia convencional pré-pagamentoNão se aplicaNão se aplicaNão se aplicaNão se aplicaNão se aplica",Mercado_Receita!$N$2:$N$469)</f>
        <v>0</v>
      </c>
      <c r="M37" s="14">
        <f>SUMIF(Mercado_Receita!$T$2:$T$469,"44409B3Energia convencional pré-pagamentoNão se aplicaNão se aplicaNão se aplicaNão se aplicaNão se aplica",Mercado_Receita!$N$2:$N$469)</f>
        <v>0</v>
      </c>
      <c r="N37" s="14">
        <f>SUMIF(Mercado_Receita!$T$2:$T$469,"44440B3Energia convencional pré-pagamentoNão se aplicaNão se aplicaNão se aplicaNão se aplicaNão se aplica",Mercado_Receita!$N$2:$N$469)</f>
        <v>0</v>
      </c>
      <c r="O37" s="14">
        <f>SUMIF(Mercado_Receita!$T$2:$T$469,"44470B3Energia convencional pré-pagamentoNão se aplicaNão se aplicaNão se aplicaNão se aplicaNão se aplica",Mercado_Receita!$N$2:$N$469)</f>
        <v>0</v>
      </c>
      <c r="P37" s="14">
        <f>SUMIF(Mercado_Receita!$T$2:$T$469,"44501B3Energia convencional pré-pagamentoNão se aplicaNão se aplicaNão se aplicaNão se aplicaNão se aplica",Mercado_Receita!$N$2:$N$469)</f>
        <v>0</v>
      </c>
      <c r="Q37" s="14">
        <f>SUMIF(Mercado_Receita!$T$2:$T$469,"44531B3Energia convencional pré-pagamentoNão se aplicaNão se aplicaNão se aplicaNão se aplicaNão se aplica",Mercado_Receita!$N$2:$N$469)</f>
        <v>0</v>
      </c>
      <c r="R37" s="14">
        <f>SUMIF(Mercado_Receita!$T$2:$T$469,"44562B3Energia convencional pré-pagamentoNão se aplicaNão se aplicaNão se aplicaNão se aplicaNão se aplica",Mercado_Receita!$N$2:$N$469)</f>
        <v>0</v>
      </c>
      <c r="S37" s="14">
        <f>SUMIF(Mercado_Receita!$T$2:$T$469,"44593B3Energia convencional pré-pagamentoNão se aplicaNão se aplicaNão se aplicaNão se aplicaNão se aplica",Mercado_Receita!$N$2:$N$469)</f>
        <v>0</v>
      </c>
      <c r="T37" s="14">
        <f>SUMIF(Mercado_Receita!$T$2:$T$469,"44621B3Energia convencional pré-pagamentoNão se aplicaNão se aplicaNão se aplicaNão se aplicaNão se aplica",Mercado_Receita!$N$2:$N$469)</f>
        <v>0</v>
      </c>
      <c r="U37" s="14">
        <f t="shared" si="0"/>
        <v>0</v>
      </c>
      <c r="V37" s="14"/>
      <c r="W37" s="14"/>
    </row>
    <row r="38" spans="1:23" ht="11.25" customHeight="1" x14ac:dyDescent="0.25">
      <c r="A38" s="115" t="s">
        <v>46</v>
      </c>
      <c r="B38" s="115" t="s">
        <v>74</v>
      </c>
      <c r="C38" s="115" t="s">
        <v>47</v>
      </c>
      <c r="D38" s="13" t="s">
        <v>48</v>
      </c>
      <c r="E38" s="13" t="s">
        <v>25</v>
      </c>
      <c r="F38" s="13" t="s">
        <v>25</v>
      </c>
      <c r="G38" s="14" t="s">
        <v>75</v>
      </c>
      <c r="H38" s="14" t="s">
        <v>71</v>
      </c>
      <c r="I38" s="14">
        <f>SUMIF(Mercado_Receita!$T$2:$T$469,"44287B4Energia convencionalIluminação públicaIluminação pública – B4aNão se aplicaNão se aplicaNão se aplica",Mercado_Receita!$N$2:$N$469)</f>
        <v>274.584</v>
      </c>
      <c r="J38" s="14">
        <f>SUMIF(Mercado_Receita!$T$2:$T$469,"44317B4Energia convencionalIluminação públicaIluminação pública – B4aNão se aplicaNão se aplicaNão se aplica",Mercado_Receita!$N$2:$N$469)</f>
        <v>283.738</v>
      </c>
      <c r="K38" s="14">
        <f>SUMIF(Mercado_Receita!$T$2:$T$469,"44348B4Energia convencionalIluminação públicaIluminação pública – B4aNão se aplicaNão se aplicaNão se aplica",Mercado_Receita!$N$2:$N$469)</f>
        <v>274.584</v>
      </c>
      <c r="L38" s="14">
        <f>SUMIF(Mercado_Receita!$T$2:$T$469,"44378B4Energia convencionalIluminação públicaIluminação pública – B4aNão se aplicaNão se aplicaNão se aplica",Mercado_Receita!$N$2:$N$469)</f>
        <v>283.738</v>
      </c>
      <c r="M38" s="14">
        <f>SUMIF(Mercado_Receita!$T$2:$T$469,"44409B4Energia convencionalIluminação públicaIluminação pública – B4aNão se aplicaNão se aplicaNão se aplica",Mercado_Receita!$N$2:$N$469)</f>
        <v>283.738</v>
      </c>
      <c r="N38" s="14">
        <f>SUMIF(Mercado_Receita!$T$2:$T$469,"44440B4Energia convencionalIluminação públicaIluminação pública – B4aNão se aplicaNão se aplicaNão se aplica",Mercado_Receita!$N$2:$N$469)</f>
        <v>274.584</v>
      </c>
      <c r="O38" s="14">
        <f>SUMIF(Mercado_Receita!$T$2:$T$469,"44470B4Energia convencionalIluminação públicaIluminação pública – B4aNão se aplicaNão se aplicaNão se aplica",Mercado_Receita!$N$2:$N$469)</f>
        <v>290.12400000000002</v>
      </c>
      <c r="P38" s="14">
        <f>SUMIF(Mercado_Receita!$T$2:$T$469,"44501B4Energia convencionalIluminação públicaIluminação pública – B4aNão se aplicaNão se aplicaNão se aplica",Mercado_Receita!$N$2:$N$469)</f>
        <v>274.584</v>
      </c>
      <c r="Q38" s="14">
        <f>SUMIF(Mercado_Receita!$T$2:$T$469,"44531B4Energia convencionalIluminação públicaIluminação pública – B4aNão se aplicaNão se aplicaNão se aplica",Mercado_Receita!$N$2:$N$469)</f>
        <v>283.738</v>
      </c>
      <c r="R38" s="14">
        <f>SUMIF(Mercado_Receita!$T$2:$T$469,"44562B4Energia convencionalIluminação públicaIluminação pública – B4aNão se aplicaNão se aplicaNão se aplica",Mercado_Receita!$N$2:$N$469)</f>
        <v>283.738</v>
      </c>
      <c r="S38" s="14">
        <f>SUMIF(Mercado_Receita!$T$2:$T$469,"44593B4Energia convencionalIluminação públicaIluminação pública – B4aNão se aplicaNão se aplicaNão se aplica",Mercado_Receita!$N$2:$N$469)</f>
        <v>256.27999999999997</v>
      </c>
      <c r="T38" s="14">
        <f>SUMIF(Mercado_Receita!$T$2:$T$469,"44621B4Energia convencionalIluminação públicaIluminação pública – B4aNão se aplicaNão se aplicaNão se aplica",Mercado_Receita!$N$2:$N$469)</f>
        <v>283.738</v>
      </c>
      <c r="U38" s="14">
        <f t="shared" si="0"/>
        <v>3347.1679999999992</v>
      </c>
      <c r="V38" s="14"/>
      <c r="W38" s="14"/>
    </row>
    <row r="39" spans="1:23" ht="11.25" customHeight="1" x14ac:dyDescent="0.25">
      <c r="A39" s="116"/>
      <c r="B39" s="116"/>
      <c r="C39" s="116"/>
      <c r="D39" s="14" t="s">
        <v>89</v>
      </c>
      <c r="E39" s="14" t="s">
        <v>25</v>
      </c>
      <c r="F39" s="14" t="s">
        <v>25</v>
      </c>
      <c r="G39" s="14" t="s">
        <v>75</v>
      </c>
      <c r="H39" s="14" t="s">
        <v>71</v>
      </c>
      <c r="I39" s="14">
        <f>SUMIF(Mercado_Receita!$T$2:$T$469,"44287B4Energia convencionalIluminação públicaIluminação pública – B4bNão se aplicaNão se aplicaNão se aplica",Mercado_Receita!$N$2:$N$469)</f>
        <v>0</v>
      </c>
      <c r="J39" s="14">
        <f>SUMIF(Mercado_Receita!$T$2:$T$469,"44317B4Energia convencionalIluminação públicaIluminação pública – B4bNão se aplicaNão se aplicaNão se aplica",Mercado_Receita!$N$2:$N$469)</f>
        <v>0</v>
      </c>
      <c r="K39" s="14">
        <f>SUMIF(Mercado_Receita!$T$2:$T$469,"44348B4Energia convencionalIluminação públicaIluminação pública – B4bNão se aplicaNão se aplicaNão se aplica",Mercado_Receita!$N$2:$N$469)</f>
        <v>0</v>
      </c>
      <c r="L39" s="14">
        <f>SUMIF(Mercado_Receita!$T$2:$T$469,"44378B4Energia convencionalIluminação públicaIluminação pública – B4bNão se aplicaNão se aplicaNão se aplica",Mercado_Receita!$N$2:$N$469)</f>
        <v>0</v>
      </c>
      <c r="M39" s="14">
        <f>SUMIF(Mercado_Receita!$T$2:$T$469,"44409B4Energia convencionalIluminação públicaIluminação pública – B4bNão se aplicaNão se aplicaNão se aplica",Mercado_Receita!$N$2:$N$469)</f>
        <v>0</v>
      </c>
      <c r="N39" s="14">
        <f>SUMIF(Mercado_Receita!$T$2:$T$469,"44440B4Energia convencionalIluminação públicaIluminação pública – B4bNão se aplicaNão se aplicaNão se aplica",Mercado_Receita!$N$2:$N$469)</f>
        <v>0</v>
      </c>
      <c r="O39" s="14">
        <f>SUMIF(Mercado_Receita!$T$2:$T$469,"44470B4Energia convencionalIluminação públicaIluminação pública – B4bNão se aplicaNão se aplicaNão se aplica",Mercado_Receita!$N$2:$N$469)</f>
        <v>0</v>
      </c>
      <c r="P39" s="14">
        <f>SUMIF(Mercado_Receita!$T$2:$T$469,"44501B4Energia convencionalIluminação públicaIluminação pública – B4bNão se aplicaNão se aplicaNão se aplica",Mercado_Receita!$N$2:$N$469)</f>
        <v>0</v>
      </c>
      <c r="Q39" s="14">
        <f>SUMIF(Mercado_Receita!$T$2:$T$469,"44531B4Energia convencionalIluminação públicaIluminação pública – B4bNão se aplicaNão se aplicaNão se aplica",Mercado_Receita!$N$2:$N$469)</f>
        <v>0</v>
      </c>
      <c r="R39" s="14">
        <f>SUMIF(Mercado_Receita!$T$2:$T$469,"44562B4Energia convencionalIluminação públicaIluminação pública – B4bNão se aplicaNão se aplicaNão se aplica",Mercado_Receita!$N$2:$N$469)</f>
        <v>0</v>
      </c>
      <c r="S39" s="14">
        <f>SUMIF(Mercado_Receita!$T$2:$T$469,"44593B4Energia convencionalIluminação públicaIluminação pública – B4bNão se aplicaNão se aplicaNão se aplica",Mercado_Receita!$N$2:$N$469)</f>
        <v>0</v>
      </c>
      <c r="T39" s="14">
        <f>SUMIF(Mercado_Receita!$T$2:$T$469,"44621B4Energia convencionalIluminação públicaIluminação pública – B4bNão se aplicaNão se aplicaNão se aplica",Mercado_Receita!$N$2:$N$469)</f>
        <v>0</v>
      </c>
      <c r="U39" s="14">
        <f t="shared" si="0"/>
        <v>0</v>
      </c>
      <c r="V39" s="14"/>
      <c r="W39" s="14"/>
    </row>
    <row r="40" spans="1:23" ht="11.25" customHeight="1" x14ac:dyDescent="0.25">
      <c r="A40" s="117" t="s">
        <v>444</v>
      </c>
      <c r="B40" s="118"/>
      <c r="C40" s="118"/>
      <c r="D40" s="118"/>
      <c r="E40" s="118"/>
      <c r="F40" s="118"/>
      <c r="G40" s="118"/>
      <c r="H40" s="118"/>
      <c r="I40" s="118"/>
      <c r="J40" s="118"/>
      <c r="K40" s="118"/>
      <c r="L40" s="118"/>
      <c r="M40" s="118"/>
      <c r="N40" s="118"/>
      <c r="O40" s="118"/>
      <c r="P40" s="118"/>
      <c r="Q40" s="118"/>
      <c r="R40" s="118"/>
      <c r="S40" s="118"/>
      <c r="T40" s="118"/>
      <c r="U40" s="118"/>
      <c r="V40" s="14"/>
      <c r="W40" s="14"/>
    </row>
  </sheetData>
  <mergeCells count="44">
    <mergeCell ref="A38:A39"/>
    <mergeCell ref="B38:B39"/>
    <mergeCell ref="C38:C39"/>
    <mergeCell ref="A40:U40"/>
    <mergeCell ref="C30:C32"/>
    <mergeCell ref="B30:B32"/>
    <mergeCell ref="A18:A32"/>
    <mergeCell ref="F33:F35"/>
    <mergeCell ref="E33:E35"/>
    <mergeCell ref="D33:D35"/>
    <mergeCell ref="C33:C35"/>
    <mergeCell ref="B33:B35"/>
    <mergeCell ref="A33:A37"/>
    <mergeCell ref="F22:F24"/>
    <mergeCell ref="E22:E24"/>
    <mergeCell ref="D22:D24"/>
    <mergeCell ref="C22:C24"/>
    <mergeCell ref="B22:B24"/>
    <mergeCell ref="F26:F28"/>
    <mergeCell ref="E26:E28"/>
    <mergeCell ref="D26:D28"/>
    <mergeCell ref="C26:C28"/>
    <mergeCell ref="B26:B28"/>
    <mergeCell ref="C13:C17"/>
    <mergeCell ref="B13:B17"/>
    <mergeCell ref="A5:A17"/>
    <mergeCell ref="F18:F20"/>
    <mergeCell ref="E18:E20"/>
    <mergeCell ref="D18:D20"/>
    <mergeCell ref="C18:C20"/>
    <mergeCell ref="B18:B20"/>
    <mergeCell ref="F5:F7"/>
    <mergeCell ref="E5:E7"/>
    <mergeCell ref="D5:D7"/>
    <mergeCell ref="C5:C7"/>
    <mergeCell ref="B5:B7"/>
    <mergeCell ref="C8:C12"/>
    <mergeCell ref="B8:B12"/>
    <mergeCell ref="A2:A4"/>
    <mergeCell ref="F2:F3"/>
    <mergeCell ref="E2:E3"/>
    <mergeCell ref="D2:D3"/>
    <mergeCell ref="C2:C3"/>
    <mergeCell ref="B2:B3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40E59-81AC-4C88-A083-D2ED659AE304}">
  <dimension ref="A1:AD200"/>
  <sheetViews>
    <sheetView showGridLines="0" topLeftCell="A36" workbookViewId="0">
      <selection activeCell="L48" sqref="L48:M51"/>
    </sheetView>
  </sheetViews>
  <sheetFormatPr defaultRowHeight="12" customHeight="1" x14ac:dyDescent="0.2"/>
  <cols>
    <col min="1" max="1" width="10.5703125" style="16" bestFit="1" customWidth="1"/>
    <col min="2" max="2" width="14.42578125" style="16" bestFit="1" customWidth="1"/>
    <col min="3" max="3" width="18.42578125" style="16" bestFit="1" customWidth="1"/>
    <col min="4" max="4" width="15" style="16" bestFit="1" customWidth="1"/>
    <col min="5" max="5" width="14.5703125" style="16" bestFit="1" customWidth="1"/>
    <col min="6" max="6" width="4.42578125" style="16" bestFit="1" customWidth="1"/>
    <col min="7" max="11" width="9.140625" style="16"/>
    <col min="12" max="12" width="34.140625" style="16" bestFit="1" customWidth="1"/>
    <col min="13" max="13" width="10" style="16" bestFit="1" customWidth="1"/>
    <col min="14" max="14" width="36.140625" style="16" bestFit="1" customWidth="1"/>
    <col min="15" max="15" width="30.7109375" style="16" customWidth="1"/>
    <col min="16" max="16" width="13.140625" style="16" bestFit="1" customWidth="1"/>
    <col min="17" max="17" width="9.28515625" style="16" bestFit="1" customWidth="1"/>
    <col min="18" max="18" width="9.42578125" style="16" bestFit="1" customWidth="1"/>
    <col min="19" max="19" width="12.5703125" style="16" bestFit="1" customWidth="1"/>
    <col min="20" max="20" width="15.42578125" style="16" bestFit="1" customWidth="1"/>
    <col min="21" max="21" width="10.85546875" style="16" bestFit="1" customWidth="1"/>
    <col min="22" max="22" width="13.28515625" style="16" bestFit="1" customWidth="1"/>
    <col min="23" max="23" width="5" style="16" bestFit="1" customWidth="1"/>
    <col min="24" max="24" width="49.42578125" style="16" bestFit="1" customWidth="1"/>
    <col min="25" max="26" width="5" style="16" bestFit="1" customWidth="1"/>
    <col min="27" max="27" width="2" style="16" bestFit="1" customWidth="1"/>
    <col min="28" max="16384" width="9.140625" style="16"/>
  </cols>
  <sheetData>
    <row r="1" spans="1:30" ht="12" customHeight="1" x14ac:dyDescent="0.2">
      <c r="A1" s="10" t="s">
        <v>483</v>
      </c>
      <c r="B1" s="10" t="s">
        <v>484</v>
      </c>
      <c r="C1" s="10" t="s">
        <v>485</v>
      </c>
      <c r="D1" s="10" t="s">
        <v>486</v>
      </c>
      <c r="E1" s="10" t="s">
        <v>487</v>
      </c>
      <c r="F1" s="10" t="s">
        <v>488</v>
      </c>
      <c r="G1" s="7"/>
      <c r="H1" s="7"/>
      <c r="I1" s="7"/>
      <c r="J1" s="7"/>
      <c r="K1" s="7"/>
      <c r="L1" s="129" t="s">
        <v>489</v>
      </c>
      <c r="M1" s="129"/>
      <c r="N1" s="7"/>
      <c r="O1" s="124" t="s">
        <v>576</v>
      </c>
      <c r="P1" s="125"/>
      <c r="Q1" s="125"/>
      <c r="R1" s="125"/>
      <c r="S1" s="125"/>
      <c r="T1" s="125"/>
      <c r="U1" s="125"/>
      <c r="V1" s="7"/>
      <c r="W1" s="7"/>
      <c r="X1" s="7"/>
      <c r="Y1" s="7"/>
      <c r="Z1" s="7"/>
      <c r="AA1" s="7"/>
      <c r="AB1" s="7"/>
      <c r="AC1" s="7"/>
      <c r="AD1" s="7"/>
    </row>
    <row r="2" spans="1:30" ht="12" customHeight="1" x14ac:dyDescent="0.2">
      <c r="A2" s="119" t="s">
        <v>445</v>
      </c>
      <c r="B2" s="119" t="s">
        <v>446</v>
      </c>
      <c r="C2" s="18" t="s">
        <v>530</v>
      </c>
      <c r="D2" s="15">
        <v>939575.29936830897</v>
      </c>
      <c r="E2" s="15"/>
      <c r="F2" s="15"/>
      <c r="G2" s="17"/>
      <c r="H2" s="17"/>
      <c r="I2" s="17"/>
      <c r="J2" s="17"/>
      <c r="K2" s="17"/>
      <c r="L2" s="32" t="s">
        <v>490</v>
      </c>
      <c r="M2" s="80">
        <v>0.17399999999999999</v>
      </c>
      <c r="N2" s="17"/>
      <c r="O2" s="43" t="s">
        <v>577</v>
      </c>
      <c r="P2" s="43" t="s">
        <v>578</v>
      </c>
      <c r="Q2" s="43" t="s">
        <v>579</v>
      </c>
      <c r="R2" s="43" t="s">
        <v>33</v>
      </c>
      <c r="S2" s="43" t="s">
        <v>580</v>
      </c>
      <c r="T2" s="43" t="s">
        <v>81</v>
      </c>
      <c r="U2" s="43"/>
      <c r="V2" s="17"/>
      <c r="W2" s="17"/>
      <c r="X2" s="32" t="s">
        <v>543</v>
      </c>
      <c r="Y2" s="17"/>
      <c r="Z2" s="17"/>
      <c r="AA2" s="17" t="s">
        <v>588</v>
      </c>
      <c r="AB2" s="17"/>
      <c r="AC2" s="17"/>
      <c r="AD2" s="17"/>
    </row>
    <row r="3" spans="1:30" ht="12" customHeight="1" x14ac:dyDescent="0.2">
      <c r="A3" s="121"/>
      <c r="B3" s="121"/>
      <c r="C3" s="18" t="s">
        <v>447</v>
      </c>
      <c r="D3" s="15">
        <v>122510.74929264619</v>
      </c>
      <c r="E3" s="15">
        <v>5151.4439600447486</v>
      </c>
      <c r="F3" s="15">
        <v>0</v>
      </c>
      <c r="G3" s="17"/>
      <c r="H3" s="17"/>
      <c r="I3" s="17"/>
      <c r="J3" s="17"/>
      <c r="K3" s="17"/>
      <c r="L3" s="32" t="s">
        <v>491</v>
      </c>
      <c r="M3" s="80"/>
      <c r="N3" s="17"/>
      <c r="O3" s="78">
        <v>1</v>
      </c>
      <c r="P3" s="78">
        <v>1</v>
      </c>
      <c r="Q3" s="78">
        <v>1</v>
      </c>
      <c r="R3" s="78">
        <v>1</v>
      </c>
      <c r="S3" s="78">
        <v>1</v>
      </c>
      <c r="T3" s="78">
        <v>1</v>
      </c>
      <c r="U3" s="44" t="s">
        <v>581</v>
      </c>
      <c r="V3" s="17"/>
      <c r="W3" s="17"/>
      <c r="X3" s="32" t="s">
        <v>544</v>
      </c>
      <c r="Y3" s="17"/>
      <c r="Z3" s="17"/>
      <c r="AA3" s="17">
        <v>0</v>
      </c>
      <c r="AB3" s="17"/>
      <c r="AC3" s="17"/>
      <c r="AD3" s="17"/>
    </row>
    <row r="4" spans="1:30" ht="12" customHeight="1" x14ac:dyDescent="0.2">
      <c r="A4" s="121"/>
      <c r="B4" s="121"/>
      <c r="C4" s="18" t="s">
        <v>448</v>
      </c>
      <c r="D4" s="15">
        <f>$M$22-D$30</f>
        <v>0</v>
      </c>
      <c r="E4" s="15">
        <f>IF((D4+D$30)&lt;&gt;0,$M$20*D4/(D4+D$30),0)</f>
        <v>0</v>
      </c>
      <c r="F4" s="15">
        <f>IF((D4+D$30)&lt;&gt;0,$M$21*D4/(D4+D$30),0)</f>
        <v>0</v>
      </c>
      <c r="G4" s="17"/>
      <c r="H4" s="17"/>
      <c r="I4" s="17"/>
      <c r="J4" s="17"/>
      <c r="K4" s="17"/>
      <c r="L4" s="32" t="s">
        <v>492</v>
      </c>
      <c r="M4" s="80">
        <v>0.14770521805468251</v>
      </c>
      <c r="N4" s="17"/>
      <c r="O4" s="78">
        <v>1</v>
      </c>
      <c r="P4" s="78">
        <v>1</v>
      </c>
      <c r="Q4" s="78">
        <v>1</v>
      </c>
      <c r="R4" s="78">
        <v>1</v>
      </c>
      <c r="S4" s="78">
        <v>1</v>
      </c>
      <c r="T4" s="78">
        <v>1</v>
      </c>
      <c r="U4" s="44" t="s">
        <v>80</v>
      </c>
      <c r="V4" s="17"/>
      <c r="W4" s="17"/>
      <c r="X4" s="17"/>
      <c r="Y4" s="17"/>
      <c r="Z4" s="17"/>
      <c r="AA4" s="17"/>
      <c r="AB4" s="17"/>
      <c r="AC4" s="17"/>
      <c r="AD4" s="17"/>
    </row>
    <row r="5" spans="1:30" ht="12" customHeight="1" x14ac:dyDescent="0.2">
      <c r="A5" s="121"/>
      <c r="B5" s="121"/>
      <c r="C5" s="18" t="s">
        <v>449</v>
      </c>
      <c r="D5" s="15">
        <v>0</v>
      </c>
      <c r="E5" s="15"/>
      <c r="F5" s="15"/>
      <c r="G5" s="17"/>
      <c r="H5" s="17"/>
      <c r="I5" s="17"/>
      <c r="J5" s="17"/>
      <c r="K5" s="17"/>
      <c r="L5" s="32" t="s">
        <v>493</v>
      </c>
      <c r="M5" s="80">
        <v>1E-14</v>
      </c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</row>
    <row r="6" spans="1:30" ht="12" customHeight="1" x14ac:dyDescent="0.2">
      <c r="A6" s="121"/>
      <c r="B6" s="121"/>
      <c r="C6" s="18" t="s">
        <v>450</v>
      </c>
      <c r="D6" s="15">
        <v>0</v>
      </c>
      <c r="E6" s="15">
        <v>0</v>
      </c>
      <c r="F6" s="15">
        <v>0</v>
      </c>
      <c r="G6" s="17"/>
      <c r="H6" s="17"/>
      <c r="I6" s="17"/>
      <c r="J6" s="17"/>
      <c r="K6" s="17"/>
      <c r="L6" s="32" t="s">
        <v>494</v>
      </c>
      <c r="M6" s="80">
        <v>0</v>
      </c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</row>
    <row r="7" spans="1:30" ht="12" customHeight="1" x14ac:dyDescent="0.2">
      <c r="A7" s="121"/>
      <c r="B7" s="121"/>
      <c r="C7" s="18" t="s">
        <v>451</v>
      </c>
      <c r="D7" s="15">
        <v>3506533.3199799983</v>
      </c>
      <c r="E7" s="15">
        <v>180147.7937953643</v>
      </c>
      <c r="F7" s="15">
        <v>0</v>
      </c>
      <c r="G7" s="17"/>
      <c r="H7" s="17"/>
      <c r="I7" s="17"/>
      <c r="J7" s="17"/>
      <c r="K7" s="17"/>
      <c r="L7" s="32" t="s">
        <v>495</v>
      </c>
      <c r="M7" s="32">
        <f>M8+M9+M10+M11</f>
        <v>7742.553710000022</v>
      </c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</row>
    <row r="8" spans="1:30" ht="12" customHeight="1" x14ac:dyDescent="0.2">
      <c r="A8" s="121"/>
      <c r="B8" s="121"/>
      <c r="C8" s="18" t="s">
        <v>452</v>
      </c>
      <c r="D8" s="15">
        <v>591110.68967999984</v>
      </c>
      <c r="E8" s="15">
        <v>19778.411797242152</v>
      </c>
      <c r="F8" s="15">
        <v>0</v>
      </c>
      <c r="G8" s="17"/>
      <c r="H8" s="17"/>
      <c r="I8" s="17"/>
      <c r="J8" s="17"/>
      <c r="K8" s="17"/>
      <c r="L8" s="81" t="s">
        <v>496</v>
      </c>
      <c r="M8" s="32">
        <v>7069.7783053035719</v>
      </c>
      <c r="N8" s="17"/>
      <c r="O8" s="32" t="s">
        <v>529</v>
      </c>
      <c r="P8" s="44">
        <v>0</v>
      </c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</row>
    <row r="9" spans="1:30" ht="12" customHeight="1" x14ac:dyDescent="0.2">
      <c r="A9" s="121"/>
      <c r="B9" s="121"/>
      <c r="C9" s="18" t="s">
        <v>453</v>
      </c>
      <c r="D9" s="15"/>
      <c r="E9" s="15"/>
      <c r="F9" s="15"/>
      <c r="G9" s="17"/>
      <c r="H9" s="17"/>
      <c r="I9" s="17"/>
      <c r="J9" s="17"/>
      <c r="K9" s="17"/>
      <c r="L9" s="82" t="s">
        <v>497</v>
      </c>
      <c r="M9" s="32">
        <v>672.77540469645044</v>
      </c>
      <c r="N9" s="17"/>
      <c r="O9" s="32" t="s">
        <v>534</v>
      </c>
      <c r="P9" s="44">
        <f>SUM(Mercado_Receita!$J$2:$J$469)</f>
        <v>18706</v>
      </c>
      <c r="Q9" s="44">
        <v>18706</v>
      </c>
      <c r="R9" s="44" t="str">
        <f>IF(ABS(P9-Q9)&gt;1,"ERRO BADNET","OK BADNET")</f>
        <v>OK BADNET</v>
      </c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</row>
    <row r="10" spans="1:30" ht="12" customHeight="1" x14ac:dyDescent="0.2">
      <c r="A10" s="121"/>
      <c r="B10" s="120"/>
      <c r="C10" s="18" t="s">
        <v>454</v>
      </c>
      <c r="D10" s="15">
        <f>SUM(D$2:D9)</f>
        <v>5159730.0583209535</v>
      </c>
      <c r="E10" s="15">
        <f>SUM(E$2:E9)</f>
        <v>205077.64955265119</v>
      </c>
      <c r="F10" s="15">
        <f>SUM(F$2:F9)</f>
        <v>0</v>
      </c>
      <c r="G10" s="17"/>
      <c r="H10" s="17"/>
      <c r="I10" s="17"/>
      <c r="J10" s="17"/>
      <c r="K10" s="17"/>
      <c r="L10" s="81" t="s">
        <v>498</v>
      </c>
      <c r="M10" s="32">
        <v>0</v>
      </c>
      <c r="N10" s="17"/>
      <c r="O10" s="32" t="s">
        <v>535</v>
      </c>
      <c r="P10" s="44">
        <f>SUM(Mercado_Receita!$L$2:$L$469)</f>
        <v>42963.579000000005</v>
      </c>
      <c r="Q10" s="44">
        <v>42963.578999999998</v>
      </c>
      <c r="R10" s="44" t="str">
        <f>IF(ABS(P10-Q10)&gt;1,"ERRO BADNET","OK BADNET")</f>
        <v>OK BADNET</v>
      </c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</row>
    <row r="11" spans="1:30" ht="12" customHeight="1" x14ac:dyDescent="0.2">
      <c r="A11" s="121"/>
      <c r="B11" s="119" t="s">
        <v>455</v>
      </c>
      <c r="C11" s="18" t="s">
        <v>456</v>
      </c>
      <c r="D11" s="15">
        <v>0</v>
      </c>
      <c r="E11" s="15">
        <v>0</v>
      </c>
      <c r="F11" s="15">
        <f>IF((+$D$11+$D$12+$D$16+$D$17+$D$38)&lt;&gt;0,$M$19*$D$11/(+$D$11+$D$12+$D$16+$D$17+$D$38),0)</f>
        <v>0</v>
      </c>
      <c r="G11" s="17"/>
      <c r="H11" s="17"/>
      <c r="I11" s="17"/>
      <c r="J11" s="17"/>
      <c r="K11" s="17"/>
      <c r="L11" s="81" t="s">
        <v>499</v>
      </c>
      <c r="M11" s="32">
        <v>0</v>
      </c>
      <c r="N11" s="17"/>
      <c r="O11" s="32" t="s">
        <v>536</v>
      </c>
      <c r="P11" s="44">
        <f>SUM(Mercado_Receita!$N$2:$N$469)</f>
        <v>42963.579000000005</v>
      </c>
      <c r="Q11" s="44">
        <v>42963.578999999998</v>
      </c>
      <c r="R11" s="44" t="str">
        <f>IF(ABS(P11-Q11)&gt;1,"ERRO BADNET","OK BADNET")</f>
        <v>OK BADNET</v>
      </c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</row>
    <row r="12" spans="1:30" ht="12" customHeight="1" x14ac:dyDescent="0.2">
      <c r="A12" s="121"/>
      <c r="B12" s="121"/>
      <c r="C12" s="18" t="s">
        <v>457</v>
      </c>
      <c r="D12" s="15">
        <v>0</v>
      </c>
      <c r="E12" s="15">
        <v>0</v>
      </c>
      <c r="F12" s="15">
        <f>IF((+$D$11+$D$12+$D$16+$D$17+$D$38)&lt;&gt;0,$M$19*$D$12/(+$D$11+$D$12+$D$16+$D$17+$D$38),0)</f>
        <v>0</v>
      </c>
      <c r="G12" s="17"/>
      <c r="H12" s="17"/>
      <c r="I12" s="17"/>
      <c r="J12" s="17"/>
      <c r="K12" s="17"/>
      <c r="L12" s="32" t="s">
        <v>500</v>
      </c>
      <c r="M12" s="32">
        <v>50706.132710000005</v>
      </c>
      <c r="N12" s="17"/>
      <c r="O12" s="32" t="s">
        <v>537</v>
      </c>
      <c r="P12" s="44">
        <f>SUMIF('MERCADO TUSD'!$H$2:$H$48,"kW",'MERCADO TUSD'!$U$2:$U$48)</f>
        <v>18706</v>
      </c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</row>
    <row r="13" spans="1:30" ht="12" customHeight="1" x14ac:dyDescent="0.2">
      <c r="A13" s="121"/>
      <c r="B13" s="121"/>
      <c r="C13" s="18" t="s">
        <v>458</v>
      </c>
      <c r="D13" s="15">
        <f>-$M$51+0</f>
        <v>0</v>
      </c>
      <c r="E13" s="15"/>
      <c r="F13" s="15"/>
      <c r="G13" s="17"/>
      <c r="H13" s="17"/>
      <c r="I13" s="17"/>
      <c r="J13" s="17"/>
      <c r="K13" s="17"/>
      <c r="L13" s="32" t="s">
        <v>501</v>
      </c>
      <c r="M13" s="32">
        <v>854.28996213369783</v>
      </c>
      <c r="N13" s="17"/>
      <c r="O13" s="32" t="s">
        <v>538</v>
      </c>
      <c r="P13" s="44">
        <f>SUMIF('MERCADO TUSD'!$H$2:$H$48,"MWh",'MERCADO TUSD'!$U$2:$U$48)</f>
        <v>42963.578999999998</v>
      </c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</row>
    <row r="14" spans="1:30" ht="12" customHeight="1" x14ac:dyDescent="0.2">
      <c r="A14" s="121"/>
      <c r="B14" s="121"/>
      <c r="C14" s="18" t="s">
        <v>459</v>
      </c>
      <c r="D14" s="15"/>
      <c r="E14" s="15"/>
      <c r="F14" s="15"/>
      <c r="G14" s="17"/>
      <c r="H14" s="17"/>
      <c r="I14" s="17"/>
      <c r="J14" s="17"/>
      <c r="K14" s="17"/>
      <c r="L14" s="32" t="s">
        <v>502</v>
      </c>
      <c r="M14" s="32">
        <v>196.04302650124589</v>
      </c>
      <c r="N14" s="17"/>
      <c r="O14" s="32" t="s">
        <v>539</v>
      </c>
      <c r="P14" s="44">
        <f>SUMIF('MERCADO TE'!$H$2:$H$39,"MWh",'MERCADO TE'!$U$2:$U$39)</f>
        <v>42963.578999999998</v>
      </c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</row>
    <row r="15" spans="1:30" ht="12" customHeight="1" x14ac:dyDescent="0.2">
      <c r="A15" s="121"/>
      <c r="B15" s="121"/>
      <c r="C15" s="18" t="s">
        <v>460</v>
      </c>
      <c r="D15" s="15">
        <v>8087693.3765699323</v>
      </c>
      <c r="E15" s="15">
        <v>2057012.1713465147</v>
      </c>
      <c r="F15" s="15">
        <v>0</v>
      </c>
      <c r="G15" s="17"/>
      <c r="H15" s="17"/>
      <c r="I15" s="17"/>
      <c r="J15" s="17"/>
      <c r="K15" s="17"/>
      <c r="L15" s="32" t="s">
        <v>503</v>
      </c>
      <c r="M15" s="32">
        <f>M14*M12</f>
        <v>9940583.7186422218</v>
      </c>
      <c r="N15" s="17"/>
      <c r="O15" s="32" t="s">
        <v>540</v>
      </c>
      <c r="P15" s="78" t="str">
        <f>IF(ABS(P9-P12)&gt;1,"ERRO","OK")</f>
        <v>OK</v>
      </c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</row>
    <row r="16" spans="1:30" ht="12" customHeight="1" x14ac:dyDescent="0.2">
      <c r="A16" s="121"/>
      <c r="B16" s="121"/>
      <c r="C16" s="18" t="s">
        <v>461</v>
      </c>
      <c r="D16" s="15">
        <v>0</v>
      </c>
      <c r="E16" s="15"/>
      <c r="F16" s="15">
        <f>IF((+$D$11+$D$12+$D$16+$D$17+$D$38)&lt;&gt;0,$M$19*$D$16/(+$D$11+$D$12+$D$16+$D$17+$D$38),0)</f>
        <v>0</v>
      </c>
      <c r="G16" s="17"/>
      <c r="H16" s="17"/>
      <c r="I16" s="17"/>
      <c r="J16" s="17"/>
      <c r="K16" s="17"/>
      <c r="L16" s="32" t="s">
        <v>504</v>
      </c>
      <c r="M16" s="32">
        <v>2820114.2434252035</v>
      </c>
      <c r="N16" s="17"/>
      <c r="O16" s="32" t="s">
        <v>541</v>
      </c>
      <c r="P16" s="78" t="str">
        <f>IF(ABS(P10-P13)&gt;1,"ERRO","OK")</f>
        <v>OK</v>
      </c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</row>
    <row r="17" spans="1:30" ht="12" customHeight="1" x14ac:dyDescent="0.2">
      <c r="A17" s="121"/>
      <c r="B17" s="121"/>
      <c r="C17" s="18" t="s">
        <v>462</v>
      </c>
      <c r="D17" s="15">
        <v>0</v>
      </c>
      <c r="E17" s="15"/>
      <c r="F17" s="15">
        <f>IF((+$D$11+$D$12+$D$16+$D$17+$D$38)&lt;&gt;0,$M$19*$D$17/(+$D$11+$D$12+$D$16+$D$17+$D$38),0)</f>
        <v>0</v>
      </c>
      <c r="G17" s="17"/>
      <c r="H17" s="17"/>
      <c r="I17" s="17"/>
      <c r="J17" s="17"/>
      <c r="K17" s="17"/>
      <c r="L17" s="32" t="s">
        <v>505</v>
      </c>
      <c r="M17" s="32">
        <v>0</v>
      </c>
      <c r="N17" s="17"/>
      <c r="O17" s="32" t="s">
        <v>542</v>
      </c>
      <c r="P17" s="78" t="str">
        <f>IF(ABS(P11-P14)&gt;1,"ERRO","OK")</f>
        <v>OK</v>
      </c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</row>
    <row r="18" spans="1:30" ht="12" customHeight="1" x14ac:dyDescent="0.2">
      <c r="A18" s="121"/>
      <c r="B18" s="120"/>
      <c r="C18" s="18" t="s">
        <v>454</v>
      </c>
      <c r="D18" s="15">
        <f>SUM(D$11:D17)</f>
        <v>8087693.3765699323</v>
      </c>
      <c r="E18" s="15">
        <f>SUM(E$11:E17)</f>
        <v>2057012.1713465147</v>
      </c>
      <c r="F18" s="15">
        <f>SUM(F$11:F17)</f>
        <v>0</v>
      </c>
      <c r="G18" s="17"/>
      <c r="H18" s="17"/>
      <c r="I18" s="17"/>
      <c r="J18" s="17"/>
      <c r="K18" s="17"/>
      <c r="L18" s="32" t="s">
        <v>506</v>
      </c>
      <c r="M18" s="32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</row>
    <row r="19" spans="1:30" ht="12" customHeight="1" x14ac:dyDescent="0.2">
      <c r="A19" s="121"/>
      <c r="B19" s="119" t="s">
        <v>463</v>
      </c>
      <c r="C19" s="18" t="s">
        <v>464</v>
      </c>
      <c r="D19" s="15">
        <v>26189026.16</v>
      </c>
      <c r="E19" s="15">
        <v>-4988536.0950042587</v>
      </c>
      <c r="F19" s="15">
        <v>0</v>
      </c>
      <c r="G19" s="17"/>
      <c r="H19" s="17"/>
      <c r="I19" s="17"/>
      <c r="J19" s="17"/>
      <c r="K19" s="17"/>
      <c r="L19" s="32" t="s">
        <v>507</v>
      </c>
      <c r="M19" s="32">
        <v>0</v>
      </c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</row>
    <row r="20" spans="1:30" ht="12" customHeight="1" x14ac:dyDescent="0.2">
      <c r="A20" s="121"/>
      <c r="B20" s="120"/>
      <c r="C20" s="18" t="s">
        <v>454</v>
      </c>
      <c r="D20" s="15">
        <f>SUM(D$19:D19)</f>
        <v>26189026.16</v>
      </c>
      <c r="E20" s="15">
        <f>SUM(E$19:E19)</f>
        <v>-4988536.0950042587</v>
      </c>
      <c r="F20" s="15">
        <f>SUM(F$19:F19)</f>
        <v>0</v>
      </c>
      <c r="G20" s="17"/>
      <c r="H20" s="17"/>
      <c r="I20" s="17"/>
      <c r="J20" s="17"/>
      <c r="K20" s="17"/>
      <c r="L20" s="32" t="s">
        <v>508</v>
      </c>
      <c r="M20" s="32">
        <v>0</v>
      </c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</row>
    <row r="21" spans="1:30" ht="12" customHeight="1" x14ac:dyDescent="0.2">
      <c r="A21" s="121"/>
      <c r="B21" s="119" t="s">
        <v>465</v>
      </c>
      <c r="C21" s="18" t="s">
        <v>466</v>
      </c>
      <c r="D21" s="15"/>
      <c r="E21" s="15">
        <f>IF($D$46&lt;&gt;0,(1-$D$45/$D$46)*0,0)+0</f>
        <v>0</v>
      </c>
      <c r="F21" s="15"/>
      <c r="G21" s="17"/>
      <c r="H21" s="17"/>
      <c r="I21" s="17"/>
      <c r="J21" s="17"/>
      <c r="K21" s="17"/>
      <c r="L21" s="32" t="s">
        <v>509</v>
      </c>
      <c r="M21" s="32">
        <v>0</v>
      </c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</row>
    <row r="22" spans="1:30" ht="12" customHeight="1" x14ac:dyDescent="0.2">
      <c r="A22" s="121"/>
      <c r="B22" s="121"/>
      <c r="C22" s="18" t="s">
        <v>467</v>
      </c>
      <c r="D22" s="15"/>
      <c r="E22" s="15"/>
      <c r="F22" s="15"/>
      <c r="G22" s="17"/>
      <c r="H22" s="17"/>
      <c r="I22" s="17"/>
      <c r="J22" s="17"/>
      <c r="K22" s="17"/>
      <c r="L22" s="32" t="s">
        <v>531</v>
      </c>
      <c r="M22" s="32">
        <v>0</v>
      </c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</row>
    <row r="23" spans="1:30" ht="12" customHeight="1" x14ac:dyDescent="0.2">
      <c r="A23" s="121"/>
      <c r="B23" s="120"/>
      <c r="C23" s="18" t="s">
        <v>454</v>
      </c>
      <c r="D23" s="15">
        <f>SUM(D$21:D22)</f>
        <v>0</v>
      </c>
      <c r="E23" s="15">
        <f>SUM(E$21:E22)</f>
        <v>0</v>
      </c>
      <c r="F23" s="15">
        <f>SUM(F$21:F22)</f>
        <v>0</v>
      </c>
      <c r="G23" s="17"/>
      <c r="H23" s="17"/>
      <c r="I23" s="17"/>
      <c r="J23" s="17"/>
      <c r="K23" s="17"/>
      <c r="L23" s="32" t="s">
        <v>510</v>
      </c>
      <c r="M23" s="32">
        <v>17</v>
      </c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</row>
    <row r="24" spans="1:30" ht="12" customHeight="1" x14ac:dyDescent="0.2">
      <c r="A24" s="121"/>
      <c r="B24" s="119" t="s">
        <v>468</v>
      </c>
      <c r="C24" s="18" t="s">
        <v>469</v>
      </c>
      <c r="D24" s="15">
        <f>$M$14*$M$8</f>
        <v>1385980.7356645614</v>
      </c>
      <c r="E24" s="15">
        <f>$M$16*$M$8/$M$12</f>
        <v>393198.64148726751</v>
      </c>
      <c r="F24" s="15">
        <f>$M$17*$M$8/$M$12</f>
        <v>0</v>
      </c>
      <c r="G24" s="17"/>
      <c r="H24" s="17"/>
      <c r="I24" s="17"/>
      <c r="J24" s="17"/>
      <c r="K24" s="17"/>
      <c r="L24" s="32" t="s">
        <v>511</v>
      </c>
      <c r="M24" s="32">
        <v>0</v>
      </c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</row>
    <row r="25" spans="1:30" ht="12" customHeight="1" x14ac:dyDescent="0.2">
      <c r="A25" s="121"/>
      <c r="B25" s="121"/>
      <c r="C25" s="18" t="s">
        <v>470</v>
      </c>
      <c r="D25" s="15">
        <f>$M$14*$M$10</f>
        <v>0</v>
      </c>
      <c r="E25" s="15">
        <f>$M$16*$M$10/$M$12</f>
        <v>0</v>
      </c>
      <c r="F25" s="15">
        <f>$M$17*$M$10/$M$12</f>
        <v>0</v>
      </c>
      <c r="G25" s="17"/>
      <c r="H25" s="17"/>
      <c r="I25" s="17"/>
      <c r="J25" s="17"/>
      <c r="K25" s="17"/>
      <c r="L25" s="32" t="s">
        <v>512</v>
      </c>
      <c r="M25" s="32">
        <v>0</v>
      </c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</row>
    <row r="26" spans="1:30" ht="12" customHeight="1" x14ac:dyDescent="0.2">
      <c r="A26" s="121"/>
      <c r="B26" s="121"/>
      <c r="C26" s="18" t="s">
        <v>471</v>
      </c>
      <c r="D26" s="15">
        <f>$M$14*$M$9</f>
        <v>131892.92649229267</v>
      </c>
      <c r="E26" s="15">
        <f>$M$16*$M$9/$M$12</f>
        <v>37417.63372611611</v>
      </c>
      <c r="F26" s="15">
        <f>$M$17*$M$9/$M$12</f>
        <v>0</v>
      </c>
      <c r="G26" s="17"/>
      <c r="H26" s="17"/>
      <c r="I26" s="17"/>
      <c r="J26" s="17"/>
      <c r="K26" s="17"/>
      <c r="L26" s="32" t="s">
        <v>513</v>
      </c>
      <c r="M26" s="32">
        <v>0</v>
      </c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</row>
    <row r="27" spans="1:30" ht="12" customHeight="1" x14ac:dyDescent="0.2">
      <c r="A27" s="121"/>
      <c r="B27" s="121"/>
      <c r="C27" s="18" t="s">
        <v>472</v>
      </c>
      <c r="D27" s="15"/>
      <c r="E27" s="15"/>
      <c r="F27" s="15"/>
      <c r="G27" s="17"/>
      <c r="H27" s="17"/>
      <c r="I27" s="17"/>
      <c r="J27" s="17"/>
      <c r="K27" s="17"/>
      <c r="L27" s="32" t="s">
        <v>514</v>
      </c>
      <c r="M27" s="32">
        <v>0</v>
      </c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</row>
    <row r="28" spans="1:30" ht="12" customHeight="1" x14ac:dyDescent="0.2">
      <c r="A28" s="121"/>
      <c r="B28" s="120"/>
      <c r="C28" s="18" t="s">
        <v>454</v>
      </c>
      <c r="D28" s="15">
        <f>SUM(D$24:D27)</f>
        <v>1517873.6621568541</v>
      </c>
      <c r="E28" s="15">
        <f>SUM(E$24:E27)</f>
        <v>430616.2752133836</v>
      </c>
      <c r="F28" s="15">
        <f>SUM(F$24:F27)</f>
        <v>0</v>
      </c>
      <c r="G28" s="17"/>
      <c r="H28" s="17"/>
      <c r="I28" s="17"/>
      <c r="J28" s="17"/>
      <c r="K28" s="17"/>
      <c r="L28" s="32" t="s">
        <v>515</v>
      </c>
      <c r="M28" s="32">
        <v>0</v>
      </c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</row>
    <row r="29" spans="1:30" ht="12" customHeight="1" x14ac:dyDescent="0.2">
      <c r="A29" s="120"/>
      <c r="B29" s="122" t="s">
        <v>454</v>
      </c>
      <c r="C29" s="123"/>
      <c r="D29" s="15">
        <f>SUMIF(C$2:C28,"SUBTOTAL",D$2:D28)</f>
        <v>40954323.257047743</v>
      </c>
      <c r="E29" s="15">
        <f>SUMIF(C$2:C28,"SUBTOTAL",E$2:E28)</f>
        <v>-2295829.9988917094</v>
      </c>
      <c r="F29" s="15">
        <f>SUMIF(C$2:C28,"SUBTOTAL",F$2:F28)</f>
        <v>0</v>
      </c>
      <c r="G29" s="17"/>
      <c r="H29" s="17"/>
      <c r="I29" s="17"/>
      <c r="J29" s="17"/>
      <c r="K29" s="17"/>
      <c r="L29" s="32" t="s">
        <v>516</v>
      </c>
      <c r="M29" s="32">
        <v>0</v>
      </c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</row>
    <row r="30" spans="1:30" ht="12" customHeight="1" x14ac:dyDescent="0.2">
      <c r="A30" s="119" t="s">
        <v>473</v>
      </c>
      <c r="B30" s="119" t="s">
        <v>446</v>
      </c>
      <c r="C30" s="18" t="s">
        <v>448</v>
      </c>
      <c r="D30" s="15">
        <f>IFERROR($M$5*(+D$31+D$32+D$33+D$35+D$37+D$38+D$39+D$43)+($M$5^2)*(+D$31+D$32+D$33+D$35+D$37+D$38+D$39+D$43)/$M$22*(+$E$2+$F$2+$E$3+$F$3+$E$8+$F$8+$E$9+$F$9+$E$11+$F$11+$E$12+$F$12+$E$13+$F$13+$E$14+$F$14+$E$15+$F$15+$E$16+$F$16+$E$17+$F$17+$E$19+$F$19+$E$22+$F$22+$E$24+$F$24+$E$25+$F$25+$E$26+$F$26+$E$27+$F$27+$E$31+$F$31+$E$32+$F$32+$E$33+$F$33+$E$35+$F$35+$E$37+$F$37+$E$38+$F$38+$E$39+$F$39+$E$43+$F$43),0)</f>
        <v>0</v>
      </c>
      <c r="E30" s="15">
        <f>IF((D30+D$4)&lt;&gt;0,$M$20*D30/(D30+D$4),0)</f>
        <v>0</v>
      </c>
      <c r="F30" s="15">
        <f>IF((D30+D$4)&lt;&gt;0,$M$21*D30/(D30+D$4),0)</f>
        <v>0</v>
      </c>
      <c r="G30" s="17"/>
      <c r="H30" s="17"/>
      <c r="I30" s="17"/>
      <c r="J30" s="17"/>
      <c r="K30" s="17"/>
      <c r="L30" s="32" t="s">
        <v>517</v>
      </c>
      <c r="M30" s="32">
        <v>0</v>
      </c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</row>
    <row r="31" spans="1:30" ht="12" customHeight="1" x14ac:dyDescent="0.2">
      <c r="A31" s="121"/>
      <c r="B31" s="121"/>
      <c r="C31" s="18" t="s">
        <v>474</v>
      </c>
      <c r="D31" s="15">
        <v>0</v>
      </c>
      <c r="E31" s="15">
        <v>0</v>
      </c>
      <c r="F31" s="15">
        <v>0</v>
      </c>
      <c r="G31" s="17"/>
      <c r="H31" s="17"/>
      <c r="I31" s="17"/>
      <c r="J31" s="17"/>
      <c r="K31" s="17"/>
      <c r="L31" s="32" t="s">
        <v>518</v>
      </c>
      <c r="M31" s="32">
        <v>0</v>
      </c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</row>
    <row r="32" spans="1:30" ht="12" customHeight="1" x14ac:dyDescent="0.2">
      <c r="A32" s="121"/>
      <c r="B32" s="121"/>
      <c r="C32" s="18" t="s">
        <v>475</v>
      </c>
      <c r="D32" s="15">
        <v>0</v>
      </c>
      <c r="E32" s="15">
        <v>0</v>
      </c>
      <c r="F32" s="15">
        <v>0</v>
      </c>
      <c r="G32" s="17"/>
      <c r="H32" s="17"/>
      <c r="I32" s="17"/>
      <c r="J32" s="17"/>
      <c r="K32" s="17"/>
      <c r="L32" s="32" t="s">
        <v>519</v>
      </c>
      <c r="M32" s="83">
        <v>0.45</v>
      </c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</row>
    <row r="33" spans="1:30" ht="12" customHeight="1" x14ac:dyDescent="0.2">
      <c r="A33" s="121"/>
      <c r="B33" s="121"/>
      <c r="C33" s="18" t="s">
        <v>533</v>
      </c>
      <c r="D33" s="15"/>
      <c r="E33" s="15">
        <v>0</v>
      </c>
      <c r="F33" s="15">
        <v>0</v>
      </c>
      <c r="G33" s="17"/>
      <c r="H33" s="17"/>
      <c r="I33" s="17"/>
      <c r="J33" s="17"/>
      <c r="K33" s="17"/>
      <c r="L33" s="32" t="s">
        <v>520</v>
      </c>
      <c r="M33" s="83">
        <v>0.4</v>
      </c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</row>
    <row r="34" spans="1:30" ht="12" customHeight="1" x14ac:dyDescent="0.2">
      <c r="A34" s="121"/>
      <c r="B34" s="120"/>
      <c r="C34" s="18" t="s">
        <v>454</v>
      </c>
      <c r="D34" s="15">
        <f>SUM(D$30:D33)</f>
        <v>0</v>
      </c>
      <c r="E34" s="15">
        <f>SUM(E$30:E33)</f>
        <v>0</v>
      </c>
      <c r="F34" s="15">
        <f>SUM(F$30:F33)</f>
        <v>0</v>
      </c>
      <c r="G34" s="17"/>
      <c r="H34" s="17"/>
      <c r="I34" s="17"/>
      <c r="J34" s="17"/>
      <c r="K34" s="17"/>
      <c r="L34" s="32" t="s">
        <v>521</v>
      </c>
      <c r="M34" s="32">
        <v>0.65</v>
      </c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</row>
    <row r="35" spans="1:30" ht="12" customHeight="1" x14ac:dyDescent="0.2">
      <c r="A35" s="121"/>
      <c r="B35" s="119" t="s">
        <v>476</v>
      </c>
      <c r="C35" s="18" t="s">
        <v>477</v>
      </c>
      <c r="D35" s="15">
        <f>$M$14*($M$12-$M$7)</f>
        <v>8422710.0564853679</v>
      </c>
      <c r="E35" s="15">
        <f>$M$16*($M$12-$M$7)/$M$12</f>
        <v>2389497.9682118199</v>
      </c>
      <c r="F35" s="15">
        <f>$M$17*($M$12-$M$7)/$M$12</f>
        <v>0</v>
      </c>
      <c r="G35" s="17"/>
      <c r="H35" s="17"/>
      <c r="I35" s="17"/>
      <c r="J35" s="17"/>
      <c r="K35" s="17"/>
      <c r="L35" s="32" t="s">
        <v>522</v>
      </c>
      <c r="M35" s="32">
        <v>0.4</v>
      </c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</row>
    <row r="36" spans="1:30" ht="12" customHeight="1" x14ac:dyDescent="0.2">
      <c r="A36" s="121"/>
      <c r="B36" s="120"/>
      <c r="C36" s="18" t="s">
        <v>454</v>
      </c>
      <c r="D36" s="15">
        <f>SUM(D$35:D35)</f>
        <v>8422710.0564853679</v>
      </c>
      <c r="E36" s="15">
        <f>SUM(E$35:E35)</f>
        <v>2389497.9682118199</v>
      </c>
      <c r="F36" s="15">
        <f>SUM(F$35:F35)</f>
        <v>0</v>
      </c>
      <c r="G36" s="17"/>
      <c r="H36" s="17"/>
      <c r="I36" s="17"/>
      <c r="J36" s="17"/>
      <c r="K36" s="17"/>
      <c r="L36" s="32" t="s">
        <v>523</v>
      </c>
      <c r="M36" s="32">
        <v>0.1</v>
      </c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</row>
    <row r="37" spans="1:30" ht="12" customHeight="1" x14ac:dyDescent="0.2">
      <c r="A37" s="121"/>
      <c r="B37" s="119" t="s">
        <v>455</v>
      </c>
      <c r="C37" s="18" t="s">
        <v>478</v>
      </c>
      <c r="D37" s="15">
        <v>0</v>
      </c>
      <c r="E37" s="15">
        <v>0</v>
      </c>
      <c r="F37" s="15">
        <v>0</v>
      </c>
      <c r="G37" s="17"/>
      <c r="H37" s="17"/>
      <c r="I37" s="17"/>
      <c r="J37" s="17"/>
      <c r="K37" s="17"/>
      <c r="L37" s="32" t="s">
        <v>524</v>
      </c>
      <c r="M37" s="32">
        <v>0</v>
      </c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</row>
    <row r="38" spans="1:30" ht="12" customHeight="1" x14ac:dyDescent="0.2">
      <c r="A38" s="121"/>
      <c r="B38" s="121"/>
      <c r="C38" s="18" t="s">
        <v>479</v>
      </c>
      <c r="D38" s="15">
        <v>0</v>
      </c>
      <c r="E38" s="15">
        <v>0</v>
      </c>
      <c r="F38" s="15">
        <f>IF((+$D$11+$D$12+$D$16+$D$17+$D$38)&lt;&gt;0,$M$19*$D$38/(+$D$11+$D$12+$D$16+$D$17+$D$38),0)</f>
        <v>0</v>
      </c>
      <c r="G38" s="17"/>
      <c r="H38" s="17"/>
      <c r="I38" s="17"/>
      <c r="J38" s="17"/>
      <c r="K38" s="17"/>
      <c r="L38" s="32" t="s">
        <v>525</v>
      </c>
      <c r="M38" s="32">
        <f>IFERROR(VLOOKUP("Convencional1RuralNão se aplicaRURALB2",Descontos!B1:U88,VLOOKUP("Convencional1RuralNão se aplicaRURALB2",Descontos!B1:U88,20,FALSE)+12,FALSE),100)</f>
        <v>0.06</v>
      </c>
      <c r="N38" s="17" t="s">
        <v>582</v>
      </c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</row>
    <row r="39" spans="1:30" ht="12" customHeight="1" x14ac:dyDescent="0.2">
      <c r="A39" s="121"/>
      <c r="B39" s="121"/>
      <c r="C39" s="18" t="s">
        <v>480</v>
      </c>
      <c r="D39" s="15"/>
      <c r="E39" s="15"/>
      <c r="F39" s="15"/>
      <c r="G39" s="17"/>
      <c r="H39" s="17"/>
      <c r="I39" s="17"/>
      <c r="J39" s="17"/>
      <c r="K39" s="17"/>
      <c r="L39" s="32" t="s">
        <v>526</v>
      </c>
      <c r="M39" s="32">
        <f>IFERROR(VLOOKUP("Convencional1RuralCooperativa de eletrificação ruralPlanilha CUSTOB2",Descontos!B1:U88,VLOOKUP("Convencional1RuralCooperativa de eletrificação ruralPlanilha CUSTOB2",Descontos!B1:U88,20,FALSE)+12,FALSE),100)</f>
        <v>0.06</v>
      </c>
      <c r="N39" s="17">
        <v>0.3</v>
      </c>
      <c r="O39" s="17" t="s">
        <v>599</v>
      </c>
      <c r="P39" s="17" t="s">
        <v>600</v>
      </c>
      <c r="Q39" s="17" t="s">
        <v>601</v>
      </c>
      <c r="R39" s="17" t="s">
        <v>602</v>
      </c>
      <c r="S39" s="17" t="s">
        <v>1</v>
      </c>
      <c r="T39" s="17" t="s">
        <v>603</v>
      </c>
      <c r="U39" s="17"/>
      <c r="V39" s="17"/>
      <c r="W39" s="17"/>
      <c r="X39" s="17"/>
      <c r="Y39" s="17"/>
      <c r="Z39" s="17"/>
      <c r="AA39" s="17"/>
      <c r="AB39" s="17"/>
      <c r="AC39" s="17"/>
      <c r="AD39" s="17"/>
    </row>
    <row r="40" spans="1:30" ht="12" customHeight="1" x14ac:dyDescent="0.25">
      <c r="A40" s="121"/>
      <c r="B40" s="120"/>
      <c r="C40" s="18" t="s">
        <v>454</v>
      </c>
      <c r="D40" s="15">
        <f>SUM(D$37:D39)</f>
        <v>0</v>
      </c>
      <c r="E40" s="15">
        <f>SUM(E$37:E39)</f>
        <v>0</v>
      </c>
      <c r="F40" s="15">
        <f>SUM(F$37:F39)</f>
        <v>0</v>
      </c>
      <c r="G40" s="17"/>
      <c r="H40" s="17"/>
      <c r="I40" s="17"/>
      <c r="J40" s="17"/>
      <c r="K40" s="17"/>
      <c r="L40" s="32" t="s">
        <v>527</v>
      </c>
      <c r="M40" s="32">
        <f>IFERROR(VLOOKUP("Convencional1RuralServiço público de irrigação ruralPlanilha CUSTOB2",Descontos!B1:U88,VLOOKUP("Convencional1RuralServiço público de irrigação ruralPlanilha CUSTOB2",Descontos!B1:U88,20,FALSE)+12,FALSE),100)</f>
        <v>0.08</v>
      </c>
      <c r="N40" s="17">
        <v>0.4</v>
      </c>
      <c r="O40" s="50"/>
      <c r="P40" s="50"/>
      <c r="Q40" s="50"/>
      <c r="R40" s="50"/>
      <c r="S40" s="50"/>
      <c r="T40" s="50"/>
      <c r="U40" s="17"/>
      <c r="V40" s="17"/>
      <c r="W40" s="17"/>
      <c r="X40" s="17"/>
      <c r="Y40" s="17"/>
      <c r="Z40" s="17"/>
      <c r="AA40" s="17"/>
      <c r="AB40" s="17"/>
      <c r="AC40" s="17"/>
      <c r="AD40" s="17"/>
    </row>
    <row r="41" spans="1:30" ht="12" customHeight="1" x14ac:dyDescent="0.25">
      <c r="A41" s="121"/>
      <c r="B41" s="119" t="s">
        <v>465</v>
      </c>
      <c r="C41" s="18" t="s">
        <v>466</v>
      </c>
      <c r="D41" s="15"/>
      <c r="E41" s="15">
        <f>IF($D$46&lt;&gt;0,($D$45/$D$46)* 0,0)+0</f>
        <v>0</v>
      </c>
      <c r="F41" s="15"/>
      <c r="G41" s="17"/>
      <c r="H41" s="17"/>
      <c r="I41" s="17"/>
      <c r="J41" s="17"/>
      <c r="K41" s="17"/>
      <c r="L41" s="17"/>
      <c r="M41" s="17"/>
      <c r="N41" s="17"/>
      <c r="O41" s="50"/>
      <c r="P41" s="50"/>
      <c r="Q41" s="50"/>
      <c r="R41" s="50"/>
      <c r="S41" s="50"/>
      <c r="T41" s="50"/>
      <c r="U41" s="17"/>
      <c r="V41" s="17"/>
      <c r="W41" s="17"/>
      <c r="X41" s="17"/>
      <c r="Y41" s="17"/>
      <c r="Z41" s="17"/>
      <c r="AA41" s="17"/>
      <c r="AB41" s="17"/>
      <c r="AC41" s="17"/>
      <c r="AD41" s="17"/>
    </row>
    <row r="42" spans="1:30" ht="12" customHeight="1" x14ac:dyDescent="0.25">
      <c r="A42" s="121"/>
      <c r="B42" s="120"/>
      <c r="C42" s="18" t="s">
        <v>454</v>
      </c>
      <c r="D42" s="15">
        <f>SUM(D$41:D41)</f>
        <v>0</v>
      </c>
      <c r="E42" s="15">
        <f>SUM(E$41:E41)</f>
        <v>0</v>
      </c>
      <c r="F42" s="15">
        <f>SUM(F$41:F41)</f>
        <v>0</v>
      </c>
      <c r="G42" s="17"/>
      <c r="H42" s="17"/>
      <c r="I42" s="17"/>
      <c r="J42" s="17"/>
      <c r="K42" s="17"/>
      <c r="L42" s="17"/>
      <c r="M42" s="17"/>
      <c r="N42" s="17"/>
      <c r="O42" s="50"/>
      <c r="P42" s="50"/>
      <c r="Q42" s="50"/>
      <c r="R42" s="50"/>
      <c r="S42" s="50"/>
      <c r="T42" s="50"/>
      <c r="U42" s="17"/>
      <c r="V42" s="17"/>
      <c r="W42" s="17"/>
      <c r="X42" s="17"/>
      <c r="Y42" s="17"/>
      <c r="Z42" s="17"/>
      <c r="AA42" s="17"/>
      <c r="AB42" s="17"/>
      <c r="AC42" s="17"/>
      <c r="AD42" s="17"/>
    </row>
    <row r="43" spans="1:30" ht="12" customHeight="1" x14ac:dyDescent="0.25">
      <c r="A43" s="121"/>
      <c r="B43" s="119" t="s">
        <v>468</v>
      </c>
      <c r="C43" s="18" t="s">
        <v>481</v>
      </c>
      <c r="D43" s="15">
        <f>$M$14*$M$11</f>
        <v>0</v>
      </c>
      <c r="E43" s="15">
        <f>$M$16*$M$11/$M$12</f>
        <v>0</v>
      </c>
      <c r="F43" s="15">
        <f>$M$17*$M$11/$M$12</f>
        <v>0</v>
      </c>
      <c r="G43" s="17"/>
      <c r="H43" s="17"/>
      <c r="I43" s="17"/>
      <c r="J43" s="17"/>
      <c r="K43" s="17"/>
      <c r="L43" s="17"/>
      <c r="M43" s="17"/>
      <c r="N43" s="17"/>
      <c r="O43" s="50"/>
      <c r="P43" s="50"/>
      <c r="Q43" s="50"/>
      <c r="R43" s="50"/>
      <c r="S43" s="50"/>
      <c r="T43" s="50"/>
      <c r="U43" s="17"/>
      <c r="V43" s="17"/>
      <c r="W43" s="17"/>
      <c r="X43" s="17"/>
      <c r="Y43" s="17"/>
      <c r="Z43" s="17"/>
      <c r="AA43" s="17"/>
      <c r="AB43" s="17"/>
      <c r="AC43" s="17"/>
      <c r="AD43" s="17"/>
    </row>
    <row r="44" spans="1:30" ht="12" customHeight="1" x14ac:dyDescent="0.25">
      <c r="A44" s="121"/>
      <c r="B44" s="120"/>
      <c r="C44" s="18" t="s">
        <v>454</v>
      </c>
      <c r="D44" s="15">
        <f>SUM(D$43:D43)</f>
        <v>0</v>
      </c>
      <c r="E44" s="15">
        <f>SUM(E$43:E43)</f>
        <v>0</v>
      </c>
      <c r="F44" s="15">
        <f>SUM(F$43:F43)</f>
        <v>0</v>
      </c>
      <c r="G44" s="17"/>
      <c r="H44" s="17"/>
      <c r="I44" s="17"/>
      <c r="J44" s="17"/>
      <c r="K44" s="17"/>
      <c r="L44" s="17"/>
      <c r="M44" s="17"/>
      <c r="N44" s="17"/>
      <c r="O44" s="50"/>
      <c r="P44" s="50"/>
      <c r="Q44" s="50"/>
      <c r="R44" s="50"/>
      <c r="S44" s="50"/>
      <c r="T44" s="50"/>
      <c r="U44" s="17"/>
      <c r="V44" s="17"/>
      <c r="W44" s="17"/>
      <c r="X44" s="17"/>
      <c r="Y44" s="17"/>
      <c r="Z44" s="17"/>
      <c r="AA44" s="17"/>
      <c r="AB44" s="17"/>
      <c r="AC44" s="17"/>
      <c r="AD44" s="17"/>
    </row>
    <row r="45" spans="1:30" ht="12" customHeight="1" x14ac:dyDescent="0.25">
      <c r="A45" s="120"/>
      <c r="B45" s="122" t="s">
        <v>454</v>
      </c>
      <c r="C45" s="123"/>
      <c r="D45" s="15">
        <f>SUMIF(C$30:C44,"SUBTOTAL",D$30:D44)</f>
        <v>8422710.0564853679</v>
      </c>
      <c r="E45" s="15">
        <f>SUMIF(C$30:C44,"SUBTOTAL",E$30:E44)</f>
        <v>2389497.9682118199</v>
      </c>
      <c r="F45" s="15">
        <f>SUMIF(C$30:C44,"SUBTOTAL",F$30:F44)</f>
        <v>0</v>
      </c>
      <c r="G45" s="17"/>
      <c r="H45" s="17"/>
      <c r="I45" s="17"/>
      <c r="J45" s="17"/>
      <c r="K45" s="17"/>
      <c r="L45" s="17"/>
      <c r="M45" s="17"/>
      <c r="N45" s="17"/>
      <c r="O45" s="50"/>
      <c r="P45" s="50"/>
      <c r="Q45" s="50"/>
      <c r="R45" s="50"/>
      <c r="S45" s="50"/>
      <c r="T45" s="50"/>
      <c r="U45" s="17"/>
      <c r="V45" s="17"/>
      <c r="W45" s="17"/>
      <c r="X45" s="17"/>
      <c r="Y45" s="17"/>
      <c r="Z45" s="17"/>
      <c r="AA45" s="17"/>
      <c r="AB45" s="17"/>
      <c r="AC45" s="17"/>
      <c r="AD45" s="17"/>
    </row>
    <row r="46" spans="1:30" ht="12" customHeight="1" x14ac:dyDescent="0.25">
      <c r="A46" s="122" t="s">
        <v>482</v>
      </c>
      <c r="B46" s="128"/>
      <c r="C46" s="123"/>
      <c r="D46" s="15">
        <f>SUMIF(C$2:C45,"SUBTOTAL",D$2:D45)</f>
        <v>49377033.313533112</v>
      </c>
      <c r="E46" s="15">
        <f>SUMIF(C$2:C45,"SUBTOTAL",E$2:E45)</f>
        <v>93667.969320110511</v>
      </c>
      <c r="F46" s="15">
        <f>SUMIF(C$2:C45,"SUBTOTAL",F$2:F45)</f>
        <v>0</v>
      </c>
      <c r="G46" s="17"/>
      <c r="H46" s="17"/>
      <c r="I46" s="17"/>
      <c r="J46" s="17"/>
      <c r="K46" s="17"/>
      <c r="L46" s="17"/>
      <c r="M46" s="17"/>
      <c r="N46" s="17"/>
      <c r="O46" s="50"/>
      <c r="P46" s="50"/>
      <c r="Q46" s="50"/>
      <c r="R46" s="50"/>
      <c r="S46" s="50"/>
      <c r="T46" s="50"/>
      <c r="U46" s="17"/>
      <c r="V46" s="17"/>
      <c r="W46" s="17"/>
      <c r="X46" s="17"/>
      <c r="Y46" s="17"/>
      <c r="Z46" s="17"/>
      <c r="AA46" s="17"/>
      <c r="AB46" s="17"/>
      <c r="AC46" s="17"/>
      <c r="AD46" s="17"/>
    </row>
    <row r="47" spans="1:30" ht="12" customHeight="1" x14ac:dyDescent="0.25">
      <c r="A47" s="126" t="s">
        <v>574</v>
      </c>
      <c r="B47" s="127"/>
      <c r="C47" s="127"/>
      <c r="D47" s="42">
        <f ca="1">'TUSD BE'!$AM$53+'TUSD BE'!$AM$57+'TE BE'!$AA$44</f>
        <v>49377033.31353312</v>
      </c>
      <c r="E47" s="42">
        <f ca="1">'TUSD BF'!$AM$53+'TE BF'!$AA$44</f>
        <v>93667.969320110977</v>
      </c>
      <c r="F47" s="42">
        <f ca="1">'TUSD CVA'!$AM$53+'TE CVA'!$AA$44</f>
        <v>0</v>
      </c>
      <c r="L47" s="9"/>
      <c r="M47" s="17"/>
      <c r="O47" s="50"/>
      <c r="P47" s="50"/>
      <c r="Q47" s="50"/>
      <c r="R47" s="50"/>
      <c r="S47" s="50"/>
      <c r="T47" s="50"/>
    </row>
    <row r="48" spans="1:30" ht="12" customHeight="1" x14ac:dyDescent="0.25">
      <c r="A48" s="126" t="s">
        <v>575</v>
      </c>
      <c r="B48" s="127"/>
      <c r="C48" s="127"/>
      <c r="D48" s="77" t="str">
        <f ca="1">IF(ABS(D47-D46)&gt;1,"ERRO","OK")</f>
        <v>OK</v>
      </c>
      <c r="E48" s="77" t="str">
        <f ca="1">IF(ABS(E47-E46)&gt;1,"ERRO","OK")</f>
        <v>OK</v>
      </c>
      <c r="F48" s="77" t="str">
        <f ca="1">IF(ABS(F47-F46)&gt;1,"ERRO","OK")</f>
        <v>OK</v>
      </c>
      <c r="L48" s="76"/>
      <c r="M48" s="32"/>
      <c r="O48" s="50"/>
      <c r="P48" s="50"/>
      <c r="Q48" s="50"/>
      <c r="R48" s="50"/>
      <c r="S48" s="50"/>
      <c r="T48" s="50"/>
    </row>
    <row r="49" spans="4:20" ht="12" customHeight="1" x14ac:dyDescent="0.25">
      <c r="L49" s="76"/>
      <c r="M49" s="32"/>
      <c r="O49" s="50"/>
      <c r="P49" s="50"/>
      <c r="Q49" s="50"/>
      <c r="R49" s="50"/>
      <c r="S49" s="50"/>
      <c r="T49" s="50"/>
    </row>
    <row r="50" spans="4:20" ht="12" customHeight="1" x14ac:dyDescent="0.25">
      <c r="D50" s="56">
        <f ca="1">SUM(D47:E47)</f>
        <v>49470701.282853231</v>
      </c>
      <c r="E50" s="56">
        <f ca="1">E47</f>
        <v>93667.969320110977</v>
      </c>
      <c r="L50" s="76"/>
      <c r="M50" s="32"/>
      <c r="O50" s="50"/>
      <c r="P50" s="50"/>
      <c r="Q50" s="50"/>
      <c r="R50" s="50"/>
      <c r="S50" s="50"/>
      <c r="T50" s="50"/>
    </row>
    <row r="51" spans="4:20" ht="12" customHeight="1" x14ac:dyDescent="0.25">
      <c r="D51" s="56">
        <v>49470701.282853223</v>
      </c>
      <c r="E51" s="56">
        <v>93667.97</v>
      </c>
      <c r="L51" s="67" t="s">
        <v>528</v>
      </c>
      <c r="M51" s="72">
        <v>0</v>
      </c>
      <c r="O51" s="50"/>
      <c r="P51" s="50"/>
      <c r="Q51" s="50"/>
      <c r="R51" s="50"/>
      <c r="S51" s="50"/>
      <c r="T51" s="50"/>
    </row>
    <row r="52" spans="4:20" ht="12" customHeight="1" x14ac:dyDescent="0.25">
      <c r="D52" s="79">
        <f ca="1">D50-D51</f>
        <v>0</v>
      </c>
      <c r="E52" s="79">
        <f ca="1">E50-E51</f>
        <v>-6.7988902446813881E-4</v>
      </c>
      <c r="O52" s="50"/>
      <c r="P52" s="50"/>
      <c r="Q52" s="50"/>
      <c r="R52" s="50"/>
      <c r="S52" s="50"/>
      <c r="T52" s="50"/>
    </row>
    <row r="53" spans="4:20" ht="12" customHeight="1" x14ac:dyDescent="0.25">
      <c r="D53" s="79">
        <f ca="1">EFEITO!AU9+SUM(SUBSIDIO!AJ2:AJ9)</f>
        <v>49470701.282852918</v>
      </c>
      <c r="O53" s="50"/>
      <c r="P53" s="50"/>
      <c r="Q53" s="50"/>
      <c r="R53" s="50"/>
      <c r="S53" s="50"/>
      <c r="T53" s="50"/>
    </row>
    <row r="54" spans="4:20" ht="12" customHeight="1" x14ac:dyDescent="0.25">
      <c r="O54" s="50"/>
      <c r="P54" s="50"/>
      <c r="Q54" s="50"/>
      <c r="R54" s="50"/>
      <c r="S54" s="50"/>
      <c r="T54" s="50"/>
    </row>
    <row r="55" spans="4:20" ht="12" customHeight="1" x14ac:dyDescent="0.25">
      <c r="O55" s="50"/>
      <c r="P55" s="50"/>
      <c r="Q55" s="50"/>
      <c r="R55" s="50"/>
      <c r="S55" s="50"/>
      <c r="T55" s="50"/>
    </row>
    <row r="56" spans="4:20" ht="12" customHeight="1" x14ac:dyDescent="0.25">
      <c r="O56" s="50"/>
      <c r="P56" s="50"/>
      <c r="Q56" s="50"/>
      <c r="R56" s="50"/>
      <c r="S56" s="50"/>
      <c r="T56" s="50"/>
    </row>
    <row r="57" spans="4:20" ht="12" customHeight="1" x14ac:dyDescent="0.25">
      <c r="O57" s="50"/>
      <c r="P57" s="50"/>
      <c r="Q57" s="50"/>
      <c r="R57" s="50"/>
      <c r="S57" s="50"/>
      <c r="T57" s="50"/>
    </row>
    <row r="58" spans="4:20" ht="12" customHeight="1" x14ac:dyDescent="0.25">
      <c r="O58" s="50"/>
      <c r="P58" s="50"/>
      <c r="Q58" s="50"/>
      <c r="R58" s="50"/>
      <c r="S58" s="50"/>
      <c r="T58" s="50"/>
    </row>
    <row r="59" spans="4:20" ht="12" customHeight="1" x14ac:dyDescent="0.25">
      <c r="O59" s="50"/>
      <c r="P59" s="50"/>
      <c r="Q59" s="50"/>
      <c r="R59" s="50"/>
      <c r="S59" s="50"/>
      <c r="T59" s="50"/>
    </row>
    <row r="60" spans="4:20" ht="12" customHeight="1" x14ac:dyDescent="0.25">
      <c r="O60" s="50"/>
      <c r="P60" s="50"/>
      <c r="Q60" s="50"/>
      <c r="R60" s="50"/>
      <c r="S60" s="50"/>
      <c r="T60" s="50"/>
    </row>
    <row r="61" spans="4:20" ht="12" customHeight="1" x14ac:dyDescent="0.25">
      <c r="O61" s="50"/>
      <c r="P61" s="50"/>
      <c r="Q61" s="50"/>
      <c r="R61" s="50"/>
      <c r="S61" s="50"/>
      <c r="T61" s="50"/>
    </row>
    <row r="62" spans="4:20" ht="12" customHeight="1" x14ac:dyDescent="0.25">
      <c r="O62" s="50"/>
      <c r="P62" s="50"/>
      <c r="Q62" s="50"/>
      <c r="R62" s="50"/>
      <c r="S62" s="50"/>
      <c r="T62" s="50"/>
    </row>
    <row r="63" spans="4:20" ht="12" customHeight="1" x14ac:dyDescent="0.25">
      <c r="O63" s="50"/>
      <c r="P63" s="50"/>
      <c r="Q63" s="50"/>
      <c r="R63" s="50"/>
      <c r="S63" s="50"/>
      <c r="T63" s="50"/>
    </row>
    <row r="64" spans="4:20" ht="12" customHeight="1" x14ac:dyDescent="0.25">
      <c r="O64" s="50"/>
      <c r="P64" s="50"/>
      <c r="Q64" s="50"/>
      <c r="R64" s="50"/>
      <c r="S64" s="50"/>
      <c r="T64" s="50"/>
    </row>
    <row r="65" spans="15:20" ht="12" customHeight="1" x14ac:dyDescent="0.25">
      <c r="O65" s="50"/>
      <c r="P65" s="50"/>
      <c r="Q65" s="50"/>
      <c r="R65" s="50"/>
      <c r="S65" s="50"/>
      <c r="T65" s="50"/>
    </row>
    <row r="66" spans="15:20" ht="12" customHeight="1" x14ac:dyDescent="0.25">
      <c r="O66" s="50"/>
      <c r="P66" s="50"/>
      <c r="Q66" s="50"/>
      <c r="R66" s="50"/>
      <c r="S66" s="50"/>
      <c r="T66" s="50"/>
    </row>
    <row r="67" spans="15:20" ht="12" customHeight="1" x14ac:dyDescent="0.25">
      <c r="O67" s="50"/>
      <c r="P67" s="50"/>
      <c r="Q67" s="50"/>
      <c r="R67" s="50"/>
      <c r="S67" s="50"/>
      <c r="T67" s="50"/>
    </row>
    <row r="68" spans="15:20" ht="12" customHeight="1" x14ac:dyDescent="0.25">
      <c r="O68" s="50"/>
      <c r="P68" s="50"/>
      <c r="Q68" s="50"/>
      <c r="R68" s="50"/>
      <c r="S68" s="50"/>
      <c r="T68" s="50"/>
    </row>
    <row r="69" spans="15:20" ht="12" customHeight="1" x14ac:dyDescent="0.25">
      <c r="O69" s="50"/>
      <c r="P69" s="50"/>
      <c r="Q69" s="50"/>
      <c r="R69" s="50"/>
      <c r="S69" s="50"/>
      <c r="T69" s="50"/>
    </row>
    <row r="70" spans="15:20" ht="12" customHeight="1" x14ac:dyDescent="0.25">
      <c r="O70" s="50"/>
      <c r="P70" s="50"/>
      <c r="Q70" s="50"/>
      <c r="R70" s="50"/>
      <c r="S70" s="50"/>
      <c r="T70" s="50"/>
    </row>
    <row r="71" spans="15:20" ht="12" customHeight="1" x14ac:dyDescent="0.25">
      <c r="O71" s="50"/>
      <c r="P71" s="50"/>
      <c r="Q71" s="50"/>
      <c r="R71" s="50"/>
      <c r="S71" s="50"/>
      <c r="T71" s="50"/>
    </row>
    <row r="72" spans="15:20" ht="12" customHeight="1" x14ac:dyDescent="0.25">
      <c r="O72" s="50"/>
      <c r="P72" s="50"/>
      <c r="Q72" s="50"/>
      <c r="R72" s="50"/>
      <c r="S72" s="50"/>
      <c r="T72" s="50"/>
    </row>
    <row r="73" spans="15:20" ht="12" customHeight="1" x14ac:dyDescent="0.25">
      <c r="O73" s="50"/>
      <c r="P73" s="50"/>
      <c r="Q73" s="50"/>
      <c r="R73" s="50"/>
      <c r="S73" s="50"/>
      <c r="T73" s="50"/>
    </row>
    <row r="74" spans="15:20" ht="12" customHeight="1" x14ac:dyDescent="0.25">
      <c r="O74" s="50"/>
      <c r="P74" s="50"/>
      <c r="Q74" s="50"/>
      <c r="R74" s="50"/>
      <c r="S74" s="50"/>
      <c r="T74" s="50"/>
    </row>
    <row r="75" spans="15:20" ht="12" customHeight="1" x14ac:dyDescent="0.25">
      <c r="O75" s="50"/>
      <c r="P75" s="50"/>
      <c r="Q75" s="50"/>
      <c r="R75" s="50"/>
      <c r="S75" s="50"/>
      <c r="T75" s="50"/>
    </row>
    <row r="76" spans="15:20" ht="12" customHeight="1" x14ac:dyDescent="0.25">
      <c r="O76" s="50"/>
      <c r="P76" s="50"/>
      <c r="Q76" s="50"/>
      <c r="R76" s="50"/>
      <c r="S76" s="50"/>
      <c r="T76" s="50"/>
    </row>
    <row r="77" spans="15:20" ht="12" customHeight="1" x14ac:dyDescent="0.25">
      <c r="O77" s="50"/>
      <c r="P77" s="50"/>
      <c r="Q77" s="50"/>
      <c r="R77" s="50"/>
      <c r="S77" s="50"/>
      <c r="T77" s="50"/>
    </row>
    <row r="78" spans="15:20" ht="12" customHeight="1" x14ac:dyDescent="0.25">
      <c r="O78" s="50"/>
      <c r="P78" s="50"/>
      <c r="Q78" s="50"/>
      <c r="R78" s="50"/>
      <c r="S78" s="50"/>
      <c r="T78" s="50"/>
    </row>
    <row r="79" spans="15:20" ht="12" customHeight="1" x14ac:dyDescent="0.25">
      <c r="O79" s="50"/>
      <c r="P79" s="50"/>
      <c r="Q79" s="50"/>
      <c r="R79" s="50"/>
      <c r="S79" s="50"/>
      <c r="T79" s="50"/>
    </row>
    <row r="80" spans="15:20" ht="12" customHeight="1" x14ac:dyDescent="0.25">
      <c r="O80" s="50"/>
      <c r="P80" s="50"/>
      <c r="Q80" s="50"/>
      <c r="R80" s="50"/>
      <c r="S80" s="50"/>
      <c r="T80" s="50"/>
    </row>
    <row r="81" spans="15:20" ht="12" customHeight="1" x14ac:dyDescent="0.25">
      <c r="O81" s="50"/>
      <c r="P81" s="50"/>
      <c r="Q81" s="50"/>
      <c r="R81" s="50"/>
      <c r="S81" s="50"/>
      <c r="T81" s="50"/>
    </row>
    <row r="82" spans="15:20" ht="12" customHeight="1" x14ac:dyDescent="0.25">
      <c r="O82" s="50"/>
      <c r="P82" s="50"/>
      <c r="Q82" s="50"/>
      <c r="R82" s="50"/>
      <c r="S82" s="50"/>
      <c r="T82" s="50"/>
    </row>
    <row r="83" spans="15:20" ht="12" customHeight="1" x14ac:dyDescent="0.25">
      <c r="O83" s="50"/>
      <c r="P83" s="50"/>
      <c r="Q83" s="50"/>
      <c r="R83" s="50"/>
      <c r="S83" s="50"/>
      <c r="T83" s="50"/>
    </row>
    <row r="84" spans="15:20" ht="12" customHeight="1" x14ac:dyDescent="0.25">
      <c r="O84" s="50"/>
      <c r="P84" s="50"/>
      <c r="Q84" s="50"/>
      <c r="R84" s="50"/>
      <c r="S84" s="50"/>
      <c r="T84" s="50"/>
    </row>
    <row r="85" spans="15:20" ht="12" customHeight="1" x14ac:dyDescent="0.25">
      <c r="O85" s="50"/>
      <c r="P85" s="50"/>
      <c r="Q85" s="50"/>
      <c r="R85" s="50"/>
      <c r="S85" s="50"/>
      <c r="T85" s="50"/>
    </row>
    <row r="86" spans="15:20" ht="12" customHeight="1" x14ac:dyDescent="0.25">
      <c r="O86" s="50"/>
      <c r="P86" s="50"/>
      <c r="Q86" s="50"/>
      <c r="R86" s="50"/>
      <c r="S86" s="50"/>
      <c r="T86" s="50"/>
    </row>
    <row r="87" spans="15:20" ht="12" customHeight="1" x14ac:dyDescent="0.25">
      <c r="O87" s="50"/>
      <c r="P87" s="50"/>
      <c r="Q87" s="50"/>
      <c r="R87" s="50"/>
      <c r="S87" s="50"/>
      <c r="T87" s="50"/>
    </row>
    <row r="88" spans="15:20" ht="12" customHeight="1" x14ac:dyDescent="0.25">
      <c r="O88" s="50"/>
      <c r="P88" s="50"/>
      <c r="Q88" s="50"/>
      <c r="R88" s="50"/>
      <c r="S88" s="50"/>
      <c r="T88" s="50"/>
    </row>
    <row r="89" spans="15:20" ht="12" customHeight="1" x14ac:dyDescent="0.25">
      <c r="O89" s="50"/>
      <c r="P89" s="50"/>
      <c r="Q89" s="50"/>
      <c r="R89" s="50"/>
      <c r="S89" s="50"/>
      <c r="T89" s="50"/>
    </row>
    <row r="90" spans="15:20" ht="12" customHeight="1" x14ac:dyDescent="0.25">
      <c r="O90" s="50"/>
      <c r="P90" s="50"/>
      <c r="Q90" s="50"/>
      <c r="R90" s="50"/>
      <c r="S90" s="50"/>
      <c r="T90" s="50"/>
    </row>
    <row r="91" spans="15:20" ht="12" customHeight="1" x14ac:dyDescent="0.25">
      <c r="O91" s="50"/>
      <c r="P91" s="50"/>
      <c r="Q91" s="50"/>
      <c r="R91" s="50"/>
      <c r="S91" s="50"/>
      <c r="T91" s="50"/>
    </row>
    <row r="92" spans="15:20" ht="12" customHeight="1" x14ac:dyDescent="0.25">
      <c r="O92" s="50"/>
      <c r="P92" s="50"/>
      <c r="Q92" s="50"/>
      <c r="R92" s="50"/>
      <c r="S92" s="50"/>
      <c r="T92" s="50"/>
    </row>
    <row r="93" spans="15:20" ht="12" customHeight="1" x14ac:dyDescent="0.25">
      <c r="O93" s="50"/>
      <c r="P93" s="50"/>
      <c r="Q93" s="50"/>
      <c r="R93" s="50"/>
      <c r="S93" s="50"/>
      <c r="T93" s="50"/>
    </row>
    <row r="94" spans="15:20" ht="12" customHeight="1" x14ac:dyDescent="0.25">
      <c r="O94" s="50"/>
      <c r="P94" s="50"/>
      <c r="Q94" s="50"/>
      <c r="R94" s="50"/>
      <c r="S94" s="50"/>
      <c r="T94" s="50"/>
    </row>
    <row r="95" spans="15:20" ht="12" customHeight="1" x14ac:dyDescent="0.25">
      <c r="O95" s="50"/>
      <c r="P95" s="50"/>
      <c r="Q95" s="50"/>
      <c r="R95" s="50"/>
      <c r="S95" s="50"/>
      <c r="T95" s="50"/>
    </row>
    <row r="96" spans="15:20" ht="12" customHeight="1" x14ac:dyDescent="0.25">
      <c r="O96" s="50"/>
      <c r="P96" s="50"/>
      <c r="Q96" s="50"/>
      <c r="R96" s="50"/>
      <c r="S96" s="50"/>
      <c r="T96" s="50"/>
    </row>
    <row r="97" spans="15:30" ht="12" customHeight="1" x14ac:dyDescent="0.25">
      <c r="O97" s="50"/>
      <c r="P97" s="50"/>
      <c r="Q97" s="50"/>
      <c r="R97" s="50"/>
      <c r="S97" s="50"/>
      <c r="T97" s="50"/>
    </row>
    <row r="98" spans="15:30" ht="12" customHeight="1" x14ac:dyDescent="0.25">
      <c r="O98" s="50"/>
      <c r="P98" s="50"/>
      <c r="Q98" s="50"/>
      <c r="R98" s="50"/>
      <c r="S98" s="50"/>
      <c r="T98" s="50"/>
    </row>
    <row r="99" spans="15:30" ht="12" customHeight="1" x14ac:dyDescent="0.25">
      <c r="O99" s="49"/>
      <c r="P99" s="49"/>
      <c r="Q99" s="49"/>
      <c r="R99" s="49"/>
      <c r="S99" s="49"/>
      <c r="T99" s="49"/>
    </row>
    <row r="100" spans="15:30" ht="12" customHeight="1" x14ac:dyDescent="0.25">
      <c r="O100" s="50"/>
      <c r="P100" s="50"/>
      <c r="Q100" s="50"/>
      <c r="R100" s="50"/>
      <c r="S100" s="50"/>
      <c r="T100" s="50"/>
      <c r="U100" s="50"/>
      <c r="V100" s="50"/>
      <c r="W100" s="50"/>
      <c r="X100" s="50"/>
      <c r="Y100" s="50"/>
      <c r="Z100" s="50"/>
      <c r="AA100" s="50"/>
      <c r="AB100" s="50"/>
      <c r="AC100" s="50"/>
      <c r="AD100" s="50"/>
    </row>
    <row r="101" spans="15:30" ht="12" customHeight="1" x14ac:dyDescent="0.25">
      <c r="O101" s="50" t="s">
        <v>599</v>
      </c>
      <c r="P101" s="50" t="s">
        <v>604</v>
      </c>
      <c r="Q101" s="50" t="s">
        <v>605</v>
      </c>
      <c r="R101" s="50" t="s">
        <v>606</v>
      </c>
      <c r="S101" s="50" t="s">
        <v>607</v>
      </c>
      <c r="T101" s="50" t="s">
        <v>608</v>
      </c>
      <c r="U101" s="50" t="s">
        <v>609</v>
      </c>
      <c r="V101" s="50" t="s">
        <v>610</v>
      </c>
      <c r="W101" s="50"/>
      <c r="X101" s="50"/>
      <c r="Y101" s="50"/>
      <c r="Z101" s="50"/>
      <c r="AA101" s="50"/>
      <c r="AB101" s="50"/>
      <c r="AC101" s="50"/>
      <c r="AD101" s="50"/>
    </row>
    <row r="102" spans="15:30" ht="12" customHeight="1" x14ac:dyDescent="0.25">
      <c r="O102" s="50" t="s">
        <v>40</v>
      </c>
      <c r="P102" s="50" t="s">
        <v>23</v>
      </c>
      <c r="Q102" s="50" t="s">
        <v>43</v>
      </c>
      <c r="R102" s="50" t="s">
        <v>44</v>
      </c>
      <c r="S102" s="50" t="s">
        <v>25</v>
      </c>
      <c r="T102" s="50" t="s">
        <v>44</v>
      </c>
      <c r="U102" s="50">
        <v>4</v>
      </c>
      <c r="V102" s="50">
        <v>0.3</v>
      </c>
      <c r="W102" s="50">
        <v>0.24</v>
      </c>
      <c r="X102" s="50">
        <v>0.18</v>
      </c>
      <c r="Y102" s="50">
        <v>0.12</v>
      </c>
      <c r="Z102" s="50">
        <v>0.06</v>
      </c>
      <c r="AA102" s="50">
        <v>0</v>
      </c>
      <c r="AB102" s="50"/>
      <c r="AC102" s="50"/>
      <c r="AD102" s="50"/>
    </row>
    <row r="103" spans="15:30" ht="12" customHeight="1" x14ac:dyDescent="0.25">
      <c r="O103" s="50"/>
      <c r="P103" s="50"/>
      <c r="Q103" s="50"/>
      <c r="R103" s="50"/>
      <c r="S103" s="50"/>
      <c r="T103" s="50"/>
      <c r="U103" s="50"/>
      <c r="V103" s="50"/>
      <c r="W103" s="50"/>
      <c r="X103" s="50"/>
      <c r="Y103" s="50"/>
      <c r="Z103" s="50"/>
      <c r="AA103" s="50"/>
      <c r="AB103" s="50"/>
      <c r="AC103" s="50"/>
      <c r="AD103" s="50"/>
    </row>
    <row r="104" spans="15:30" ht="12" customHeight="1" x14ac:dyDescent="0.25">
      <c r="O104" s="50"/>
      <c r="P104" s="50"/>
      <c r="Q104" s="50"/>
      <c r="R104" s="50"/>
      <c r="S104" s="50"/>
      <c r="T104" s="50"/>
      <c r="U104" s="50"/>
      <c r="V104" s="50"/>
      <c r="W104" s="50"/>
      <c r="X104" s="50"/>
      <c r="Y104" s="50"/>
      <c r="Z104" s="50"/>
      <c r="AA104" s="50"/>
      <c r="AB104" s="50"/>
      <c r="AC104" s="50"/>
      <c r="AD104" s="50"/>
    </row>
    <row r="105" spans="15:30" ht="12" customHeight="1" x14ac:dyDescent="0.25">
      <c r="O105" s="50"/>
      <c r="P105" s="50"/>
      <c r="Q105" s="50"/>
      <c r="R105" s="50"/>
      <c r="S105" s="50"/>
      <c r="T105" s="50"/>
      <c r="U105" s="50"/>
      <c r="V105" s="50"/>
      <c r="W105" s="50"/>
      <c r="X105" s="50"/>
      <c r="Y105" s="50"/>
      <c r="Z105" s="50"/>
      <c r="AA105" s="50"/>
      <c r="AB105" s="50"/>
      <c r="AC105" s="50"/>
      <c r="AD105" s="50"/>
    </row>
    <row r="106" spans="15:30" ht="12" customHeight="1" x14ac:dyDescent="0.25">
      <c r="O106" s="50"/>
      <c r="P106" s="50"/>
      <c r="Q106" s="50"/>
      <c r="R106" s="50"/>
      <c r="S106" s="50"/>
      <c r="T106" s="50"/>
      <c r="U106" s="50"/>
      <c r="V106" s="50"/>
      <c r="W106" s="50"/>
      <c r="X106" s="50"/>
      <c r="Y106" s="50"/>
      <c r="Z106" s="50"/>
      <c r="AA106" s="50"/>
      <c r="AB106" s="50"/>
      <c r="AC106" s="50"/>
      <c r="AD106" s="50"/>
    </row>
    <row r="107" spans="15:30" ht="12" customHeight="1" x14ac:dyDescent="0.25">
      <c r="O107" s="50"/>
      <c r="P107" s="50"/>
      <c r="Q107" s="50"/>
      <c r="R107" s="50"/>
      <c r="S107" s="50"/>
      <c r="T107" s="50"/>
      <c r="U107" s="50"/>
      <c r="V107" s="50"/>
      <c r="W107" s="50"/>
      <c r="X107" s="50"/>
      <c r="Y107" s="50"/>
      <c r="Z107" s="50"/>
      <c r="AA107" s="50"/>
      <c r="AB107" s="50"/>
      <c r="AC107" s="50"/>
      <c r="AD107" s="50"/>
    </row>
    <row r="108" spans="15:30" ht="12" customHeight="1" x14ac:dyDescent="0.25">
      <c r="O108" s="50"/>
      <c r="P108" s="50"/>
      <c r="Q108" s="50"/>
      <c r="R108" s="50"/>
      <c r="S108" s="50"/>
      <c r="T108" s="50"/>
      <c r="U108" s="50"/>
      <c r="V108" s="50"/>
      <c r="W108" s="50"/>
      <c r="X108" s="50"/>
      <c r="Y108" s="50"/>
      <c r="Z108" s="50"/>
      <c r="AA108" s="50"/>
      <c r="AB108" s="50"/>
      <c r="AC108" s="50"/>
      <c r="AD108" s="50"/>
    </row>
    <row r="109" spans="15:30" ht="12" customHeight="1" x14ac:dyDescent="0.25">
      <c r="O109" s="50"/>
      <c r="P109" s="50"/>
      <c r="Q109" s="50"/>
      <c r="R109" s="50"/>
      <c r="S109" s="50"/>
      <c r="T109" s="50"/>
      <c r="U109" s="50"/>
      <c r="V109" s="50"/>
      <c r="W109" s="50"/>
      <c r="X109" s="50"/>
      <c r="Y109" s="50"/>
      <c r="Z109" s="50"/>
      <c r="AA109" s="50"/>
      <c r="AB109" s="50"/>
      <c r="AC109" s="50"/>
      <c r="AD109" s="50"/>
    </row>
    <row r="110" spans="15:30" ht="12" customHeight="1" x14ac:dyDescent="0.25">
      <c r="O110" s="50"/>
      <c r="P110" s="50"/>
      <c r="Q110" s="50"/>
      <c r="R110" s="50"/>
      <c r="S110" s="50"/>
      <c r="T110" s="50"/>
      <c r="U110" s="50"/>
      <c r="V110" s="50"/>
      <c r="W110" s="50"/>
      <c r="X110" s="50"/>
      <c r="Y110" s="50"/>
      <c r="Z110" s="50"/>
      <c r="AA110" s="50"/>
      <c r="AB110" s="50"/>
      <c r="AC110" s="50"/>
      <c r="AD110" s="50"/>
    </row>
    <row r="111" spans="15:30" ht="12" customHeight="1" x14ac:dyDescent="0.25">
      <c r="O111" s="50"/>
      <c r="P111" s="50"/>
      <c r="Q111" s="50"/>
      <c r="R111" s="50"/>
      <c r="S111" s="50"/>
      <c r="T111" s="50"/>
      <c r="U111" s="50"/>
      <c r="V111" s="50"/>
      <c r="W111" s="50"/>
      <c r="X111" s="50"/>
      <c r="Y111" s="50"/>
      <c r="Z111" s="50"/>
      <c r="AA111" s="50"/>
      <c r="AB111" s="50"/>
      <c r="AC111" s="50"/>
      <c r="AD111" s="50"/>
    </row>
    <row r="112" spans="15:30" ht="12" customHeight="1" x14ac:dyDescent="0.25">
      <c r="O112" s="50"/>
      <c r="P112" s="50"/>
      <c r="Q112" s="50"/>
      <c r="R112" s="50"/>
      <c r="S112" s="50"/>
      <c r="T112" s="50"/>
      <c r="U112" s="50"/>
      <c r="V112" s="50"/>
      <c r="W112" s="50"/>
      <c r="X112" s="50"/>
      <c r="Y112" s="50"/>
      <c r="Z112" s="50"/>
      <c r="AA112" s="50"/>
      <c r="AB112" s="50"/>
      <c r="AC112" s="50"/>
      <c r="AD112" s="50"/>
    </row>
    <row r="113" spans="15:30" ht="12" customHeight="1" x14ac:dyDescent="0.25">
      <c r="O113" s="50"/>
      <c r="P113" s="50"/>
      <c r="Q113" s="50"/>
      <c r="R113" s="50"/>
      <c r="S113" s="50"/>
      <c r="T113" s="50"/>
      <c r="U113" s="50"/>
      <c r="V113" s="50"/>
      <c r="W113" s="50"/>
      <c r="X113" s="50"/>
      <c r="Y113" s="50"/>
      <c r="Z113" s="50"/>
      <c r="AA113" s="50"/>
      <c r="AB113" s="50"/>
      <c r="AC113" s="50"/>
      <c r="AD113" s="50"/>
    </row>
    <row r="114" spans="15:30" ht="12" customHeight="1" x14ac:dyDescent="0.25">
      <c r="O114" s="50"/>
      <c r="P114" s="50"/>
      <c r="Q114" s="50"/>
      <c r="R114" s="50"/>
      <c r="S114" s="50"/>
      <c r="T114" s="50"/>
      <c r="U114" s="50"/>
      <c r="V114" s="50"/>
      <c r="W114" s="50"/>
      <c r="X114" s="50"/>
      <c r="Y114" s="50"/>
      <c r="Z114" s="50"/>
      <c r="AA114" s="50"/>
      <c r="AB114" s="50"/>
      <c r="AC114" s="50"/>
      <c r="AD114" s="50"/>
    </row>
    <row r="115" spans="15:30" ht="12" customHeight="1" x14ac:dyDescent="0.25">
      <c r="O115" s="50"/>
      <c r="P115" s="50"/>
      <c r="Q115" s="50"/>
      <c r="R115" s="50"/>
      <c r="S115" s="50"/>
      <c r="T115" s="50"/>
      <c r="U115" s="50"/>
      <c r="V115" s="50"/>
      <c r="W115" s="50"/>
      <c r="X115" s="50"/>
      <c r="Y115" s="50"/>
      <c r="Z115" s="50"/>
      <c r="AA115" s="50"/>
      <c r="AB115" s="50"/>
      <c r="AC115" s="50"/>
      <c r="AD115" s="50"/>
    </row>
    <row r="116" spans="15:30" ht="12" customHeight="1" x14ac:dyDescent="0.25">
      <c r="O116" s="50"/>
      <c r="P116" s="50"/>
      <c r="Q116" s="50"/>
      <c r="R116" s="50"/>
      <c r="S116" s="50"/>
      <c r="T116" s="50"/>
      <c r="U116" s="50"/>
      <c r="V116" s="50"/>
      <c r="W116" s="50"/>
      <c r="X116" s="50"/>
      <c r="Y116" s="50"/>
      <c r="Z116" s="50"/>
      <c r="AA116" s="50"/>
      <c r="AB116" s="50"/>
      <c r="AC116" s="50"/>
      <c r="AD116" s="50"/>
    </row>
    <row r="117" spans="15:30" ht="12" customHeight="1" x14ac:dyDescent="0.25">
      <c r="O117" s="50"/>
      <c r="P117" s="50"/>
      <c r="Q117" s="50"/>
      <c r="R117" s="50"/>
      <c r="S117" s="50"/>
      <c r="T117" s="50"/>
      <c r="U117" s="50"/>
      <c r="V117" s="50"/>
      <c r="W117" s="50"/>
      <c r="X117" s="50"/>
      <c r="Y117" s="50"/>
      <c r="Z117" s="50"/>
      <c r="AA117" s="50"/>
      <c r="AB117" s="50"/>
      <c r="AC117" s="50"/>
      <c r="AD117" s="50"/>
    </row>
    <row r="118" spans="15:30" ht="12" customHeight="1" x14ac:dyDescent="0.25">
      <c r="O118" s="50"/>
      <c r="P118" s="50"/>
      <c r="Q118" s="50"/>
      <c r="R118" s="50"/>
      <c r="S118" s="50"/>
      <c r="T118" s="50"/>
      <c r="U118" s="50"/>
      <c r="V118" s="50"/>
      <c r="W118" s="50"/>
      <c r="X118" s="50"/>
      <c r="Y118" s="50"/>
      <c r="Z118" s="50"/>
      <c r="AA118" s="50"/>
      <c r="AB118" s="50"/>
      <c r="AC118" s="50"/>
      <c r="AD118" s="50"/>
    </row>
    <row r="119" spans="15:30" ht="12" customHeight="1" x14ac:dyDescent="0.25">
      <c r="O119" s="50"/>
      <c r="P119" s="50"/>
      <c r="Q119" s="50"/>
      <c r="R119" s="50"/>
      <c r="S119" s="50"/>
      <c r="T119" s="50"/>
      <c r="U119" s="50"/>
      <c r="V119" s="50"/>
      <c r="W119" s="50"/>
      <c r="X119" s="50"/>
      <c r="Y119" s="50"/>
      <c r="Z119" s="50"/>
      <c r="AA119" s="50"/>
      <c r="AB119" s="50"/>
      <c r="AC119" s="50"/>
      <c r="AD119" s="50"/>
    </row>
    <row r="120" spans="15:30" ht="12" customHeight="1" x14ac:dyDescent="0.25">
      <c r="O120" s="50"/>
      <c r="P120" s="50"/>
      <c r="Q120" s="50"/>
      <c r="R120" s="50"/>
      <c r="S120" s="50"/>
      <c r="T120" s="50"/>
      <c r="U120" s="50"/>
      <c r="V120" s="50"/>
      <c r="W120" s="50"/>
      <c r="X120" s="50"/>
      <c r="Y120" s="50"/>
      <c r="Z120" s="50"/>
      <c r="AA120" s="50"/>
      <c r="AB120" s="50"/>
      <c r="AC120" s="50"/>
      <c r="AD120" s="50"/>
    </row>
    <row r="121" spans="15:30" ht="12" customHeight="1" x14ac:dyDescent="0.25">
      <c r="O121" s="50"/>
      <c r="P121" s="50"/>
      <c r="Q121" s="50"/>
      <c r="R121" s="50"/>
      <c r="S121" s="50"/>
      <c r="T121" s="50"/>
      <c r="U121" s="50"/>
      <c r="V121" s="50"/>
      <c r="W121" s="50"/>
      <c r="X121" s="50"/>
      <c r="Y121" s="50"/>
      <c r="Z121" s="50"/>
      <c r="AA121" s="50"/>
      <c r="AB121" s="50"/>
      <c r="AC121" s="50"/>
      <c r="AD121" s="50"/>
    </row>
    <row r="122" spans="15:30" ht="12" customHeight="1" x14ac:dyDescent="0.25">
      <c r="O122" s="50"/>
      <c r="P122" s="50"/>
      <c r="Q122" s="50"/>
      <c r="R122" s="50"/>
      <c r="S122" s="50"/>
      <c r="T122" s="50"/>
      <c r="U122" s="50"/>
      <c r="V122" s="50"/>
      <c r="W122" s="50"/>
      <c r="X122" s="50"/>
      <c r="Y122" s="50"/>
      <c r="Z122" s="50"/>
      <c r="AA122" s="50"/>
      <c r="AB122" s="50"/>
      <c r="AC122" s="50"/>
      <c r="AD122" s="50"/>
    </row>
    <row r="123" spans="15:30" ht="12" customHeight="1" x14ac:dyDescent="0.25">
      <c r="O123" s="50"/>
      <c r="P123" s="50"/>
      <c r="Q123" s="50"/>
      <c r="R123" s="50"/>
      <c r="S123" s="50"/>
      <c r="T123" s="50"/>
      <c r="U123" s="50"/>
      <c r="V123" s="50"/>
      <c r="W123" s="50"/>
      <c r="X123" s="50"/>
      <c r="Y123" s="50"/>
      <c r="Z123" s="50"/>
      <c r="AA123" s="50"/>
      <c r="AB123" s="50"/>
      <c r="AC123" s="50"/>
      <c r="AD123" s="50"/>
    </row>
    <row r="124" spans="15:30" ht="12" customHeight="1" x14ac:dyDescent="0.25">
      <c r="O124" s="50"/>
      <c r="P124" s="50"/>
      <c r="Q124" s="50"/>
      <c r="R124" s="50"/>
      <c r="S124" s="50"/>
      <c r="T124" s="50"/>
      <c r="U124" s="50"/>
      <c r="V124" s="50"/>
      <c r="W124" s="50"/>
      <c r="X124" s="50"/>
      <c r="Y124" s="50"/>
      <c r="Z124" s="50"/>
      <c r="AA124" s="50"/>
      <c r="AB124" s="50"/>
      <c r="AC124" s="50"/>
      <c r="AD124" s="50"/>
    </row>
    <row r="125" spans="15:30" ht="12" customHeight="1" x14ac:dyDescent="0.25">
      <c r="O125" s="50"/>
      <c r="P125" s="50"/>
      <c r="Q125" s="50"/>
      <c r="R125" s="50"/>
      <c r="S125" s="50"/>
      <c r="T125" s="50"/>
      <c r="U125" s="50"/>
      <c r="V125" s="50"/>
      <c r="W125" s="50"/>
      <c r="X125" s="50"/>
      <c r="Y125" s="50"/>
      <c r="Z125" s="50"/>
      <c r="AA125" s="50"/>
      <c r="AB125" s="50"/>
      <c r="AC125" s="50"/>
      <c r="AD125" s="50"/>
    </row>
    <row r="126" spans="15:30" ht="12" customHeight="1" x14ac:dyDescent="0.25">
      <c r="O126" s="50"/>
      <c r="P126" s="50"/>
      <c r="Q126" s="50"/>
      <c r="R126" s="50"/>
      <c r="S126" s="50"/>
      <c r="T126" s="50"/>
      <c r="U126" s="50"/>
      <c r="V126" s="50"/>
      <c r="W126" s="50"/>
      <c r="X126" s="50"/>
      <c r="Y126" s="50"/>
      <c r="Z126" s="50"/>
      <c r="AA126" s="50"/>
      <c r="AB126" s="50"/>
      <c r="AC126" s="50"/>
      <c r="AD126" s="50"/>
    </row>
    <row r="127" spans="15:30" ht="12" customHeight="1" x14ac:dyDescent="0.25">
      <c r="O127" s="50"/>
      <c r="P127" s="50"/>
      <c r="Q127" s="50"/>
      <c r="R127" s="50"/>
      <c r="S127" s="50"/>
      <c r="T127" s="50"/>
      <c r="U127" s="50"/>
      <c r="V127" s="50"/>
      <c r="W127" s="50"/>
      <c r="X127" s="50"/>
      <c r="Y127" s="50"/>
      <c r="Z127" s="50"/>
      <c r="AA127" s="50"/>
      <c r="AB127" s="50"/>
      <c r="AC127" s="50"/>
      <c r="AD127" s="50"/>
    </row>
    <row r="128" spans="15:30" ht="12" customHeight="1" x14ac:dyDescent="0.25">
      <c r="O128" s="50"/>
      <c r="P128" s="50"/>
      <c r="Q128" s="50"/>
      <c r="R128" s="50"/>
      <c r="S128" s="50"/>
      <c r="T128" s="50"/>
      <c r="U128" s="50"/>
      <c r="V128" s="50"/>
      <c r="W128" s="50"/>
      <c r="X128" s="50"/>
      <c r="Y128" s="50"/>
      <c r="Z128" s="50"/>
      <c r="AA128" s="50"/>
      <c r="AB128" s="50"/>
      <c r="AC128" s="50"/>
      <c r="AD128" s="50"/>
    </row>
    <row r="129" spans="15:30" ht="12" customHeight="1" x14ac:dyDescent="0.25">
      <c r="O129" s="50"/>
      <c r="P129" s="50"/>
      <c r="Q129" s="50"/>
      <c r="R129" s="50"/>
      <c r="S129" s="50"/>
      <c r="T129" s="50"/>
      <c r="U129" s="50"/>
      <c r="V129" s="50"/>
      <c r="W129" s="50"/>
      <c r="X129" s="50"/>
      <c r="Y129" s="50"/>
      <c r="Z129" s="50"/>
      <c r="AA129" s="50"/>
      <c r="AB129" s="50"/>
      <c r="AC129" s="50"/>
      <c r="AD129" s="50"/>
    </row>
    <row r="130" spans="15:30" ht="12" customHeight="1" x14ac:dyDescent="0.25">
      <c r="O130" s="50"/>
      <c r="P130" s="50"/>
      <c r="Q130" s="50"/>
      <c r="R130" s="50"/>
      <c r="S130" s="50"/>
      <c r="T130" s="50"/>
      <c r="U130" s="50"/>
      <c r="V130" s="50"/>
      <c r="W130" s="50"/>
      <c r="X130" s="50"/>
      <c r="Y130" s="50"/>
      <c r="Z130" s="50"/>
      <c r="AA130" s="50"/>
      <c r="AB130" s="50"/>
      <c r="AC130" s="50"/>
      <c r="AD130" s="50"/>
    </row>
    <row r="131" spans="15:30" ht="12" customHeight="1" x14ac:dyDescent="0.25">
      <c r="O131" s="50"/>
      <c r="P131" s="50"/>
      <c r="Q131" s="50"/>
      <c r="R131" s="50"/>
      <c r="S131" s="50"/>
      <c r="T131" s="50"/>
      <c r="U131" s="50"/>
      <c r="V131" s="50"/>
      <c r="W131" s="50"/>
      <c r="X131" s="50"/>
      <c r="Y131" s="50"/>
      <c r="Z131" s="50"/>
      <c r="AA131" s="50"/>
      <c r="AB131" s="50"/>
      <c r="AC131" s="50"/>
      <c r="AD131" s="50"/>
    </row>
    <row r="132" spans="15:30" ht="12" customHeight="1" x14ac:dyDescent="0.25">
      <c r="O132" s="50"/>
      <c r="P132" s="50"/>
      <c r="Q132" s="50"/>
      <c r="R132" s="50"/>
      <c r="S132" s="50"/>
      <c r="T132" s="50"/>
      <c r="U132" s="50"/>
      <c r="V132" s="50"/>
      <c r="W132" s="50"/>
      <c r="X132" s="50"/>
      <c r="Y132" s="50"/>
      <c r="Z132" s="50"/>
      <c r="AA132" s="50"/>
      <c r="AB132" s="50"/>
      <c r="AC132" s="50"/>
      <c r="AD132" s="50"/>
    </row>
    <row r="133" spans="15:30" ht="12" customHeight="1" x14ac:dyDescent="0.25">
      <c r="O133" s="50"/>
      <c r="P133" s="50"/>
      <c r="Q133" s="50"/>
      <c r="R133" s="50"/>
      <c r="S133" s="50"/>
      <c r="T133" s="50"/>
      <c r="U133" s="50"/>
      <c r="V133" s="50"/>
      <c r="W133" s="50"/>
      <c r="X133" s="50"/>
      <c r="Y133" s="50"/>
      <c r="Z133" s="50"/>
      <c r="AA133" s="50"/>
      <c r="AB133" s="50"/>
      <c r="AC133" s="50"/>
      <c r="AD133" s="50"/>
    </row>
    <row r="134" spans="15:30" ht="12" customHeight="1" x14ac:dyDescent="0.25">
      <c r="O134" s="50"/>
      <c r="P134" s="50"/>
      <c r="Q134" s="50"/>
      <c r="R134" s="50"/>
      <c r="S134" s="50"/>
      <c r="T134" s="50"/>
      <c r="U134" s="50"/>
      <c r="V134" s="50"/>
      <c r="W134" s="50"/>
      <c r="X134" s="50"/>
      <c r="Y134" s="50"/>
      <c r="Z134" s="50"/>
      <c r="AA134" s="50"/>
      <c r="AB134" s="50"/>
      <c r="AC134" s="50"/>
      <c r="AD134" s="50"/>
    </row>
    <row r="135" spans="15:30" ht="12" customHeight="1" x14ac:dyDescent="0.25">
      <c r="O135" s="50"/>
      <c r="P135" s="50"/>
      <c r="Q135" s="50"/>
      <c r="R135" s="50"/>
      <c r="S135" s="50"/>
      <c r="T135" s="50"/>
      <c r="U135" s="50"/>
      <c r="V135" s="50"/>
      <c r="W135" s="50"/>
      <c r="X135" s="50"/>
      <c r="Y135" s="50"/>
      <c r="Z135" s="50"/>
      <c r="AA135" s="50"/>
      <c r="AB135" s="50"/>
      <c r="AC135" s="50"/>
      <c r="AD135" s="50"/>
    </row>
    <row r="136" spans="15:30" ht="12" customHeight="1" x14ac:dyDescent="0.25">
      <c r="O136" s="50"/>
      <c r="P136" s="50"/>
      <c r="Q136" s="50"/>
      <c r="R136" s="50"/>
      <c r="S136" s="50"/>
      <c r="T136" s="50"/>
      <c r="U136" s="50"/>
      <c r="V136" s="50"/>
      <c r="W136" s="50"/>
      <c r="X136" s="50"/>
      <c r="Y136" s="50"/>
      <c r="Z136" s="50"/>
      <c r="AA136" s="50"/>
      <c r="AB136" s="50"/>
      <c r="AC136" s="50"/>
      <c r="AD136" s="50"/>
    </row>
    <row r="137" spans="15:30" ht="12" customHeight="1" x14ac:dyDescent="0.25">
      <c r="O137" s="50"/>
      <c r="P137" s="50"/>
      <c r="Q137" s="50"/>
      <c r="R137" s="50"/>
      <c r="S137" s="50"/>
      <c r="T137" s="50"/>
      <c r="U137" s="50"/>
      <c r="V137" s="50"/>
      <c r="W137" s="50"/>
      <c r="X137" s="50"/>
      <c r="Y137" s="50"/>
      <c r="Z137" s="50"/>
      <c r="AA137" s="50"/>
      <c r="AB137" s="50"/>
      <c r="AC137" s="50"/>
      <c r="AD137" s="50"/>
    </row>
    <row r="138" spans="15:30" ht="12" customHeight="1" x14ac:dyDescent="0.25">
      <c r="O138" s="50"/>
      <c r="P138" s="50"/>
      <c r="Q138" s="50"/>
      <c r="R138" s="50"/>
      <c r="S138" s="50"/>
      <c r="T138" s="50"/>
      <c r="U138" s="50"/>
      <c r="V138" s="50"/>
      <c r="W138" s="50"/>
      <c r="X138" s="50"/>
      <c r="Y138" s="50"/>
      <c r="Z138" s="50"/>
      <c r="AA138" s="50"/>
      <c r="AB138" s="50"/>
      <c r="AC138" s="50"/>
      <c r="AD138" s="50"/>
    </row>
    <row r="139" spans="15:30" ht="12" customHeight="1" x14ac:dyDescent="0.25">
      <c r="O139" s="50"/>
      <c r="P139" s="50"/>
      <c r="Q139" s="50"/>
      <c r="R139" s="50"/>
      <c r="S139" s="50"/>
      <c r="T139" s="50"/>
      <c r="U139" s="50"/>
      <c r="V139" s="50"/>
      <c r="W139" s="50"/>
      <c r="X139" s="50"/>
      <c r="Y139" s="50"/>
      <c r="Z139" s="50"/>
      <c r="AA139" s="50"/>
      <c r="AB139" s="50"/>
      <c r="AC139" s="50"/>
      <c r="AD139" s="50"/>
    </row>
    <row r="140" spans="15:30" ht="12" customHeight="1" x14ac:dyDescent="0.25">
      <c r="O140" s="50"/>
      <c r="P140" s="50"/>
      <c r="Q140" s="50"/>
      <c r="R140" s="50"/>
      <c r="S140" s="50"/>
      <c r="T140" s="50"/>
      <c r="U140" s="50"/>
      <c r="V140" s="50"/>
      <c r="W140" s="50"/>
      <c r="X140" s="50"/>
      <c r="Y140" s="50"/>
      <c r="Z140" s="50"/>
      <c r="AA140" s="50"/>
      <c r="AB140" s="50"/>
      <c r="AC140" s="50"/>
      <c r="AD140" s="50"/>
    </row>
    <row r="141" spans="15:30" ht="12" customHeight="1" x14ac:dyDescent="0.25">
      <c r="O141" s="50"/>
      <c r="P141" s="50"/>
      <c r="Q141" s="50"/>
      <c r="R141" s="50"/>
      <c r="S141" s="50"/>
      <c r="T141" s="50"/>
      <c r="U141" s="50"/>
      <c r="V141" s="50"/>
      <c r="W141" s="50"/>
      <c r="X141" s="50"/>
      <c r="Y141" s="50"/>
      <c r="Z141" s="50"/>
      <c r="AA141" s="50"/>
      <c r="AB141" s="50"/>
      <c r="AC141" s="50"/>
      <c r="AD141" s="50"/>
    </row>
    <row r="142" spans="15:30" ht="12" customHeight="1" x14ac:dyDescent="0.25">
      <c r="O142" s="50"/>
      <c r="P142" s="50"/>
      <c r="Q142" s="50"/>
      <c r="R142" s="50"/>
      <c r="S142" s="50"/>
      <c r="T142" s="50"/>
      <c r="U142" s="50"/>
      <c r="V142" s="50"/>
      <c r="W142" s="50"/>
      <c r="X142" s="50"/>
      <c r="Y142" s="50"/>
      <c r="Z142" s="50"/>
      <c r="AA142" s="50"/>
      <c r="AB142" s="50"/>
      <c r="AC142" s="50"/>
      <c r="AD142" s="50"/>
    </row>
    <row r="143" spans="15:30" ht="12" customHeight="1" x14ac:dyDescent="0.25">
      <c r="O143" s="50"/>
      <c r="P143" s="50"/>
      <c r="Q143" s="50"/>
      <c r="R143" s="50"/>
      <c r="S143" s="50"/>
      <c r="T143" s="50"/>
      <c r="U143" s="50"/>
      <c r="V143" s="50"/>
      <c r="W143" s="50"/>
      <c r="X143" s="50"/>
      <c r="Y143" s="50"/>
      <c r="Z143" s="50"/>
      <c r="AA143" s="50"/>
      <c r="AB143" s="50"/>
      <c r="AC143" s="50"/>
      <c r="AD143" s="50"/>
    </row>
    <row r="144" spans="15:30" ht="12" customHeight="1" x14ac:dyDescent="0.25">
      <c r="O144" s="50"/>
      <c r="P144" s="50"/>
      <c r="Q144" s="50"/>
      <c r="R144" s="50"/>
      <c r="S144" s="50"/>
      <c r="T144" s="50"/>
      <c r="U144" s="50"/>
      <c r="V144" s="50"/>
      <c r="W144" s="50"/>
      <c r="X144" s="50"/>
      <c r="Y144" s="50"/>
      <c r="Z144" s="50"/>
      <c r="AA144" s="50"/>
      <c r="AB144" s="50"/>
      <c r="AC144" s="50"/>
      <c r="AD144" s="50"/>
    </row>
    <row r="145" spans="15:30" ht="12" customHeight="1" x14ac:dyDescent="0.25">
      <c r="O145" s="50"/>
      <c r="P145" s="50"/>
      <c r="Q145" s="50"/>
      <c r="R145" s="50"/>
      <c r="S145" s="50"/>
      <c r="T145" s="50"/>
      <c r="U145" s="50"/>
      <c r="V145" s="50"/>
      <c r="W145" s="50"/>
      <c r="X145" s="50"/>
      <c r="Y145" s="50"/>
      <c r="Z145" s="50"/>
      <c r="AA145" s="50"/>
      <c r="AB145" s="50"/>
      <c r="AC145" s="50"/>
      <c r="AD145" s="50"/>
    </row>
    <row r="146" spans="15:30" ht="12" customHeight="1" x14ac:dyDescent="0.25">
      <c r="O146" s="50"/>
      <c r="P146" s="50"/>
      <c r="Q146" s="50"/>
      <c r="R146" s="50"/>
      <c r="S146" s="50"/>
      <c r="T146" s="50"/>
      <c r="U146" s="50"/>
      <c r="V146" s="50"/>
      <c r="W146" s="50"/>
      <c r="X146" s="50"/>
      <c r="Y146" s="50"/>
      <c r="Z146" s="50"/>
      <c r="AA146" s="50"/>
      <c r="AB146" s="50"/>
      <c r="AC146" s="50"/>
      <c r="AD146" s="50"/>
    </row>
    <row r="147" spans="15:30" ht="12" customHeight="1" x14ac:dyDescent="0.25">
      <c r="O147" s="50"/>
      <c r="P147" s="50"/>
      <c r="Q147" s="50"/>
      <c r="R147" s="50"/>
      <c r="S147" s="50"/>
      <c r="T147" s="50"/>
      <c r="U147" s="50"/>
      <c r="V147" s="50"/>
      <c r="W147" s="50"/>
      <c r="X147" s="50"/>
      <c r="Y147" s="50"/>
      <c r="Z147" s="50"/>
      <c r="AA147" s="50"/>
      <c r="AB147" s="50"/>
      <c r="AC147" s="50"/>
      <c r="AD147" s="50"/>
    </row>
    <row r="148" spans="15:30" ht="12" customHeight="1" x14ac:dyDescent="0.25">
      <c r="O148" s="50"/>
      <c r="P148" s="50"/>
      <c r="Q148" s="50"/>
      <c r="R148" s="50"/>
      <c r="S148" s="50"/>
      <c r="T148" s="50"/>
      <c r="U148" s="50"/>
      <c r="V148" s="50"/>
      <c r="W148" s="50"/>
      <c r="X148" s="50"/>
      <c r="Y148" s="50"/>
      <c r="Z148" s="50"/>
      <c r="AA148" s="50"/>
      <c r="AB148" s="50"/>
      <c r="AC148" s="50"/>
      <c r="AD148" s="50"/>
    </row>
    <row r="149" spans="15:30" ht="12" customHeight="1" x14ac:dyDescent="0.25">
      <c r="O149" s="50"/>
      <c r="P149" s="50"/>
      <c r="Q149" s="50"/>
      <c r="R149" s="50"/>
      <c r="S149" s="50"/>
      <c r="T149" s="50"/>
      <c r="U149" s="50"/>
      <c r="V149" s="50"/>
      <c r="W149" s="50"/>
      <c r="X149" s="50"/>
      <c r="Y149" s="50"/>
      <c r="Z149" s="50"/>
      <c r="AA149" s="50"/>
      <c r="AB149" s="50"/>
      <c r="AC149" s="50"/>
      <c r="AD149" s="50"/>
    </row>
    <row r="150" spans="15:30" ht="12" customHeight="1" x14ac:dyDescent="0.25">
      <c r="O150" s="50"/>
      <c r="P150" s="50"/>
      <c r="Q150" s="50"/>
      <c r="R150" s="50"/>
      <c r="S150" s="50"/>
      <c r="T150" s="50"/>
      <c r="U150" s="50"/>
      <c r="V150" s="50"/>
      <c r="W150" s="50"/>
      <c r="X150" s="50"/>
      <c r="Y150" s="50"/>
      <c r="Z150" s="50"/>
      <c r="AA150" s="50"/>
      <c r="AB150" s="50"/>
      <c r="AC150" s="50"/>
      <c r="AD150" s="50"/>
    </row>
    <row r="151" spans="15:30" ht="12" customHeight="1" x14ac:dyDescent="0.25">
      <c r="O151" s="50"/>
      <c r="P151" s="50"/>
      <c r="Q151" s="50"/>
      <c r="R151" s="50"/>
      <c r="S151" s="50"/>
      <c r="T151" s="50"/>
      <c r="U151" s="50"/>
      <c r="V151" s="50"/>
      <c r="W151" s="50"/>
      <c r="X151" s="50"/>
      <c r="Y151" s="50"/>
      <c r="Z151" s="50"/>
      <c r="AA151" s="50"/>
      <c r="AB151" s="50"/>
      <c r="AC151" s="50"/>
      <c r="AD151" s="50"/>
    </row>
    <row r="152" spans="15:30" ht="12" customHeight="1" x14ac:dyDescent="0.25">
      <c r="O152" s="50"/>
      <c r="P152" s="50"/>
      <c r="Q152" s="50"/>
      <c r="R152" s="50"/>
      <c r="S152" s="50"/>
      <c r="T152" s="50"/>
      <c r="U152" s="50"/>
      <c r="V152" s="50"/>
      <c r="W152" s="50"/>
      <c r="X152" s="50"/>
      <c r="Y152" s="50"/>
      <c r="Z152" s="50"/>
      <c r="AA152" s="50"/>
      <c r="AB152" s="50"/>
      <c r="AC152" s="50"/>
      <c r="AD152" s="50"/>
    </row>
    <row r="153" spans="15:30" ht="12" customHeight="1" x14ac:dyDescent="0.25">
      <c r="O153" s="50"/>
      <c r="P153" s="50"/>
      <c r="Q153" s="50"/>
      <c r="R153" s="50"/>
      <c r="S153" s="50"/>
      <c r="T153" s="50"/>
      <c r="U153" s="50"/>
      <c r="V153" s="50"/>
      <c r="W153" s="50"/>
      <c r="X153" s="50"/>
      <c r="Y153" s="50"/>
      <c r="Z153" s="50"/>
      <c r="AA153" s="50"/>
      <c r="AB153" s="50"/>
      <c r="AC153" s="50"/>
      <c r="AD153" s="50"/>
    </row>
    <row r="154" spans="15:30" ht="12" customHeight="1" x14ac:dyDescent="0.25">
      <c r="O154" s="50"/>
      <c r="P154" s="50"/>
      <c r="Q154" s="50"/>
      <c r="R154" s="50"/>
      <c r="S154" s="50"/>
      <c r="T154" s="50"/>
      <c r="U154" s="50"/>
      <c r="V154" s="50"/>
      <c r="W154" s="50"/>
      <c r="X154" s="50"/>
      <c r="Y154" s="50"/>
      <c r="Z154" s="50"/>
      <c r="AA154" s="50"/>
      <c r="AB154" s="50"/>
      <c r="AC154" s="50"/>
      <c r="AD154" s="50"/>
    </row>
    <row r="155" spans="15:30" ht="12" customHeight="1" x14ac:dyDescent="0.25">
      <c r="O155" s="50"/>
      <c r="P155" s="50"/>
      <c r="Q155" s="50"/>
      <c r="R155" s="50"/>
      <c r="S155" s="50"/>
      <c r="T155" s="50"/>
      <c r="U155" s="50"/>
      <c r="V155" s="50"/>
      <c r="W155" s="50"/>
      <c r="X155" s="50"/>
      <c r="Y155" s="50"/>
      <c r="Z155" s="50"/>
      <c r="AA155" s="50"/>
      <c r="AB155" s="50"/>
      <c r="AC155" s="50"/>
      <c r="AD155" s="50"/>
    </row>
    <row r="156" spans="15:30" ht="12" customHeight="1" x14ac:dyDescent="0.25">
      <c r="O156" s="50"/>
      <c r="P156" s="50"/>
      <c r="Q156" s="50"/>
      <c r="R156" s="50"/>
      <c r="S156" s="50"/>
      <c r="T156" s="50"/>
      <c r="U156" s="50"/>
      <c r="V156" s="50"/>
      <c r="W156" s="50"/>
      <c r="X156" s="50"/>
      <c r="Y156" s="50"/>
      <c r="Z156" s="50"/>
      <c r="AA156" s="50"/>
      <c r="AB156" s="50"/>
      <c r="AC156" s="50"/>
      <c r="AD156" s="50"/>
    </row>
    <row r="157" spans="15:30" ht="12" customHeight="1" x14ac:dyDescent="0.25">
      <c r="O157" s="50"/>
      <c r="P157" s="50"/>
      <c r="Q157" s="50"/>
      <c r="R157" s="50"/>
      <c r="S157" s="50"/>
      <c r="T157" s="50"/>
      <c r="U157" s="50"/>
      <c r="V157" s="50"/>
      <c r="W157" s="50"/>
      <c r="X157" s="50"/>
      <c r="Y157" s="50"/>
      <c r="Z157" s="50"/>
      <c r="AA157" s="50"/>
      <c r="AB157" s="50"/>
      <c r="AC157" s="50"/>
      <c r="AD157" s="50"/>
    </row>
    <row r="158" spans="15:30" ht="12" customHeight="1" x14ac:dyDescent="0.25">
      <c r="O158" s="50"/>
      <c r="P158" s="50"/>
      <c r="Q158" s="50"/>
      <c r="R158" s="50"/>
      <c r="S158" s="50"/>
      <c r="T158" s="50"/>
      <c r="U158" s="50"/>
      <c r="V158" s="50"/>
      <c r="W158" s="50"/>
      <c r="X158" s="50"/>
      <c r="Y158" s="50"/>
      <c r="Z158" s="50"/>
      <c r="AA158" s="50"/>
      <c r="AB158" s="50"/>
      <c r="AC158" s="50"/>
      <c r="AD158" s="50"/>
    </row>
    <row r="159" spans="15:30" ht="12" customHeight="1" x14ac:dyDescent="0.25">
      <c r="O159" s="50"/>
      <c r="P159" s="50"/>
      <c r="Q159" s="50"/>
      <c r="R159" s="50"/>
      <c r="S159" s="50"/>
      <c r="T159" s="50"/>
      <c r="U159" s="50"/>
      <c r="V159" s="50"/>
      <c r="W159" s="50"/>
      <c r="X159" s="50"/>
      <c r="Y159" s="50"/>
      <c r="Z159" s="50"/>
      <c r="AA159" s="50"/>
      <c r="AB159" s="50"/>
      <c r="AC159" s="50"/>
      <c r="AD159" s="50"/>
    </row>
    <row r="160" spans="15:30" ht="12" customHeight="1" x14ac:dyDescent="0.25">
      <c r="O160" s="50"/>
      <c r="P160" s="50"/>
      <c r="Q160" s="50"/>
      <c r="R160" s="50"/>
      <c r="S160" s="50"/>
      <c r="T160" s="50"/>
      <c r="U160" s="50"/>
      <c r="V160" s="50"/>
      <c r="W160" s="50"/>
      <c r="X160" s="50"/>
      <c r="Y160" s="50"/>
      <c r="Z160" s="50"/>
      <c r="AA160" s="50"/>
      <c r="AB160" s="50"/>
      <c r="AC160" s="50"/>
      <c r="AD160" s="50"/>
    </row>
    <row r="161" spans="15:30" ht="12" customHeight="1" x14ac:dyDescent="0.25">
      <c r="O161" s="50"/>
      <c r="P161" s="50"/>
      <c r="Q161" s="50"/>
      <c r="R161" s="50"/>
      <c r="S161" s="50"/>
      <c r="T161" s="50"/>
      <c r="U161" s="50"/>
      <c r="V161" s="50"/>
      <c r="W161" s="50"/>
      <c r="X161" s="50"/>
      <c r="Y161" s="50"/>
      <c r="Z161" s="50"/>
      <c r="AA161" s="50"/>
      <c r="AB161" s="50"/>
      <c r="AC161" s="50"/>
      <c r="AD161" s="50"/>
    </row>
    <row r="162" spans="15:30" ht="12" customHeight="1" x14ac:dyDescent="0.25">
      <c r="O162" s="50"/>
      <c r="P162" s="50"/>
      <c r="Q162" s="50"/>
      <c r="R162" s="50"/>
      <c r="S162" s="50"/>
      <c r="T162" s="50"/>
      <c r="U162" s="50"/>
      <c r="V162" s="50"/>
      <c r="W162" s="50"/>
      <c r="X162" s="50"/>
      <c r="Y162" s="50"/>
      <c r="Z162" s="50"/>
      <c r="AA162" s="50"/>
      <c r="AB162" s="50"/>
      <c r="AC162" s="50"/>
      <c r="AD162" s="50"/>
    </row>
    <row r="163" spans="15:30" ht="12" customHeight="1" x14ac:dyDescent="0.25">
      <c r="O163" s="50"/>
      <c r="P163" s="50"/>
      <c r="Q163" s="50"/>
      <c r="R163" s="50"/>
      <c r="S163" s="50"/>
      <c r="T163" s="50"/>
      <c r="U163" s="50"/>
      <c r="V163" s="50"/>
      <c r="W163" s="50"/>
      <c r="X163" s="50"/>
      <c r="Y163" s="50"/>
      <c r="Z163" s="50"/>
      <c r="AA163" s="50"/>
      <c r="AB163" s="50"/>
      <c r="AC163" s="50"/>
      <c r="AD163" s="50"/>
    </row>
    <row r="164" spans="15:30" ht="12" customHeight="1" x14ac:dyDescent="0.25">
      <c r="O164" s="50"/>
      <c r="P164" s="50"/>
      <c r="Q164" s="50"/>
      <c r="R164" s="50"/>
      <c r="S164" s="50"/>
      <c r="T164" s="50"/>
      <c r="U164" s="50"/>
      <c r="V164" s="50"/>
      <c r="W164" s="50"/>
      <c r="X164" s="50"/>
      <c r="Y164" s="50"/>
      <c r="Z164" s="50"/>
      <c r="AA164" s="50"/>
      <c r="AB164" s="50"/>
      <c r="AC164" s="50"/>
      <c r="AD164" s="50"/>
    </row>
    <row r="165" spans="15:30" ht="12" customHeight="1" x14ac:dyDescent="0.25">
      <c r="O165" s="50"/>
      <c r="P165" s="50"/>
      <c r="Q165" s="50"/>
      <c r="R165" s="50"/>
      <c r="S165" s="50"/>
      <c r="T165" s="50"/>
      <c r="U165" s="50"/>
      <c r="V165" s="50"/>
      <c r="W165" s="50"/>
      <c r="X165" s="50"/>
      <c r="Y165" s="50"/>
      <c r="Z165" s="50"/>
      <c r="AA165" s="50"/>
      <c r="AB165" s="50"/>
      <c r="AC165" s="50"/>
      <c r="AD165" s="50"/>
    </row>
    <row r="166" spans="15:30" ht="12" customHeight="1" x14ac:dyDescent="0.25">
      <c r="O166" s="50"/>
      <c r="P166" s="50"/>
      <c r="Q166" s="50"/>
      <c r="R166" s="50"/>
      <c r="S166" s="50"/>
      <c r="T166" s="50"/>
      <c r="U166" s="50"/>
      <c r="V166" s="50"/>
      <c r="W166" s="50"/>
      <c r="X166" s="50"/>
      <c r="Y166" s="50"/>
      <c r="Z166" s="50"/>
      <c r="AA166" s="50"/>
      <c r="AB166" s="50"/>
      <c r="AC166" s="50"/>
      <c r="AD166" s="50"/>
    </row>
    <row r="167" spans="15:30" ht="12" customHeight="1" x14ac:dyDescent="0.25">
      <c r="O167" s="50"/>
      <c r="P167" s="50"/>
      <c r="Q167" s="50"/>
      <c r="R167" s="50"/>
      <c r="S167" s="50"/>
      <c r="T167" s="50"/>
      <c r="U167" s="50"/>
      <c r="V167" s="50"/>
      <c r="W167" s="50"/>
      <c r="X167" s="50"/>
      <c r="Y167" s="50"/>
      <c r="Z167" s="50"/>
      <c r="AA167" s="50"/>
      <c r="AB167" s="50"/>
      <c r="AC167" s="50"/>
      <c r="AD167" s="50"/>
    </row>
    <row r="168" spans="15:30" ht="12" customHeight="1" x14ac:dyDescent="0.25">
      <c r="O168" s="50"/>
      <c r="P168" s="50"/>
      <c r="Q168" s="50"/>
      <c r="R168" s="50"/>
      <c r="S168" s="50"/>
      <c r="T168" s="50"/>
      <c r="U168" s="50"/>
      <c r="V168" s="50"/>
      <c r="W168" s="50"/>
      <c r="X168" s="50"/>
      <c r="Y168" s="50"/>
      <c r="Z168" s="50"/>
      <c r="AA168" s="50"/>
      <c r="AB168" s="50"/>
      <c r="AC168" s="50"/>
      <c r="AD168" s="50"/>
    </row>
    <row r="169" spans="15:30" ht="12" customHeight="1" x14ac:dyDescent="0.25">
      <c r="O169" s="50"/>
      <c r="P169" s="50"/>
      <c r="Q169" s="50"/>
      <c r="R169" s="50"/>
      <c r="S169" s="50"/>
      <c r="T169" s="50"/>
      <c r="U169" s="50"/>
      <c r="V169" s="50"/>
      <c r="W169" s="50"/>
      <c r="X169" s="50"/>
      <c r="Y169" s="50"/>
      <c r="Z169" s="50"/>
      <c r="AA169" s="50"/>
      <c r="AB169" s="50"/>
      <c r="AC169" s="50"/>
      <c r="AD169" s="50"/>
    </row>
    <row r="170" spans="15:30" ht="12" customHeight="1" x14ac:dyDescent="0.25">
      <c r="O170" s="50"/>
      <c r="P170" s="50"/>
      <c r="Q170" s="50"/>
      <c r="R170" s="50"/>
      <c r="S170" s="50"/>
      <c r="T170" s="50"/>
      <c r="U170" s="50"/>
      <c r="V170" s="50"/>
      <c r="W170" s="50"/>
      <c r="X170" s="50"/>
      <c r="Y170" s="50"/>
      <c r="Z170" s="50"/>
      <c r="AA170" s="50"/>
      <c r="AB170" s="50"/>
      <c r="AC170" s="50"/>
      <c r="AD170" s="50"/>
    </row>
    <row r="171" spans="15:30" ht="12" customHeight="1" x14ac:dyDescent="0.25">
      <c r="O171" s="50"/>
      <c r="P171" s="50"/>
      <c r="Q171" s="50"/>
      <c r="R171" s="50"/>
      <c r="S171" s="50"/>
      <c r="T171" s="50"/>
      <c r="U171" s="50"/>
      <c r="V171" s="50"/>
      <c r="W171" s="50"/>
      <c r="X171" s="50"/>
      <c r="Y171" s="50"/>
      <c r="Z171" s="50"/>
      <c r="AA171" s="50"/>
      <c r="AB171" s="50"/>
      <c r="AC171" s="50"/>
      <c r="AD171" s="50"/>
    </row>
    <row r="172" spans="15:30" ht="12" customHeight="1" x14ac:dyDescent="0.25">
      <c r="O172" s="50"/>
      <c r="P172" s="50"/>
      <c r="Q172" s="50"/>
      <c r="R172" s="50"/>
      <c r="S172" s="50"/>
      <c r="T172" s="50"/>
      <c r="U172" s="50"/>
      <c r="V172" s="50"/>
      <c r="W172" s="50"/>
      <c r="X172" s="50"/>
      <c r="Y172" s="50"/>
      <c r="Z172" s="50"/>
      <c r="AA172" s="50"/>
      <c r="AB172" s="50"/>
      <c r="AC172" s="50"/>
      <c r="AD172" s="50"/>
    </row>
    <row r="173" spans="15:30" ht="12" customHeight="1" x14ac:dyDescent="0.25">
      <c r="O173" s="50"/>
      <c r="P173" s="50"/>
      <c r="Q173" s="50"/>
      <c r="R173" s="50"/>
      <c r="S173" s="50"/>
      <c r="T173" s="50"/>
      <c r="U173" s="50"/>
      <c r="V173" s="50"/>
      <c r="W173" s="50"/>
      <c r="X173" s="50"/>
      <c r="Y173" s="50"/>
      <c r="Z173" s="50"/>
      <c r="AA173" s="50"/>
      <c r="AB173" s="50"/>
      <c r="AC173" s="50"/>
      <c r="AD173" s="50"/>
    </row>
    <row r="174" spans="15:30" ht="12" customHeight="1" x14ac:dyDescent="0.25">
      <c r="O174" s="50"/>
      <c r="P174" s="50"/>
      <c r="Q174" s="50"/>
      <c r="R174" s="50"/>
      <c r="S174" s="50"/>
      <c r="T174" s="50"/>
      <c r="U174" s="50"/>
      <c r="V174" s="50"/>
      <c r="W174" s="50"/>
      <c r="X174" s="50"/>
      <c r="Y174" s="50"/>
      <c r="Z174" s="50"/>
      <c r="AA174" s="50"/>
      <c r="AB174" s="50"/>
      <c r="AC174" s="50"/>
      <c r="AD174" s="50"/>
    </row>
    <row r="175" spans="15:30" ht="12" customHeight="1" x14ac:dyDescent="0.25">
      <c r="O175" s="50"/>
      <c r="P175" s="50"/>
      <c r="Q175" s="50"/>
      <c r="R175" s="50"/>
      <c r="S175" s="50"/>
      <c r="T175" s="50"/>
      <c r="U175" s="50"/>
      <c r="V175" s="50"/>
      <c r="W175" s="50"/>
      <c r="X175" s="50"/>
      <c r="Y175" s="50"/>
      <c r="Z175" s="50"/>
      <c r="AA175" s="50"/>
      <c r="AB175" s="50"/>
      <c r="AC175" s="50"/>
      <c r="AD175" s="50"/>
    </row>
    <row r="176" spans="15:30" ht="12" customHeight="1" x14ac:dyDescent="0.25">
      <c r="O176" s="50"/>
      <c r="P176" s="50"/>
      <c r="Q176" s="50"/>
      <c r="R176" s="50"/>
      <c r="S176" s="50"/>
      <c r="T176" s="50"/>
      <c r="U176" s="50"/>
      <c r="V176" s="50"/>
      <c r="W176" s="50"/>
      <c r="X176" s="50"/>
      <c r="Y176" s="50"/>
      <c r="Z176" s="50"/>
      <c r="AA176" s="50"/>
      <c r="AB176" s="50"/>
      <c r="AC176" s="50"/>
      <c r="AD176" s="50"/>
    </row>
    <row r="177" spans="15:30" ht="12" customHeight="1" x14ac:dyDescent="0.25">
      <c r="O177" s="50"/>
      <c r="P177" s="50"/>
      <c r="Q177" s="50"/>
      <c r="R177" s="50"/>
      <c r="S177" s="50"/>
      <c r="T177" s="50"/>
      <c r="U177" s="50"/>
      <c r="V177" s="50"/>
      <c r="W177" s="50"/>
      <c r="X177" s="50"/>
      <c r="Y177" s="50"/>
      <c r="Z177" s="50"/>
      <c r="AA177" s="50"/>
      <c r="AB177" s="50"/>
      <c r="AC177" s="50"/>
      <c r="AD177" s="50"/>
    </row>
    <row r="178" spans="15:30" ht="12" customHeight="1" x14ac:dyDescent="0.25">
      <c r="O178" s="50"/>
      <c r="P178" s="50"/>
      <c r="Q178" s="50"/>
      <c r="R178" s="50"/>
      <c r="S178" s="50"/>
      <c r="T178" s="50"/>
      <c r="U178" s="50"/>
      <c r="V178" s="50"/>
      <c r="W178" s="50"/>
      <c r="X178" s="50"/>
      <c r="Y178" s="50"/>
      <c r="Z178" s="50"/>
      <c r="AA178" s="50"/>
      <c r="AB178" s="50"/>
      <c r="AC178" s="50"/>
      <c r="AD178" s="50"/>
    </row>
    <row r="179" spans="15:30" ht="12" customHeight="1" x14ac:dyDescent="0.25">
      <c r="O179" s="50"/>
      <c r="P179" s="50"/>
      <c r="Q179" s="50"/>
      <c r="R179" s="50"/>
      <c r="S179" s="50"/>
      <c r="T179" s="50"/>
      <c r="U179" s="50"/>
      <c r="V179" s="50"/>
      <c r="W179" s="50"/>
      <c r="X179" s="50"/>
      <c r="Y179" s="50"/>
      <c r="Z179" s="50"/>
      <c r="AA179" s="50"/>
      <c r="AB179" s="50"/>
      <c r="AC179" s="50"/>
      <c r="AD179" s="50"/>
    </row>
    <row r="180" spans="15:30" ht="12" customHeight="1" x14ac:dyDescent="0.25">
      <c r="O180" s="50"/>
      <c r="P180" s="50"/>
      <c r="Q180" s="50"/>
      <c r="R180" s="50"/>
      <c r="S180" s="50"/>
      <c r="T180" s="50"/>
      <c r="U180" s="50"/>
      <c r="V180" s="50"/>
      <c r="W180" s="50"/>
      <c r="X180" s="50"/>
      <c r="Y180" s="50"/>
      <c r="Z180" s="50"/>
      <c r="AA180" s="50"/>
      <c r="AB180" s="50"/>
      <c r="AC180" s="50"/>
      <c r="AD180" s="50"/>
    </row>
    <row r="181" spans="15:30" ht="12" customHeight="1" x14ac:dyDescent="0.25">
      <c r="O181" s="50"/>
      <c r="P181" s="50"/>
      <c r="Q181" s="50"/>
      <c r="R181" s="50"/>
      <c r="S181" s="50"/>
      <c r="T181" s="50"/>
      <c r="U181" s="50"/>
      <c r="V181" s="50"/>
      <c r="W181" s="50"/>
      <c r="X181" s="50"/>
      <c r="Y181" s="50"/>
      <c r="Z181" s="50"/>
      <c r="AA181" s="50"/>
      <c r="AB181" s="50"/>
      <c r="AC181" s="50"/>
      <c r="AD181" s="50"/>
    </row>
    <row r="182" spans="15:30" ht="12" customHeight="1" x14ac:dyDescent="0.25">
      <c r="O182" s="50"/>
      <c r="P182" s="50"/>
      <c r="Q182" s="50"/>
      <c r="R182" s="50"/>
      <c r="S182" s="50"/>
      <c r="T182" s="50"/>
      <c r="U182" s="50"/>
      <c r="V182" s="50"/>
      <c r="W182" s="50"/>
      <c r="X182" s="50"/>
      <c r="Y182" s="50"/>
      <c r="Z182" s="50"/>
      <c r="AA182" s="50"/>
      <c r="AB182" s="50"/>
      <c r="AC182" s="50"/>
      <c r="AD182" s="50"/>
    </row>
    <row r="183" spans="15:30" ht="12" customHeight="1" x14ac:dyDescent="0.25">
      <c r="O183" s="50"/>
      <c r="P183" s="50"/>
      <c r="Q183" s="50"/>
      <c r="R183" s="50"/>
      <c r="S183" s="50"/>
      <c r="T183" s="50"/>
      <c r="U183" s="50"/>
      <c r="V183" s="50"/>
      <c r="W183" s="50"/>
      <c r="X183" s="50"/>
      <c r="Y183" s="50"/>
      <c r="Z183" s="50"/>
      <c r="AA183" s="50"/>
      <c r="AB183" s="50"/>
      <c r="AC183" s="50"/>
      <c r="AD183" s="50"/>
    </row>
    <row r="184" spans="15:30" ht="12" customHeight="1" x14ac:dyDescent="0.25">
      <c r="O184" s="50"/>
      <c r="P184" s="50"/>
      <c r="Q184" s="50"/>
      <c r="R184" s="50"/>
      <c r="S184" s="50"/>
      <c r="T184" s="50"/>
      <c r="U184" s="50"/>
      <c r="V184" s="50"/>
      <c r="W184" s="50"/>
      <c r="X184" s="50"/>
      <c r="Y184" s="50"/>
      <c r="Z184" s="50"/>
      <c r="AA184" s="50"/>
      <c r="AB184" s="50"/>
      <c r="AC184" s="50"/>
      <c r="AD184" s="50"/>
    </row>
    <row r="185" spans="15:30" ht="12" customHeight="1" x14ac:dyDescent="0.25">
      <c r="O185" s="50"/>
      <c r="P185" s="50"/>
      <c r="Q185" s="50"/>
      <c r="R185" s="50"/>
      <c r="S185" s="50"/>
      <c r="T185" s="50"/>
      <c r="U185" s="50"/>
      <c r="V185" s="50"/>
      <c r="W185" s="50"/>
      <c r="X185" s="50"/>
      <c r="Y185" s="50"/>
      <c r="Z185" s="50"/>
      <c r="AA185" s="50"/>
      <c r="AB185" s="50"/>
      <c r="AC185" s="50"/>
      <c r="AD185" s="50"/>
    </row>
    <row r="186" spans="15:30" ht="12" customHeight="1" x14ac:dyDescent="0.25">
      <c r="O186" s="50"/>
      <c r="P186" s="50"/>
      <c r="Q186" s="50"/>
      <c r="R186" s="50"/>
      <c r="S186" s="50"/>
      <c r="T186" s="50"/>
      <c r="U186" s="50"/>
      <c r="V186" s="50"/>
      <c r="W186" s="50"/>
      <c r="X186" s="50"/>
      <c r="Y186" s="50"/>
      <c r="Z186" s="50"/>
      <c r="AA186" s="50"/>
      <c r="AB186" s="50"/>
      <c r="AC186" s="50"/>
      <c r="AD186" s="50"/>
    </row>
    <row r="187" spans="15:30" ht="12" customHeight="1" x14ac:dyDescent="0.25">
      <c r="O187" s="50"/>
      <c r="P187" s="50"/>
      <c r="Q187" s="50"/>
      <c r="R187" s="50"/>
      <c r="S187" s="50"/>
      <c r="T187" s="50"/>
      <c r="U187" s="50"/>
      <c r="V187" s="50"/>
      <c r="W187" s="50"/>
      <c r="X187" s="50"/>
      <c r="Y187" s="50"/>
      <c r="Z187" s="50"/>
      <c r="AA187" s="50"/>
      <c r="AB187" s="50"/>
      <c r="AC187" s="50"/>
      <c r="AD187" s="50"/>
    </row>
    <row r="188" spans="15:30" ht="12" customHeight="1" x14ac:dyDescent="0.25">
      <c r="O188" s="50"/>
      <c r="P188" s="50"/>
      <c r="Q188" s="50"/>
      <c r="R188" s="50"/>
      <c r="S188" s="50"/>
      <c r="T188" s="50"/>
      <c r="U188" s="50"/>
      <c r="V188" s="50"/>
      <c r="W188" s="50"/>
      <c r="X188" s="50"/>
      <c r="Y188" s="50"/>
      <c r="Z188" s="50"/>
      <c r="AA188" s="50"/>
      <c r="AB188" s="50"/>
      <c r="AC188" s="50"/>
      <c r="AD188" s="50"/>
    </row>
    <row r="189" spans="15:30" ht="12" customHeight="1" x14ac:dyDescent="0.25">
      <c r="O189" s="50"/>
      <c r="P189" s="50"/>
      <c r="Q189" s="50"/>
      <c r="R189" s="50"/>
      <c r="S189" s="50"/>
      <c r="T189" s="50"/>
      <c r="U189" s="50"/>
      <c r="V189" s="50"/>
      <c r="W189" s="50"/>
      <c r="X189" s="50"/>
      <c r="Y189" s="50"/>
      <c r="Z189" s="50"/>
      <c r="AA189" s="50"/>
      <c r="AB189" s="50"/>
      <c r="AC189" s="50"/>
      <c r="AD189" s="50"/>
    </row>
    <row r="190" spans="15:30" ht="12" customHeight="1" x14ac:dyDescent="0.25">
      <c r="O190" s="50"/>
      <c r="P190" s="50"/>
      <c r="Q190" s="50"/>
      <c r="R190" s="50"/>
      <c r="S190" s="50"/>
      <c r="T190" s="50"/>
      <c r="U190" s="50"/>
      <c r="V190" s="50"/>
      <c r="W190" s="50"/>
      <c r="X190" s="50"/>
      <c r="Y190" s="50"/>
      <c r="Z190" s="50"/>
      <c r="AA190" s="50"/>
      <c r="AB190" s="50"/>
      <c r="AC190" s="50"/>
      <c r="AD190" s="50"/>
    </row>
    <row r="191" spans="15:30" ht="12" customHeight="1" x14ac:dyDescent="0.25">
      <c r="O191" s="50"/>
      <c r="P191" s="50"/>
      <c r="Q191" s="50"/>
      <c r="R191" s="50"/>
      <c r="S191" s="50"/>
      <c r="T191" s="50"/>
      <c r="U191" s="50"/>
      <c r="V191" s="50"/>
      <c r="W191" s="50"/>
      <c r="X191" s="50"/>
      <c r="Y191" s="50"/>
      <c r="Z191" s="50"/>
      <c r="AA191" s="50"/>
      <c r="AB191" s="50"/>
      <c r="AC191" s="50"/>
      <c r="AD191" s="50"/>
    </row>
    <row r="192" spans="15:30" ht="12" customHeight="1" x14ac:dyDescent="0.25">
      <c r="O192" s="50"/>
      <c r="P192" s="50"/>
      <c r="Q192" s="50"/>
      <c r="R192" s="50"/>
      <c r="S192" s="50"/>
      <c r="T192" s="50"/>
      <c r="U192" s="50"/>
      <c r="V192" s="50"/>
      <c r="W192" s="50"/>
      <c r="X192" s="50"/>
      <c r="Y192" s="50"/>
      <c r="Z192" s="50"/>
      <c r="AA192" s="50"/>
      <c r="AB192" s="50"/>
      <c r="AC192" s="50"/>
      <c r="AD192" s="50"/>
    </row>
    <row r="193" spans="15:30" ht="12" customHeight="1" x14ac:dyDescent="0.25">
      <c r="O193" s="50"/>
      <c r="P193" s="50"/>
      <c r="Q193" s="50"/>
      <c r="R193" s="50"/>
      <c r="S193" s="50"/>
      <c r="T193" s="50"/>
      <c r="U193" s="50"/>
      <c r="V193" s="50"/>
      <c r="W193" s="50"/>
      <c r="X193" s="50"/>
      <c r="Y193" s="50"/>
      <c r="Z193" s="50"/>
      <c r="AA193" s="50"/>
      <c r="AB193" s="50"/>
      <c r="AC193" s="50"/>
      <c r="AD193" s="50"/>
    </row>
    <row r="194" spans="15:30" ht="12" customHeight="1" x14ac:dyDescent="0.25">
      <c r="O194" s="50"/>
      <c r="P194" s="50"/>
      <c r="Q194" s="50"/>
      <c r="R194" s="50"/>
      <c r="S194" s="50"/>
      <c r="T194" s="50"/>
      <c r="U194" s="50"/>
      <c r="V194" s="50"/>
      <c r="W194" s="50"/>
      <c r="X194" s="50"/>
      <c r="Y194" s="50"/>
      <c r="Z194" s="50"/>
      <c r="AA194" s="50"/>
      <c r="AB194" s="50"/>
      <c r="AC194" s="50"/>
      <c r="AD194" s="50"/>
    </row>
    <row r="195" spans="15:30" ht="12" customHeight="1" x14ac:dyDescent="0.25">
      <c r="O195" s="50"/>
      <c r="P195" s="50"/>
      <c r="Q195" s="50"/>
      <c r="R195" s="50"/>
      <c r="S195" s="50"/>
      <c r="T195" s="50"/>
      <c r="U195" s="50"/>
      <c r="V195" s="50"/>
      <c r="W195" s="50"/>
      <c r="X195" s="50"/>
      <c r="Y195" s="50"/>
      <c r="Z195" s="50"/>
      <c r="AA195" s="50"/>
      <c r="AB195" s="50"/>
      <c r="AC195" s="50"/>
      <c r="AD195" s="50"/>
    </row>
    <row r="196" spans="15:30" ht="12" customHeight="1" x14ac:dyDescent="0.25">
      <c r="O196" s="50"/>
      <c r="P196" s="50"/>
      <c r="Q196" s="50"/>
      <c r="R196" s="50"/>
      <c r="S196" s="50"/>
      <c r="T196" s="50"/>
      <c r="U196" s="50"/>
      <c r="V196" s="50"/>
      <c r="W196" s="50"/>
      <c r="X196" s="50"/>
      <c r="Y196" s="50"/>
      <c r="Z196" s="50"/>
      <c r="AA196" s="50"/>
      <c r="AB196" s="50"/>
      <c r="AC196" s="50"/>
      <c r="AD196" s="50"/>
    </row>
    <row r="197" spans="15:30" ht="12" customHeight="1" x14ac:dyDescent="0.25">
      <c r="O197" s="50"/>
      <c r="P197" s="50"/>
      <c r="Q197" s="50"/>
      <c r="R197" s="50"/>
      <c r="S197" s="50"/>
      <c r="T197" s="50"/>
      <c r="U197" s="50"/>
      <c r="V197" s="50"/>
      <c r="W197" s="50"/>
      <c r="X197" s="50"/>
      <c r="Y197" s="50"/>
      <c r="Z197" s="50"/>
      <c r="AA197" s="50"/>
      <c r="AB197" s="50"/>
      <c r="AC197" s="50"/>
      <c r="AD197" s="50"/>
    </row>
    <row r="198" spans="15:30" ht="12" customHeight="1" x14ac:dyDescent="0.25">
      <c r="O198" s="50"/>
      <c r="P198" s="50"/>
      <c r="Q198" s="50"/>
      <c r="R198" s="50"/>
      <c r="S198" s="50"/>
      <c r="T198" s="50"/>
      <c r="U198" s="50"/>
      <c r="V198" s="50"/>
      <c r="W198" s="50"/>
      <c r="X198" s="50"/>
      <c r="Y198" s="50"/>
      <c r="Z198" s="50"/>
      <c r="AA198" s="50"/>
      <c r="AB198" s="50"/>
      <c r="AC198" s="50"/>
      <c r="AD198" s="50"/>
    </row>
    <row r="199" spans="15:30" ht="12" customHeight="1" x14ac:dyDescent="0.25">
      <c r="O199" s="50"/>
      <c r="P199" s="50"/>
      <c r="Q199" s="50"/>
      <c r="R199" s="50"/>
      <c r="S199" s="50"/>
      <c r="T199" s="50"/>
      <c r="U199" s="50"/>
      <c r="V199" s="50"/>
      <c r="W199" s="50"/>
      <c r="X199" s="50"/>
      <c r="Y199" s="50"/>
      <c r="Z199" s="50"/>
      <c r="AA199" s="50"/>
      <c r="AB199" s="50"/>
      <c r="AC199" s="50"/>
      <c r="AD199" s="50"/>
    </row>
    <row r="200" spans="15:30" ht="12" customHeight="1" x14ac:dyDescent="0.25">
      <c r="O200" s="50"/>
      <c r="P200" s="50"/>
      <c r="Q200" s="50"/>
      <c r="R200" s="50"/>
      <c r="S200" s="50"/>
      <c r="T200" s="50"/>
      <c r="U200" s="50"/>
      <c r="V200" s="50"/>
      <c r="W200" s="50"/>
      <c r="X200" s="50"/>
      <c r="Y200" s="50"/>
      <c r="Z200" s="50"/>
      <c r="AA200" s="50"/>
      <c r="AB200" s="50"/>
      <c r="AC200" s="50"/>
      <c r="AD200" s="50"/>
    </row>
  </sheetData>
  <mergeCells count="19">
    <mergeCell ref="O1:U1"/>
    <mergeCell ref="A47:C47"/>
    <mergeCell ref="A48:C48"/>
    <mergeCell ref="A46:C46"/>
    <mergeCell ref="L1:M1"/>
    <mergeCell ref="A2:A29"/>
    <mergeCell ref="A30:A45"/>
    <mergeCell ref="B2:B10"/>
    <mergeCell ref="B11:B18"/>
    <mergeCell ref="B19:B20"/>
    <mergeCell ref="B21:B23"/>
    <mergeCell ref="B24:B28"/>
    <mergeCell ref="B29:C29"/>
    <mergeCell ref="B30:B34"/>
    <mergeCell ref="B35:B36"/>
    <mergeCell ref="B37:B40"/>
    <mergeCell ref="B41:B42"/>
    <mergeCell ref="B43:B44"/>
    <mergeCell ref="B45:C45"/>
  </mergeCells>
  <pageMargins left="0.511811024" right="0.511811024" top="0.78740157499999996" bottom="0.78740157499999996" header="0.31496062000000002" footer="0.31496062000000002"/>
  <pageSetup paperSize="9" orientation="portrait" horizontalDpi="300" verticalDpi="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D73A9-71C3-40CB-AE67-5C60F4FED510}">
  <dimension ref="A1:AP51"/>
  <sheetViews>
    <sheetView showGridLines="0" topLeftCell="A29" workbookViewId="0">
      <selection activeCell="K62" sqref="K62:P62"/>
    </sheetView>
  </sheetViews>
  <sheetFormatPr defaultRowHeight="11.25" customHeight="1" x14ac:dyDescent="0.25"/>
  <cols>
    <col min="1" max="1" width="9.28515625" style="9" bestFit="1" customWidth="1"/>
    <col min="2" max="2" width="21.5703125" style="9" bestFit="1" customWidth="1"/>
    <col min="3" max="3" width="13.5703125" style="9" bestFit="1" customWidth="1"/>
    <col min="4" max="4" width="25.140625" style="9" bestFit="1" customWidth="1"/>
    <col min="5" max="6" width="10.28515625" style="9" bestFit="1" customWidth="1"/>
    <col min="7" max="7" width="6.28515625" style="9" bestFit="1" customWidth="1"/>
    <col min="8" max="8" width="7.42578125" style="9" bestFit="1" customWidth="1"/>
    <col min="9" max="9" width="7.85546875" style="9" bestFit="1" customWidth="1"/>
    <col min="10" max="10" width="9.140625" style="9"/>
    <col min="11" max="11" width="14.28515625" style="9" bestFit="1" customWidth="1"/>
    <col min="12" max="12" width="13.42578125" style="9" bestFit="1" customWidth="1"/>
    <col min="13" max="13" width="10.42578125" style="9" bestFit="1" customWidth="1"/>
    <col min="14" max="14" width="11.7109375" style="9" bestFit="1" customWidth="1"/>
    <col min="15" max="16" width="9" style="9" bestFit="1" customWidth="1"/>
    <col min="17" max="17" width="10" style="9" bestFit="1" customWidth="1"/>
    <col min="18" max="19" width="8.7109375" style="9" bestFit="1" customWidth="1"/>
    <col min="20" max="20" width="10" style="9" bestFit="1" customWidth="1"/>
    <col min="21" max="21" width="7.42578125" style="9" bestFit="1" customWidth="1"/>
    <col min="22" max="22" width="7.28515625" style="9" bestFit="1" customWidth="1"/>
    <col min="23" max="24" width="9.85546875" style="9" bestFit="1" customWidth="1"/>
    <col min="25" max="25" width="10" style="9" bestFit="1" customWidth="1"/>
    <col min="26" max="26" width="7.7109375" style="9" bestFit="1" customWidth="1"/>
    <col min="27" max="27" width="9.85546875" style="9" bestFit="1" customWidth="1"/>
    <col min="28" max="28" width="10" style="9" bestFit="1" customWidth="1"/>
    <col min="29" max="29" width="11.7109375" style="9" bestFit="1" customWidth="1"/>
    <col min="30" max="30" width="10.85546875" style="9" bestFit="1" customWidth="1"/>
    <col min="31" max="31" width="8" style="9" bestFit="1" customWidth="1"/>
    <col min="32" max="32" width="7.28515625" style="9" bestFit="1" customWidth="1"/>
    <col min="33" max="33" width="9.28515625" style="9" bestFit="1" customWidth="1"/>
    <col min="34" max="34" width="15.28515625" style="9" bestFit="1" customWidth="1"/>
    <col min="35" max="35" width="18" style="9" bestFit="1" customWidth="1"/>
    <col min="36" max="36" width="19.140625" style="9" bestFit="1" customWidth="1"/>
    <col min="37" max="37" width="4" style="9" bestFit="1" customWidth="1"/>
    <col min="38" max="38" width="10" style="9" bestFit="1" customWidth="1"/>
    <col min="39" max="39" width="10.85546875" style="9" bestFit="1" customWidth="1"/>
    <col min="40" max="41" width="9.140625" style="9"/>
    <col min="42" max="42" width="7.85546875" style="9" bestFit="1" customWidth="1"/>
    <col min="43" max="16384" width="9.140625" style="9"/>
  </cols>
  <sheetData>
    <row r="1" spans="1:42" ht="11.25" customHeight="1" x14ac:dyDescent="0.25">
      <c r="A1" s="130" t="s">
        <v>61</v>
      </c>
      <c r="B1" s="130" t="s">
        <v>62</v>
      </c>
      <c r="C1" s="130" t="s">
        <v>63</v>
      </c>
      <c r="D1" s="130" t="s">
        <v>64</v>
      </c>
      <c r="E1" s="130" t="s">
        <v>65</v>
      </c>
      <c r="F1" s="130" t="s">
        <v>15</v>
      </c>
      <c r="G1" s="130" t="s">
        <v>67</v>
      </c>
      <c r="H1" s="130" t="s">
        <v>68</v>
      </c>
      <c r="I1" s="130" t="s">
        <v>545</v>
      </c>
      <c r="J1" s="124"/>
      <c r="L1" s="131" t="s">
        <v>546</v>
      </c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1"/>
      <c r="Y1" s="131"/>
      <c r="Z1" s="131"/>
      <c r="AA1" s="131"/>
      <c r="AB1" s="131"/>
      <c r="AC1" s="131"/>
      <c r="AD1" s="131"/>
      <c r="AE1" s="131"/>
      <c r="AF1" s="131"/>
      <c r="AG1" s="131"/>
      <c r="AH1" s="131"/>
      <c r="AI1" s="131"/>
      <c r="AJ1" s="131"/>
      <c r="AK1" s="131"/>
      <c r="AL1" s="131"/>
      <c r="AM1" s="131"/>
      <c r="AP1" s="131" t="s">
        <v>547</v>
      </c>
    </row>
    <row r="2" spans="1:42" ht="11.25" customHeight="1" x14ac:dyDescent="0.25">
      <c r="A2" s="130"/>
      <c r="B2" s="130"/>
      <c r="C2" s="130"/>
      <c r="D2" s="130"/>
      <c r="E2" s="130"/>
      <c r="F2" s="130"/>
      <c r="G2" s="130"/>
      <c r="H2" s="130"/>
      <c r="I2" s="130"/>
      <c r="J2" s="124"/>
      <c r="L2" s="131" t="s">
        <v>445</v>
      </c>
      <c r="M2" s="131"/>
      <c r="N2" s="131"/>
      <c r="O2" s="131"/>
      <c r="P2" s="131"/>
      <c r="Q2" s="131"/>
      <c r="R2" s="131"/>
      <c r="S2" s="131"/>
      <c r="T2" s="131"/>
      <c r="U2" s="131"/>
      <c r="V2" s="131"/>
      <c r="W2" s="131"/>
      <c r="X2" s="131"/>
      <c r="Y2" s="131"/>
      <c r="Z2" s="131"/>
      <c r="AA2" s="131"/>
      <c r="AB2" s="131"/>
      <c r="AC2" s="131"/>
      <c r="AD2" s="131"/>
      <c r="AE2" s="131"/>
      <c r="AF2" s="131"/>
      <c r="AG2" s="131"/>
      <c r="AH2" s="131"/>
      <c r="AI2" s="131"/>
      <c r="AJ2" s="131"/>
      <c r="AK2" s="131"/>
      <c r="AL2" s="131"/>
      <c r="AM2" s="131"/>
      <c r="AP2" s="132"/>
    </row>
    <row r="3" spans="1:42" ht="11.25" customHeight="1" x14ac:dyDescent="0.25">
      <c r="A3" s="130"/>
      <c r="B3" s="130"/>
      <c r="C3" s="130"/>
      <c r="D3" s="130"/>
      <c r="E3" s="130"/>
      <c r="F3" s="130"/>
      <c r="G3" s="130"/>
      <c r="H3" s="130"/>
      <c r="I3" s="130"/>
      <c r="J3" s="124"/>
      <c r="L3" s="131" t="s">
        <v>446</v>
      </c>
      <c r="M3" s="131"/>
      <c r="N3" s="131"/>
      <c r="O3" s="131"/>
      <c r="P3" s="131"/>
      <c r="Q3" s="131"/>
      <c r="R3" s="131"/>
      <c r="S3" s="131"/>
      <c r="T3" s="131"/>
      <c r="U3" s="131" t="s">
        <v>455</v>
      </c>
      <c r="V3" s="131"/>
      <c r="W3" s="131"/>
      <c r="X3" s="131"/>
      <c r="Y3" s="131"/>
      <c r="Z3" s="131"/>
      <c r="AA3" s="131"/>
      <c r="AB3" s="131"/>
      <c r="AC3" s="131" t="s">
        <v>463</v>
      </c>
      <c r="AD3" s="131"/>
      <c r="AE3" s="131" t="s">
        <v>465</v>
      </c>
      <c r="AF3" s="131"/>
      <c r="AG3" s="131"/>
      <c r="AH3" s="131" t="s">
        <v>468</v>
      </c>
      <c r="AI3" s="131"/>
      <c r="AJ3" s="131"/>
      <c r="AK3" s="131"/>
      <c r="AL3" s="131"/>
      <c r="AM3" s="131" t="s">
        <v>454</v>
      </c>
      <c r="AP3" s="132"/>
    </row>
    <row r="4" spans="1:42" ht="11.25" customHeight="1" x14ac:dyDescent="0.25">
      <c r="A4" s="130"/>
      <c r="B4" s="130"/>
      <c r="C4" s="130"/>
      <c r="D4" s="130"/>
      <c r="E4" s="130"/>
      <c r="F4" s="130"/>
      <c r="G4" s="130"/>
      <c r="H4" s="130"/>
      <c r="I4" s="130"/>
      <c r="J4" s="124"/>
      <c r="L4" s="41" t="s">
        <v>530</v>
      </c>
      <c r="M4" s="41" t="s">
        <v>447</v>
      </c>
      <c r="N4" s="41" t="s">
        <v>448</v>
      </c>
      <c r="O4" s="41" t="s">
        <v>449</v>
      </c>
      <c r="P4" s="41" t="s">
        <v>450</v>
      </c>
      <c r="Q4" s="41" t="s">
        <v>451</v>
      </c>
      <c r="R4" s="41" t="s">
        <v>452</v>
      </c>
      <c r="S4" s="41" t="s">
        <v>453</v>
      </c>
      <c r="T4" s="41" t="s">
        <v>454</v>
      </c>
      <c r="U4" s="41" t="s">
        <v>456</v>
      </c>
      <c r="V4" s="41" t="s">
        <v>457</v>
      </c>
      <c r="W4" s="41" t="s">
        <v>458</v>
      </c>
      <c r="X4" s="41" t="s">
        <v>459</v>
      </c>
      <c r="Y4" s="41" t="s">
        <v>460</v>
      </c>
      <c r="Z4" s="41" t="s">
        <v>461</v>
      </c>
      <c r="AA4" s="41" t="s">
        <v>462</v>
      </c>
      <c r="AB4" s="41" t="s">
        <v>454</v>
      </c>
      <c r="AC4" s="41" t="s">
        <v>464</v>
      </c>
      <c r="AD4" s="41" t="s">
        <v>454</v>
      </c>
      <c r="AE4" s="41" t="s">
        <v>466</v>
      </c>
      <c r="AF4" s="41" t="s">
        <v>467</v>
      </c>
      <c r="AG4" s="41" t="s">
        <v>454</v>
      </c>
      <c r="AH4" s="41" t="s">
        <v>469</v>
      </c>
      <c r="AI4" s="41" t="s">
        <v>470</v>
      </c>
      <c r="AJ4" s="41" t="s">
        <v>471</v>
      </c>
      <c r="AK4" s="41" t="s">
        <v>472</v>
      </c>
      <c r="AL4" s="41" t="s">
        <v>454</v>
      </c>
      <c r="AM4" s="133"/>
      <c r="AP4" s="132"/>
    </row>
    <row r="5" spans="1:42" ht="11.25" customHeight="1" x14ac:dyDescent="0.25">
      <c r="A5" s="134" t="s">
        <v>33</v>
      </c>
      <c r="B5" s="134" t="s">
        <v>41</v>
      </c>
      <c r="C5" s="134" t="s">
        <v>25</v>
      </c>
      <c r="D5" s="134" t="s">
        <v>25</v>
      </c>
      <c r="E5" s="134" t="s">
        <v>25</v>
      </c>
      <c r="F5" s="134" t="s">
        <v>25</v>
      </c>
      <c r="G5" s="21" t="s">
        <v>77</v>
      </c>
      <c r="H5" s="21" t="s">
        <v>76</v>
      </c>
      <c r="I5" s="21">
        <f>'MERCADO TUSD'!$U$2</f>
        <v>384</v>
      </c>
      <c r="J5" s="17"/>
      <c r="L5" s="39"/>
      <c r="M5" s="39"/>
      <c r="N5" s="39"/>
      <c r="O5" s="39"/>
      <c r="P5" s="39"/>
      <c r="Q5" s="39"/>
      <c r="R5" s="39"/>
      <c r="S5" s="39"/>
      <c r="T5" s="39"/>
      <c r="U5" s="39">
        <v>0</v>
      </c>
      <c r="V5" s="39">
        <v>0</v>
      </c>
      <c r="W5" s="39">
        <v>0</v>
      </c>
      <c r="X5" s="39">
        <v>0</v>
      </c>
      <c r="Y5" s="39">
        <v>4.7234999999999996</v>
      </c>
      <c r="Z5" s="39">
        <v>0</v>
      </c>
      <c r="AA5" s="39">
        <v>0</v>
      </c>
      <c r="AB5" s="39"/>
      <c r="AC5" s="39">
        <v>60.879199999999997</v>
      </c>
      <c r="AD5" s="39"/>
      <c r="AE5" s="39"/>
      <c r="AF5" s="39"/>
      <c r="AG5" s="39"/>
      <c r="AH5" s="39"/>
      <c r="AI5" s="39"/>
      <c r="AJ5" s="39"/>
      <c r="AK5" s="39"/>
      <c r="AL5" s="39"/>
      <c r="AM5" s="39"/>
      <c r="AP5" s="39">
        <v>1</v>
      </c>
    </row>
    <row r="6" spans="1:42" ht="11.25" customHeight="1" x14ac:dyDescent="0.25">
      <c r="A6" s="134"/>
      <c r="B6" s="134"/>
      <c r="C6" s="134"/>
      <c r="D6" s="134"/>
      <c r="E6" s="134"/>
      <c r="F6" s="134"/>
      <c r="G6" s="21" t="s">
        <v>78</v>
      </c>
      <c r="H6" s="21" t="s">
        <v>76</v>
      </c>
      <c r="I6" s="21">
        <f>'MERCADO TUSD'!$U$3</f>
        <v>1095</v>
      </c>
      <c r="J6" s="17"/>
      <c r="L6" s="39"/>
      <c r="M6" s="39"/>
      <c r="N6" s="39"/>
      <c r="O6" s="39"/>
      <c r="P6" s="39"/>
      <c r="Q6" s="39"/>
      <c r="R6" s="39"/>
      <c r="S6" s="39"/>
      <c r="T6" s="39"/>
      <c r="U6" s="39">
        <v>0</v>
      </c>
      <c r="V6" s="39">
        <v>0</v>
      </c>
      <c r="W6" s="39">
        <v>0</v>
      </c>
      <c r="X6" s="39">
        <v>0</v>
      </c>
      <c r="Y6" s="39">
        <v>2.5642</v>
      </c>
      <c r="Z6" s="39">
        <v>0</v>
      </c>
      <c r="AA6" s="39">
        <v>0</v>
      </c>
      <c r="AB6" s="39"/>
      <c r="AC6" s="39">
        <v>19.4207</v>
      </c>
      <c r="AD6" s="39"/>
      <c r="AE6" s="39"/>
      <c r="AF6" s="39"/>
      <c r="AG6" s="39"/>
      <c r="AH6" s="39"/>
      <c r="AI6" s="39"/>
      <c r="AJ6" s="39"/>
      <c r="AK6" s="39"/>
      <c r="AL6" s="39"/>
      <c r="AM6" s="39"/>
      <c r="AP6" s="39">
        <v>1</v>
      </c>
    </row>
    <row r="7" spans="1:42" ht="11.25" customHeight="1" x14ac:dyDescent="0.25">
      <c r="A7" s="134"/>
      <c r="B7" s="134"/>
      <c r="C7" s="134"/>
      <c r="D7" s="134"/>
      <c r="E7" s="134"/>
      <c r="F7" s="134"/>
      <c r="G7" s="21" t="s">
        <v>75</v>
      </c>
      <c r="H7" s="21" t="s">
        <v>71</v>
      </c>
      <c r="I7" s="21">
        <f>'MERCADO TUSD'!$U$4</f>
        <v>680.02800000000002</v>
      </c>
      <c r="J7" s="17"/>
      <c r="L7" s="39"/>
      <c r="M7" s="39"/>
      <c r="N7" s="39"/>
      <c r="O7" s="39"/>
      <c r="P7" s="39"/>
      <c r="Q7" s="39"/>
      <c r="R7" s="39"/>
      <c r="S7" s="39"/>
      <c r="T7" s="39"/>
      <c r="U7" s="39">
        <v>0</v>
      </c>
      <c r="V7" s="39">
        <v>0</v>
      </c>
      <c r="W7" s="39">
        <v>0</v>
      </c>
      <c r="X7" s="39">
        <v>0</v>
      </c>
      <c r="Y7" s="39">
        <v>0</v>
      </c>
      <c r="Z7" s="39">
        <v>0</v>
      </c>
      <c r="AA7" s="39">
        <v>0</v>
      </c>
      <c r="AB7" s="39"/>
      <c r="AC7" s="39">
        <v>0</v>
      </c>
      <c r="AD7" s="39"/>
      <c r="AE7" s="39"/>
      <c r="AF7" s="39"/>
      <c r="AG7" s="39"/>
      <c r="AH7" s="39"/>
      <c r="AI7" s="39"/>
      <c r="AJ7" s="39"/>
      <c r="AK7" s="39"/>
      <c r="AL7" s="39"/>
      <c r="AM7" s="39"/>
      <c r="AP7" s="39">
        <v>1</v>
      </c>
    </row>
    <row r="8" spans="1:42" ht="11.25" customHeight="1" x14ac:dyDescent="0.25">
      <c r="A8" s="134"/>
      <c r="B8" s="134"/>
      <c r="C8" s="134"/>
      <c r="D8" s="134"/>
      <c r="E8" s="40" t="s">
        <v>79</v>
      </c>
      <c r="F8" s="40" t="s">
        <v>25</v>
      </c>
      <c r="G8" s="21" t="s">
        <v>75</v>
      </c>
      <c r="H8" s="21" t="s">
        <v>71</v>
      </c>
      <c r="I8" s="21">
        <f>'MERCADO TUSD'!$U$5</f>
        <v>0</v>
      </c>
      <c r="J8" s="17"/>
      <c r="L8" s="39"/>
      <c r="M8" s="39"/>
      <c r="N8" s="39"/>
      <c r="O8" s="39"/>
      <c r="P8" s="39"/>
      <c r="Q8" s="39"/>
      <c r="R8" s="39"/>
      <c r="S8" s="39"/>
      <c r="T8" s="39"/>
      <c r="U8" s="39">
        <v>0</v>
      </c>
      <c r="V8" s="39">
        <v>0</v>
      </c>
      <c r="W8" s="39">
        <v>0</v>
      </c>
      <c r="X8" s="39">
        <v>0</v>
      </c>
      <c r="Y8" s="39">
        <v>0</v>
      </c>
      <c r="Z8" s="39">
        <v>0</v>
      </c>
      <c r="AA8" s="39">
        <v>0</v>
      </c>
      <c r="AB8" s="39"/>
      <c r="AC8" s="39">
        <v>0</v>
      </c>
      <c r="AD8" s="39"/>
      <c r="AE8" s="39"/>
      <c r="AF8" s="39"/>
      <c r="AG8" s="39"/>
      <c r="AH8" s="39"/>
      <c r="AI8" s="39"/>
      <c r="AJ8" s="39"/>
      <c r="AK8" s="39"/>
      <c r="AL8" s="39"/>
      <c r="AM8" s="39"/>
      <c r="AP8" s="39">
        <v>1</v>
      </c>
    </row>
    <row r="9" spans="1:42" ht="11.25" customHeight="1" x14ac:dyDescent="0.25">
      <c r="A9" s="134"/>
      <c r="B9" s="40" t="s">
        <v>80</v>
      </c>
      <c r="C9" s="40" t="s">
        <v>25</v>
      </c>
      <c r="D9" s="40" t="s">
        <v>25</v>
      </c>
      <c r="E9" s="40" t="s">
        <v>25</v>
      </c>
      <c r="F9" s="40" t="s">
        <v>25</v>
      </c>
      <c r="G9" s="21" t="s">
        <v>9</v>
      </c>
      <c r="H9" s="21" t="s">
        <v>76</v>
      </c>
      <c r="I9" s="21">
        <f>'MERCADO TUSD'!$U$6</f>
        <v>0</v>
      </c>
      <c r="J9" s="17"/>
      <c r="L9" s="39"/>
      <c r="M9" s="39"/>
      <c r="N9" s="39"/>
      <c r="O9" s="39"/>
      <c r="P9" s="39"/>
      <c r="Q9" s="39"/>
      <c r="R9" s="39"/>
      <c r="S9" s="39"/>
      <c r="T9" s="39"/>
      <c r="U9" s="39">
        <v>0</v>
      </c>
      <c r="V9" s="39">
        <v>0</v>
      </c>
      <c r="W9" s="39">
        <v>0</v>
      </c>
      <c r="X9" s="39">
        <v>0</v>
      </c>
      <c r="Y9" s="39">
        <v>0</v>
      </c>
      <c r="Z9" s="39">
        <v>0</v>
      </c>
      <c r="AA9" s="39">
        <v>0</v>
      </c>
      <c r="AB9" s="39"/>
      <c r="AC9" s="39">
        <v>8.4064999999999994</v>
      </c>
      <c r="AD9" s="39"/>
      <c r="AE9" s="39"/>
      <c r="AF9" s="39"/>
      <c r="AG9" s="39"/>
      <c r="AH9" s="39"/>
      <c r="AI9" s="39"/>
      <c r="AJ9" s="39"/>
      <c r="AK9" s="39"/>
      <c r="AL9" s="39"/>
      <c r="AM9" s="39"/>
      <c r="AP9" s="39"/>
    </row>
    <row r="10" spans="1:42" ht="11.25" customHeight="1" x14ac:dyDescent="0.25">
      <c r="A10" s="134"/>
      <c r="B10" s="134" t="s">
        <v>34</v>
      </c>
      <c r="C10" s="134" t="s">
        <v>25</v>
      </c>
      <c r="D10" s="134" t="s">
        <v>25</v>
      </c>
      <c r="E10" s="134" t="s">
        <v>25</v>
      </c>
      <c r="F10" s="134" t="s">
        <v>25</v>
      </c>
      <c r="G10" s="21" t="s">
        <v>9</v>
      </c>
      <c r="H10" s="21" t="s">
        <v>76</v>
      </c>
      <c r="I10" s="21">
        <f>'MERCADO TUSD'!$U$7</f>
        <v>17227</v>
      </c>
      <c r="J10" s="17"/>
      <c r="L10" s="39"/>
      <c r="M10" s="39"/>
      <c r="N10" s="39"/>
      <c r="O10" s="39"/>
      <c r="P10" s="39"/>
      <c r="Q10" s="39"/>
      <c r="R10" s="39"/>
      <c r="S10" s="39"/>
      <c r="T10" s="39"/>
      <c r="U10" s="39">
        <v>0</v>
      </c>
      <c r="V10" s="39">
        <v>0</v>
      </c>
      <c r="W10" s="39">
        <v>0</v>
      </c>
      <c r="X10" s="39">
        <v>0</v>
      </c>
      <c r="Y10" s="39">
        <v>2.5642</v>
      </c>
      <c r="Z10" s="39">
        <v>0</v>
      </c>
      <c r="AA10" s="39">
        <v>0</v>
      </c>
      <c r="AB10" s="39"/>
      <c r="AC10" s="39">
        <v>19.4207</v>
      </c>
      <c r="AD10" s="39"/>
      <c r="AE10" s="39"/>
      <c r="AF10" s="39"/>
      <c r="AG10" s="39"/>
      <c r="AH10" s="39"/>
      <c r="AI10" s="39"/>
      <c r="AJ10" s="39"/>
      <c r="AK10" s="39"/>
      <c r="AL10" s="39"/>
      <c r="AM10" s="39"/>
      <c r="AP10" s="39">
        <v>1</v>
      </c>
    </row>
    <row r="11" spans="1:42" ht="11.25" customHeight="1" x14ac:dyDescent="0.25">
      <c r="A11" s="134"/>
      <c r="B11" s="134"/>
      <c r="C11" s="134"/>
      <c r="D11" s="134"/>
      <c r="E11" s="134"/>
      <c r="F11" s="134"/>
      <c r="G11" s="21" t="s">
        <v>72</v>
      </c>
      <c r="H11" s="21" t="s">
        <v>71</v>
      </c>
      <c r="I11" s="21">
        <f>'MERCADO TUSD'!$U$8</f>
        <v>96.685999999999993</v>
      </c>
      <c r="J11" s="17"/>
      <c r="L11" s="39"/>
      <c r="M11" s="39"/>
      <c r="N11" s="39"/>
      <c r="O11" s="39"/>
      <c r="P11" s="39"/>
      <c r="Q11" s="39"/>
      <c r="R11" s="39"/>
      <c r="S11" s="39"/>
      <c r="T11" s="39"/>
      <c r="U11" s="39">
        <v>0</v>
      </c>
      <c r="V11" s="39">
        <v>0</v>
      </c>
      <c r="W11" s="39">
        <v>0</v>
      </c>
      <c r="X11" s="39">
        <v>0</v>
      </c>
      <c r="Y11" s="39">
        <v>113.60120000000001</v>
      </c>
      <c r="Z11" s="39">
        <v>0</v>
      </c>
      <c r="AA11" s="39">
        <v>0</v>
      </c>
      <c r="AB11" s="39"/>
      <c r="AC11" s="39">
        <v>1464.1481000000001</v>
      </c>
      <c r="AD11" s="39"/>
      <c r="AE11" s="39"/>
      <c r="AF11" s="39"/>
      <c r="AG11" s="39"/>
      <c r="AH11" s="39"/>
      <c r="AI11" s="39"/>
      <c r="AJ11" s="39"/>
      <c r="AK11" s="39"/>
      <c r="AL11" s="39"/>
      <c r="AM11" s="39"/>
      <c r="AP11" s="39">
        <v>1</v>
      </c>
    </row>
    <row r="12" spans="1:42" ht="11.25" customHeight="1" x14ac:dyDescent="0.25">
      <c r="A12" s="134"/>
      <c r="B12" s="134"/>
      <c r="C12" s="134"/>
      <c r="D12" s="134"/>
      <c r="E12" s="134"/>
      <c r="F12" s="134"/>
      <c r="G12" s="21" t="s">
        <v>73</v>
      </c>
      <c r="H12" s="21" t="s">
        <v>71</v>
      </c>
      <c r="I12" s="21">
        <f>'MERCADO TUSD'!$U$9</f>
        <v>3244.7709999999997</v>
      </c>
      <c r="J12" s="17"/>
      <c r="L12" s="39"/>
      <c r="M12" s="39"/>
      <c r="N12" s="39"/>
      <c r="O12" s="39"/>
      <c r="P12" s="39"/>
      <c r="Q12" s="39"/>
      <c r="R12" s="39"/>
      <c r="S12" s="39"/>
      <c r="T12" s="39"/>
      <c r="U12" s="39">
        <v>0</v>
      </c>
      <c r="V12" s="39">
        <v>0</v>
      </c>
      <c r="W12" s="39">
        <v>0</v>
      </c>
      <c r="X12" s="39">
        <v>0</v>
      </c>
      <c r="Y12" s="39">
        <v>0</v>
      </c>
      <c r="Z12" s="39">
        <v>0</v>
      </c>
      <c r="AA12" s="39">
        <v>0</v>
      </c>
      <c r="AB12" s="39"/>
      <c r="AC12" s="39">
        <v>0</v>
      </c>
      <c r="AD12" s="39"/>
      <c r="AE12" s="39"/>
      <c r="AF12" s="39"/>
      <c r="AG12" s="39"/>
      <c r="AH12" s="39"/>
      <c r="AI12" s="39"/>
      <c r="AJ12" s="39"/>
      <c r="AK12" s="39"/>
      <c r="AL12" s="39"/>
      <c r="AM12" s="39"/>
      <c r="AP12" s="39">
        <v>1</v>
      </c>
    </row>
    <row r="13" spans="1:42" ht="11.25" customHeight="1" x14ac:dyDescent="0.25">
      <c r="A13" s="134"/>
      <c r="B13" s="134"/>
      <c r="C13" s="134"/>
      <c r="D13" s="134"/>
      <c r="E13" s="134" t="s">
        <v>79</v>
      </c>
      <c r="F13" s="134" t="s">
        <v>25</v>
      </c>
      <c r="G13" s="21" t="s">
        <v>72</v>
      </c>
      <c r="H13" s="21" t="s">
        <v>71</v>
      </c>
      <c r="I13" s="21">
        <f>'MERCADO TUSD'!$U$10</f>
        <v>0</v>
      </c>
      <c r="J13" s="17"/>
      <c r="L13" s="39"/>
      <c r="M13" s="39"/>
      <c r="N13" s="39"/>
      <c r="O13" s="39"/>
      <c r="P13" s="39"/>
      <c r="Q13" s="39"/>
      <c r="R13" s="39"/>
      <c r="S13" s="39"/>
      <c r="T13" s="39"/>
      <c r="U13" s="39">
        <v>0</v>
      </c>
      <c r="V13" s="39">
        <v>0</v>
      </c>
      <c r="W13" s="39">
        <v>0</v>
      </c>
      <c r="X13" s="39">
        <v>0</v>
      </c>
      <c r="Y13" s="39">
        <v>113.60120000000001</v>
      </c>
      <c r="Z13" s="39">
        <v>0</v>
      </c>
      <c r="AA13" s="39">
        <v>0</v>
      </c>
      <c r="AB13" s="39"/>
      <c r="AC13" s="39">
        <v>1464.1481000000001</v>
      </c>
      <c r="AD13" s="39"/>
      <c r="AE13" s="39"/>
      <c r="AF13" s="39"/>
      <c r="AG13" s="39"/>
      <c r="AH13" s="39"/>
      <c r="AI13" s="39"/>
      <c r="AJ13" s="39"/>
      <c r="AK13" s="39"/>
      <c r="AL13" s="39"/>
      <c r="AM13" s="39"/>
      <c r="AP13" s="39">
        <v>1</v>
      </c>
    </row>
    <row r="14" spans="1:42" ht="11.25" customHeight="1" x14ac:dyDescent="0.25">
      <c r="A14" s="134"/>
      <c r="B14" s="134"/>
      <c r="C14" s="134"/>
      <c r="D14" s="134"/>
      <c r="E14" s="134"/>
      <c r="F14" s="134"/>
      <c r="G14" s="21" t="s">
        <v>73</v>
      </c>
      <c r="H14" s="21" t="s">
        <v>71</v>
      </c>
      <c r="I14" s="21">
        <f>'MERCADO TUSD'!$U$11</f>
        <v>0</v>
      </c>
      <c r="J14" s="17"/>
      <c r="L14" s="39"/>
      <c r="M14" s="39"/>
      <c r="N14" s="39"/>
      <c r="O14" s="39"/>
      <c r="P14" s="39"/>
      <c r="Q14" s="39"/>
      <c r="R14" s="39"/>
      <c r="S14" s="39"/>
      <c r="T14" s="39"/>
      <c r="U14" s="39">
        <v>0</v>
      </c>
      <c r="V14" s="39">
        <v>0</v>
      </c>
      <c r="W14" s="39">
        <v>0</v>
      </c>
      <c r="X14" s="39">
        <v>0</v>
      </c>
      <c r="Y14" s="39">
        <v>0</v>
      </c>
      <c r="Z14" s="39">
        <v>0</v>
      </c>
      <c r="AA14" s="39">
        <v>0</v>
      </c>
      <c r="AB14" s="39"/>
      <c r="AC14" s="39">
        <v>0</v>
      </c>
      <c r="AD14" s="39"/>
      <c r="AE14" s="39"/>
      <c r="AF14" s="39"/>
      <c r="AG14" s="39"/>
      <c r="AH14" s="39"/>
      <c r="AI14" s="39"/>
      <c r="AJ14" s="39"/>
      <c r="AK14" s="39"/>
      <c r="AL14" s="39"/>
      <c r="AM14" s="39"/>
      <c r="AP14" s="39">
        <v>1</v>
      </c>
    </row>
    <row r="15" spans="1:42" ht="11.25" customHeight="1" x14ac:dyDescent="0.25">
      <c r="A15" s="134" t="s">
        <v>81</v>
      </c>
      <c r="B15" s="134" t="s">
        <v>80</v>
      </c>
      <c r="C15" s="134" t="s">
        <v>25</v>
      </c>
      <c r="D15" s="134" t="s">
        <v>25</v>
      </c>
      <c r="E15" s="40" t="s">
        <v>82</v>
      </c>
      <c r="F15" s="40" t="s">
        <v>25</v>
      </c>
      <c r="G15" s="21" t="s">
        <v>9</v>
      </c>
      <c r="H15" s="21" t="s">
        <v>76</v>
      </c>
      <c r="I15" s="21">
        <f>'MERCADO TUSD'!$U$12+0.00000001</f>
        <v>1E-8</v>
      </c>
      <c r="J15" s="17"/>
      <c r="L15" s="39"/>
      <c r="M15" s="39"/>
      <c r="N15" s="39"/>
      <c r="O15" s="39"/>
      <c r="P15" s="39"/>
      <c r="Q15" s="39"/>
      <c r="R15" s="39"/>
      <c r="S15" s="39"/>
      <c r="T15" s="39"/>
      <c r="U15" s="39">
        <v>0</v>
      </c>
      <c r="V15" s="39">
        <v>0</v>
      </c>
      <c r="W15" s="39">
        <v>0</v>
      </c>
      <c r="X15" s="39">
        <v>0</v>
      </c>
      <c r="Y15" s="39">
        <v>0</v>
      </c>
      <c r="Z15" s="39">
        <v>0</v>
      </c>
      <c r="AA15" s="39">
        <v>0</v>
      </c>
      <c r="AB15" s="39"/>
      <c r="AC15" s="39">
        <v>3.3165</v>
      </c>
      <c r="AD15" s="39"/>
      <c r="AE15" s="39"/>
      <c r="AF15" s="39"/>
      <c r="AG15" s="39"/>
      <c r="AH15" s="39"/>
      <c r="AI15" s="39"/>
      <c r="AJ15" s="39"/>
      <c r="AK15" s="39"/>
      <c r="AL15" s="39"/>
      <c r="AM15" s="39"/>
      <c r="AP15" s="39"/>
    </row>
    <row r="16" spans="1:42" ht="11.25" customHeight="1" x14ac:dyDescent="0.25">
      <c r="A16" s="134"/>
      <c r="B16" s="134"/>
      <c r="C16" s="134"/>
      <c r="D16" s="134"/>
      <c r="E16" s="40" t="s">
        <v>83</v>
      </c>
      <c r="F16" s="40" t="s">
        <v>25</v>
      </c>
      <c r="G16" s="21" t="s">
        <v>9</v>
      </c>
      <c r="H16" s="21" t="s">
        <v>76</v>
      </c>
      <c r="I16" s="21">
        <f>'MERCADO TUSD'!$U$13+0.00000001</f>
        <v>1E-8</v>
      </c>
      <c r="J16" s="17"/>
      <c r="L16" s="39"/>
      <c r="M16" s="39"/>
      <c r="N16" s="39"/>
      <c r="O16" s="39"/>
      <c r="P16" s="39"/>
      <c r="Q16" s="39"/>
      <c r="R16" s="39"/>
      <c r="S16" s="39"/>
      <c r="T16" s="39"/>
      <c r="U16" s="39">
        <v>0</v>
      </c>
      <c r="V16" s="39">
        <v>0</v>
      </c>
      <c r="W16" s="39">
        <v>0</v>
      </c>
      <c r="X16" s="39">
        <v>0</v>
      </c>
      <c r="Y16" s="39">
        <v>0</v>
      </c>
      <c r="Z16" s="39">
        <v>0</v>
      </c>
      <c r="AA16" s="39">
        <v>0</v>
      </c>
      <c r="AB16" s="39"/>
      <c r="AC16" s="39">
        <v>10.6891</v>
      </c>
      <c r="AD16" s="39"/>
      <c r="AE16" s="39"/>
      <c r="AF16" s="39"/>
      <c r="AG16" s="39"/>
      <c r="AH16" s="39"/>
      <c r="AI16" s="39"/>
      <c r="AJ16" s="39"/>
      <c r="AK16" s="39"/>
      <c r="AL16" s="39"/>
      <c r="AM16" s="39"/>
      <c r="AP16" s="39"/>
    </row>
    <row r="17" spans="1:42" ht="11.25" customHeight="1" x14ac:dyDescent="0.25">
      <c r="A17" s="134" t="s">
        <v>22</v>
      </c>
      <c r="B17" s="134" t="s">
        <v>37</v>
      </c>
      <c r="C17" s="134" t="s">
        <v>24</v>
      </c>
      <c r="D17" s="134" t="s">
        <v>24</v>
      </c>
      <c r="E17" s="134" t="s">
        <v>25</v>
      </c>
      <c r="F17" s="134" t="s">
        <v>25</v>
      </c>
      <c r="G17" s="21" t="s">
        <v>72</v>
      </c>
      <c r="H17" s="21" t="s">
        <v>71</v>
      </c>
      <c r="I17" s="21">
        <f>'MERCADO TUSD'!$U$14</f>
        <v>2.3139999999999996</v>
      </c>
      <c r="J17" s="17"/>
      <c r="L17" s="39"/>
      <c r="M17" s="39"/>
      <c r="N17" s="39"/>
      <c r="O17" s="39"/>
      <c r="P17" s="39"/>
      <c r="Q17" s="39"/>
      <c r="R17" s="39"/>
      <c r="S17" s="39"/>
      <c r="T17" s="39"/>
      <c r="U17" s="39">
        <v>0</v>
      </c>
      <c r="V17" s="39">
        <v>0</v>
      </c>
      <c r="W17" s="39">
        <v>0</v>
      </c>
      <c r="X17" s="39">
        <v>0</v>
      </c>
      <c r="Y17" s="39">
        <v>47.544499999999999</v>
      </c>
      <c r="Z17" s="39">
        <v>0</v>
      </c>
      <c r="AA17" s="39">
        <v>0</v>
      </c>
      <c r="AB17" s="39"/>
      <c r="AC17" s="39">
        <v>673.10569999999996</v>
      </c>
      <c r="AD17" s="39"/>
      <c r="AE17" s="39"/>
      <c r="AF17" s="39"/>
      <c r="AG17" s="39"/>
      <c r="AH17" s="39"/>
      <c r="AI17" s="39"/>
      <c r="AJ17" s="39"/>
      <c r="AK17" s="39"/>
      <c r="AL17" s="39"/>
      <c r="AM17" s="39"/>
      <c r="AP17" s="39">
        <v>1</v>
      </c>
    </row>
    <row r="18" spans="1:42" ht="11.25" customHeight="1" x14ac:dyDescent="0.25">
      <c r="A18" s="134"/>
      <c r="B18" s="134"/>
      <c r="C18" s="134"/>
      <c r="D18" s="134"/>
      <c r="E18" s="134"/>
      <c r="F18" s="134"/>
      <c r="G18" s="21" t="s">
        <v>84</v>
      </c>
      <c r="H18" s="21" t="s">
        <v>71</v>
      </c>
      <c r="I18" s="21">
        <f>'MERCADO TUSD'!$U$15</f>
        <v>1.2229999999999999</v>
      </c>
      <c r="J18" s="17"/>
      <c r="L18" s="39"/>
      <c r="M18" s="39"/>
      <c r="N18" s="39"/>
      <c r="O18" s="39"/>
      <c r="P18" s="39"/>
      <c r="Q18" s="39"/>
      <c r="R18" s="39"/>
      <c r="S18" s="39"/>
      <c r="T18" s="39"/>
      <c r="U18" s="39">
        <v>0</v>
      </c>
      <c r="V18" s="39">
        <v>0</v>
      </c>
      <c r="W18" s="39">
        <v>0</v>
      </c>
      <c r="X18" s="39">
        <v>0</v>
      </c>
      <c r="Y18" s="39">
        <v>28.526700000000002</v>
      </c>
      <c r="Z18" s="39">
        <v>0</v>
      </c>
      <c r="AA18" s="39">
        <v>0</v>
      </c>
      <c r="AB18" s="39"/>
      <c r="AC18" s="39">
        <v>403.86349999999999</v>
      </c>
      <c r="AD18" s="39"/>
      <c r="AE18" s="39"/>
      <c r="AF18" s="39"/>
      <c r="AG18" s="39"/>
      <c r="AH18" s="39"/>
      <c r="AI18" s="39"/>
      <c r="AJ18" s="39"/>
      <c r="AK18" s="39"/>
      <c r="AL18" s="39"/>
      <c r="AM18" s="39"/>
      <c r="AP18" s="39">
        <v>1</v>
      </c>
    </row>
    <row r="19" spans="1:42" ht="11.25" customHeight="1" x14ac:dyDescent="0.25">
      <c r="A19" s="134"/>
      <c r="B19" s="134"/>
      <c r="C19" s="134"/>
      <c r="D19" s="134"/>
      <c r="E19" s="134"/>
      <c r="F19" s="134"/>
      <c r="G19" s="21" t="s">
        <v>73</v>
      </c>
      <c r="H19" s="21" t="s">
        <v>71</v>
      </c>
      <c r="I19" s="21">
        <f>'MERCADO TUSD'!$U$16</f>
        <v>15.786</v>
      </c>
      <c r="J19" s="17"/>
      <c r="L19" s="39"/>
      <c r="M19" s="39"/>
      <c r="N19" s="39"/>
      <c r="O19" s="39"/>
      <c r="P19" s="39"/>
      <c r="Q19" s="39"/>
      <c r="R19" s="39"/>
      <c r="S19" s="39"/>
      <c r="T19" s="39"/>
      <c r="U19" s="39">
        <v>0</v>
      </c>
      <c r="V19" s="39">
        <v>0</v>
      </c>
      <c r="W19" s="39">
        <v>0</v>
      </c>
      <c r="X19" s="39">
        <v>0</v>
      </c>
      <c r="Y19" s="39">
        <v>9.5090000000000003</v>
      </c>
      <c r="Z19" s="39">
        <v>0</v>
      </c>
      <c r="AA19" s="39">
        <v>0</v>
      </c>
      <c r="AB19" s="39"/>
      <c r="AC19" s="39">
        <v>134.62110000000001</v>
      </c>
      <c r="AD19" s="39"/>
      <c r="AE19" s="39"/>
      <c r="AF19" s="39"/>
      <c r="AG19" s="39"/>
      <c r="AH19" s="39"/>
      <c r="AI19" s="39"/>
      <c r="AJ19" s="39"/>
      <c r="AK19" s="39"/>
      <c r="AL19" s="39"/>
      <c r="AM19" s="39"/>
      <c r="AP19" s="39">
        <v>1</v>
      </c>
    </row>
    <row r="20" spans="1:42" ht="11.25" customHeight="1" x14ac:dyDescent="0.25">
      <c r="A20" s="134"/>
      <c r="B20" s="134" t="s">
        <v>23</v>
      </c>
      <c r="C20" s="134" t="s">
        <v>24</v>
      </c>
      <c r="D20" s="40" t="s">
        <v>24</v>
      </c>
      <c r="E20" s="40" t="s">
        <v>25</v>
      </c>
      <c r="F20" s="40" t="s">
        <v>25</v>
      </c>
      <c r="G20" s="21" t="s">
        <v>75</v>
      </c>
      <c r="H20" s="21" t="s">
        <v>71</v>
      </c>
      <c r="I20" s="21">
        <f>'MERCADO TUSD'!$U$17</f>
        <v>26510.091</v>
      </c>
      <c r="J20" s="17"/>
      <c r="L20" s="39"/>
      <c r="M20" s="39"/>
      <c r="N20" s="39"/>
      <c r="O20" s="39"/>
      <c r="P20" s="39"/>
      <c r="Q20" s="39"/>
      <c r="R20" s="39"/>
      <c r="S20" s="39"/>
      <c r="T20" s="39"/>
      <c r="U20" s="39">
        <v>0</v>
      </c>
      <c r="V20" s="39">
        <v>0</v>
      </c>
      <c r="W20" s="39">
        <v>0</v>
      </c>
      <c r="X20" s="39">
        <v>0</v>
      </c>
      <c r="Y20" s="39">
        <v>17.609100000000002</v>
      </c>
      <c r="Z20" s="39">
        <v>0</v>
      </c>
      <c r="AA20" s="39">
        <v>0</v>
      </c>
      <c r="AB20" s="39"/>
      <c r="AC20" s="39">
        <v>249.29849999999999</v>
      </c>
      <c r="AD20" s="39"/>
      <c r="AE20" s="39"/>
      <c r="AF20" s="39"/>
      <c r="AG20" s="39"/>
      <c r="AH20" s="39"/>
      <c r="AI20" s="39"/>
      <c r="AJ20" s="39"/>
      <c r="AK20" s="39"/>
      <c r="AL20" s="39"/>
      <c r="AM20" s="39"/>
      <c r="AP20" s="39">
        <v>1</v>
      </c>
    </row>
    <row r="21" spans="1:42" ht="11.25" customHeight="1" x14ac:dyDescent="0.25">
      <c r="A21" s="134"/>
      <c r="B21" s="134"/>
      <c r="C21" s="134"/>
      <c r="D21" s="40" t="s">
        <v>29</v>
      </c>
      <c r="E21" s="40" t="s">
        <v>25</v>
      </c>
      <c r="F21" s="40" t="s">
        <v>25</v>
      </c>
      <c r="G21" s="21" t="s">
        <v>75</v>
      </c>
      <c r="H21" s="21" t="s">
        <v>71</v>
      </c>
      <c r="I21" s="21">
        <f>'MERCADO TUSD'!$U$18</f>
        <v>224.727</v>
      </c>
      <c r="J21" s="17"/>
      <c r="L21" s="39"/>
      <c r="M21" s="39"/>
      <c r="N21" s="39"/>
      <c r="O21" s="39"/>
      <c r="P21" s="39"/>
      <c r="Q21" s="39"/>
      <c r="R21" s="39"/>
      <c r="S21" s="39"/>
      <c r="T21" s="39"/>
      <c r="U21" s="39">
        <v>0</v>
      </c>
      <c r="V21" s="39">
        <v>0</v>
      </c>
      <c r="W21" s="39">
        <v>0</v>
      </c>
      <c r="X21" s="39">
        <v>0</v>
      </c>
      <c r="Y21" s="39">
        <f>(1 - CUSTOS!$M$24)*17.6091</f>
        <v>17.609100000000002</v>
      </c>
      <c r="Z21" s="39">
        <v>0</v>
      </c>
      <c r="AA21" s="39">
        <v>0</v>
      </c>
      <c r="AB21" s="39"/>
      <c r="AC21" s="39">
        <f>(1 - CUSTOS!$M$24)*249.2985</f>
        <v>249.29849999999999</v>
      </c>
      <c r="AD21" s="39"/>
      <c r="AE21" s="39"/>
      <c r="AF21" s="39"/>
      <c r="AG21" s="39"/>
      <c r="AH21" s="39"/>
      <c r="AI21" s="39"/>
      <c r="AJ21" s="39"/>
      <c r="AK21" s="39"/>
      <c r="AL21" s="39"/>
      <c r="AM21" s="39"/>
      <c r="AP21" s="39">
        <f>IF((1 - CUSTOS!$M$24)&lt;&gt;0,1/(1 - CUSTOS!$M$24),1)</f>
        <v>1</v>
      </c>
    </row>
    <row r="22" spans="1:42" ht="11.25" customHeight="1" x14ac:dyDescent="0.25">
      <c r="A22" s="134"/>
      <c r="B22" s="134"/>
      <c r="C22" s="134"/>
      <c r="D22" s="40" t="s">
        <v>30</v>
      </c>
      <c r="E22" s="40" t="s">
        <v>25</v>
      </c>
      <c r="F22" s="40" t="s">
        <v>25</v>
      </c>
      <c r="G22" s="21" t="s">
        <v>75</v>
      </c>
      <c r="H22" s="21" t="s">
        <v>71</v>
      </c>
      <c r="I22" s="21">
        <f>'MERCADO TUSD'!$U$19</f>
        <v>457.44400000000002</v>
      </c>
      <c r="J22" s="17"/>
      <c r="L22" s="39"/>
      <c r="M22" s="39"/>
      <c r="N22" s="39"/>
      <c r="O22" s="39"/>
      <c r="P22" s="39"/>
      <c r="Q22" s="39"/>
      <c r="R22" s="39"/>
      <c r="S22" s="39"/>
      <c r="T22" s="39"/>
      <c r="U22" s="39">
        <v>0</v>
      </c>
      <c r="V22" s="39">
        <v>0</v>
      </c>
      <c r="W22" s="39">
        <v>0</v>
      </c>
      <c r="X22" s="39">
        <v>0</v>
      </c>
      <c r="Y22" s="39">
        <f>(1 - CUSTOS!$M$25)*17.6091</f>
        <v>17.609100000000002</v>
      </c>
      <c r="Z22" s="39">
        <v>0</v>
      </c>
      <c r="AA22" s="39">
        <v>0</v>
      </c>
      <c r="AB22" s="39"/>
      <c r="AC22" s="39">
        <f>(1 - CUSTOS!$M$25)*249.2985</f>
        <v>249.29849999999999</v>
      </c>
      <c r="AD22" s="39"/>
      <c r="AE22" s="39"/>
      <c r="AF22" s="39"/>
      <c r="AG22" s="39"/>
      <c r="AH22" s="39"/>
      <c r="AI22" s="39"/>
      <c r="AJ22" s="39"/>
      <c r="AK22" s="39"/>
      <c r="AL22" s="39"/>
      <c r="AM22" s="39"/>
      <c r="AP22" s="39">
        <f>IF((1 - CUSTOS!$M$25)&lt;&gt;0,1/(1 - CUSTOS!$M$25),1)</f>
        <v>1</v>
      </c>
    </row>
    <row r="23" spans="1:42" ht="11.25" customHeight="1" x14ac:dyDescent="0.25">
      <c r="A23" s="134"/>
      <c r="B23" s="134"/>
      <c r="C23" s="134"/>
      <c r="D23" s="40" t="s">
        <v>31</v>
      </c>
      <c r="E23" s="40" t="s">
        <v>25</v>
      </c>
      <c r="F23" s="40" t="s">
        <v>25</v>
      </c>
      <c r="G23" s="21" t="s">
        <v>75</v>
      </c>
      <c r="H23" s="21" t="s">
        <v>71</v>
      </c>
      <c r="I23" s="21">
        <f>'MERCADO TUSD'!$U$20</f>
        <v>365.92600000000004</v>
      </c>
      <c r="J23" s="17"/>
      <c r="L23" s="39"/>
      <c r="M23" s="39"/>
      <c r="N23" s="39"/>
      <c r="O23" s="39"/>
      <c r="P23" s="39"/>
      <c r="Q23" s="39"/>
      <c r="R23" s="39"/>
      <c r="S23" s="39"/>
      <c r="T23" s="39"/>
      <c r="U23" s="39">
        <v>0</v>
      </c>
      <c r="V23" s="39">
        <v>0</v>
      </c>
      <c r="W23" s="39">
        <v>0</v>
      </c>
      <c r="X23" s="39">
        <v>0</v>
      </c>
      <c r="Y23" s="39">
        <f>(1 - CUSTOS!$M$26)*17.6091</f>
        <v>17.609100000000002</v>
      </c>
      <c r="Z23" s="39">
        <v>0</v>
      </c>
      <c r="AA23" s="39">
        <v>0</v>
      </c>
      <c r="AB23" s="39"/>
      <c r="AC23" s="39">
        <f>(1 - CUSTOS!$M$26)*249.2985</f>
        <v>249.29849999999999</v>
      </c>
      <c r="AD23" s="39"/>
      <c r="AE23" s="39"/>
      <c r="AF23" s="39"/>
      <c r="AG23" s="39"/>
      <c r="AH23" s="39"/>
      <c r="AI23" s="39"/>
      <c r="AJ23" s="39"/>
      <c r="AK23" s="39"/>
      <c r="AL23" s="39"/>
      <c r="AM23" s="39"/>
      <c r="AP23" s="39">
        <f>IF((1 - CUSTOS!$M$26)&lt;&gt;0,1/(1 - CUSTOS!$M$26),1)</f>
        <v>1</v>
      </c>
    </row>
    <row r="24" spans="1:42" ht="11.25" customHeight="1" x14ac:dyDescent="0.25">
      <c r="A24" s="134"/>
      <c r="B24" s="134"/>
      <c r="C24" s="134"/>
      <c r="D24" s="40" t="s">
        <v>32</v>
      </c>
      <c r="E24" s="40" t="s">
        <v>25</v>
      </c>
      <c r="F24" s="40" t="s">
        <v>25</v>
      </c>
      <c r="G24" s="21" t="s">
        <v>75</v>
      </c>
      <c r="H24" s="21" t="s">
        <v>71</v>
      </c>
      <c r="I24" s="21">
        <f>'MERCADO TUSD'!$U$21</f>
        <v>81.745999999999995</v>
      </c>
      <c r="J24" s="17"/>
      <c r="L24" s="39"/>
      <c r="M24" s="39"/>
      <c r="N24" s="39"/>
      <c r="O24" s="39"/>
      <c r="P24" s="39"/>
      <c r="Q24" s="39"/>
      <c r="R24" s="39"/>
      <c r="S24" s="39"/>
      <c r="T24" s="39"/>
      <c r="U24" s="39">
        <v>0</v>
      </c>
      <c r="V24" s="39">
        <v>0</v>
      </c>
      <c r="W24" s="39">
        <v>0</v>
      </c>
      <c r="X24" s="39">
        <v>0</v>
      </c>
      <c r="Y24" s="39">
        <f>(1 - CUSTOS!$M$27)*17.6091</f>
        <v>17.609100000000002</v>
      </c>
      <c r="Z24" s="39">
        <v>0</v>
      </c>
      <c r="AA24" s="39">
        <v>0</v>
      </c>
      <c r="AB24" s="39"/>
      <c r="AC24" s="39">
        <f>(1 - CUSTOS!$M$27)*249.2985</f>
        <v>249.29849999999999</v>
      </c>
      <c r="AD24" s="39"/>
      <c r="AE24" s="39"/>
      <c r="AF24" s="39"/>
      <c r="AG24" s="39"/>
      <c r="AH24" s="39"/>
      <c r="AI24" s="39"/>
      <c r="AJ24" s="39"/>
      <c r="AK24" s="39"/>
      <c r="AL24" s="39"/>
      <c r="AM24" s="39"/>
      <c r="AP24" s="39">
        <f>IF((1 - CUSTOS!$M$27)&lt;&gt;0,1/(1 - CUSTOS!$M$27),1)</f>
        <v>1</v>
      </c>
    </row>
    <row r="25" spans="1:42" ht="11.25" customHeight="1" x14ac:dyDescent="0.25">
      <c r="A25" s="134"/>
      <c r="B25" s="134" t="s">
        <v>86</v>
      </c>
      <c r="C25" s="134" t="s">
        <v>24</v>
      </c>
      <c r="D25" s="40" t="s">
        <v>24</v>
      </c>
      <c r="E25" s="40" t="s">
        <v>25</v>
      </c>
      <c r="F25" s="40" t="s">
        <v>25</v>
      </c>
      <c r="G25" s="21" t="s">
        <v>75</v>
      </c>
      <c r="H25" s="21" t="s">
        <v>71</v>
      </c>
      <c r="I25" s="21">
        <f>'MERCADO TUSD'!$U$22</f>
        <v>0</v>
      </c>
      <c r="J25" s="17"/>
      <c r="L25" s="39"/>
      <c r="M25" s="39"/>
      <c r="N25" s="39"/>
      <c r="O25" s="39"/>
      <c r="P25" s="39"/>
      <c r="Q25" s="39"/>
      <c r="R25" s="39"/>
      <c r="S25" s="39"/>
      <c r="T25" s="39"/>
      <c r="U25" s="39">
        <v>0</v>
      </c>
      <c r="V25" s="39">
        <v>0</v>
      </c>
      <c r="W25" s="39">
        <v>0</v>
      </c>
      <c r="X25" s="39">
        <v>0</v>
      </c>
      <c r="Y25" s="39">
        <v>17.609100000000002</v>
      </c>
      <c r="Z25" s="39">
        <v>0</v>
      </c>
      <c r="AA25" s="39">
        <v>0</v>
      </c>
      <c r="AB25" s="39"/>
      <c r="AC25" s="39">
        <v>249.29849999999999</v>
      </c>
      <c r="AD25" s="39"/>
      <c r="AE25" s="39"/>
      <c r="AF25" s="39"/>
      <c r="AG25" s="39"/>
      <c r="AH25" s="39"/>
      <c r="AI25" s="39"/>
      <c r="AJ25" s="39"/>
      <c r="AK25" s="39"/>
      <c r="AL25" s="39"/>
      <c r="AM25" s="39"/>
      <c r="AP25" s="39">
        <v>1</v>
      </c>
    </row>
    <row r="26" spans="1:42" ht="11.25" customHeight="1" x14ac:dyDescent="0.25">
      <c r="A26" s="134"/>
      <c r="B26" s="134"/>
      <c r="C26" s="134"/>
      <c r="D26" s="40" t="s">
        <v>29</v>
      </c>
      <c r="E26" s="40" t="s">
        <v>25</v>
      </c>
      <c r="F26" s="40" t="s">
        <v>25</v>
      </c>
      <c r="G26" s="21" t="s">
        <v>75</v>
      </c>
      <c r="H26" s="21" t="s">
        <v>71</v>
      </c>
      <c r="I26" s="21">
        <f>'MERCADO TUSD'!$U$23</f>
        <v>0</v>
      </c>
      <c r="J26" s="17"/>
      <c r="L26" s="39"/>
      <c r="M26" s="39"/>
      <c r="N26" s="39"/>
      <c r="O26" s="39"/>
      <c r="P26" s="39"/>
      <c r="Q26" s="39"/>
      <c r="R26" s="39"/>
      <c r="S26" s="39"/>
      <c r="T26" s="39"/>
      <c r="U26" s="39">
        <v>0</v>
      </c>
      <c r="V26" s="39">
        <v>0</v>
      </c>
      <c r="W26" s="39">
        <v>0</v>
      </c>
      <c r="X26" s="39">
        <v>0</v>
      </c>
      <c r="Y26" s="39">
        <f>(1 - CUSTOS!$M$24)*17.6091</f>
        <v>17.609100000000002</v>
      </c>
      <c r="Z26" s="39">
        <v>0</v>
      </c>
      <c r="AA26" s="39">
        <v>0</v>
      </c>
      <c r="AB26" s="39"/>
      <c r="AC26" s="39">
        <f>(1 - CUSTOS!$M$24)*249.2985</f>
        <v>249.29849999999999</v>
      </c>
      <c r="AD26" s="39"/>
      <c r="AE26" s="39"/>
      <c r="AF26" s="39"/>
      <c r="AG26" s="39"/>
      <c r="AH26" s="39"/>
      <c r="AI26" s="39"/>
      <c r="AJ26" s="39"/>
      <c r="AK26" s="39"/>
      <c r="AL26" s="39"/>
      <c r="AM26" s="39"/>
      <c r="AP26" s="39">
        <f>IF((1 - CUSTOS!$M$24)&lt;&gt;0,1/(1 - CUSTOS!$M$24),1)</f>
        <v>1</v>
      </c>
    </row>
    <row r="27" spans="1:42" ht="11.25" customHeight="1" x14ac:dyDescent="0.25">
      <c r="A27" s="134"/>
      <c r="B27" s="134"/>
      <c r="C27" s="134"/>
      <c r="D27" s="40" t="s">
        <v>30</v>
      </c>
      <c r="E27" s="40" t="s">
        <v>25</v>
      </c>
      <c r="F27" s="40" t="s">
        <v>25</v>
      </c>
      <c r="G27" s="21" t="s">
        <v>75</v>
      </c>
      <c r="H27" s="21" t="s">
        <v>71</v>
      </c>
      <c r="I27" s="21">
        <f>'MERCADO TUSD'!$U$24</f>
        <v>0</v>
      </c>
      <c r="J27" s="17"/>
      <c r="L27" s="39"/>
      <c r="M27" s="39"/>
      <c r="N27" s="39"/>
      <c r="O27" s="39"/>
      <c r="P27" s="39"/>
      <c r="Q27" s="39"/>
      <c r="R27" s="39"/>
      <c r="S27" s="39"/>
      <c r="T27" s="39"/>
      <c r="U27" s="39">
        <v>0</v>
      </c>
      <c r="V27" s="39">
        <v>0</v>
      </c>
      <c r="W27" s="39">
        <v>0</v>
      </c>
      <c r="X27" s="39">
        <v>0</v>
      </c>
      <c r="Y27" s="39">
        <f>(1 - CUSTOS!$M$25)*17.6091</f>
        <v>17.609100000000002</v>
      </c>
      <c r="Z27" s="39">
        <v>0</v>
      </c>
      <c r="AA27" s="39">
        <v>0</v>
      </c>
      <c r="AB27" s="39"/>
      <c r="AC27" s="39">
        <f>(1 - CUSTOS!$M$25)*249.2985</f>
        <v>249.29849999999999</v>
      </c>
      <c r="AD27" s="39"/>
      <c r="AE27" s="39"/>
      <c r="AF27" s="39"/>
      <c r="AG27" s="39"/>
      <c r="AH27" s="39"/>
      <c r="AI27" s="39"/>
      <c r="AJ27" s="39"/>
      <c r="AK27" s="39"/>
      <c r="AL27" s="39"/>
      <c r="AM27" s="39"/>
      <c r="AP27" s="39">
        <f>IF((1 - CUSTOS!$M$25)&lt;&gt;0,1/(1 - CUSTOS!$M$25),1)</f>
        <v>1</v>
      </c>
    </row>
    <row r="28" spans="1:42" ht="11.25" customHeight="1" x14ac:dyDescent="0.25">
      <c r="A28" s="134"/>
      <c r="B28" s="134"/>
      <c r="C28" s="134"/>
      <c r="D28" s="40" t="s">
        <v>31</v>
      </c>
      <c r="E28" s="40" t="s">
        <v>25</v>
      </c>
      <c r="F28" s="40" t="s">
        <v>25</v>
      </c>
      <c r="G28" s="21" t="s">
        <v>75</v>
      </c>
      <c r="H28" s="21" t="s">
        <v>71</v>
      </c>
      <c r="I28" s="21">
        <f>'MERCADO TUSD'!$U$25</f>
        <v>0</v>
      </c>
      <c r="J28" s="17"/>
      <c r="L28" s="39"/>
      <c r="M28" s="39"/>
      <c r="N28" s="39"/>
      <c r="O28" s="39"/>
      <c r="P28" s="39"/>
      <c r="Q28" s="39"/>
      <c r="R28" s="39"/>
      <c r="S28" s="39"/>
      <c r="T28" s="39"/>
      <c r="U28" s="39">
        <v>0</v>
      </c>
      <c r="V28" s="39">
        <v>0</v>
      </c>
      <c r="W28" s="39">
        <v>0</v>
      </c>
      <c r="X28" s="39">
        <v>0</v>
      </c>
      <c r="Y28" s="39">
        <f>(1 - CUSTOS!$M$26)*17.6091</f>
        <v>17.609100000000002</v>
      </c>
      <c r="Z28" s="39">
        <v>0</v>
      </c>
      <c r="AA28" s="39">
        <v>0</v>
      </c>
      <c r="AB28" s="39"/>
      <c r="AC28" s="39">
        <f>(1 - CUSTOS!$M$26)*249.2985</f>
        <v>249.29849999999999</v>
      </c>
      <c r="AD28" s="39"/>
      <c r="AE28" s="39"/>
      <c r="AF28" s="39"/>
      <c r="AG28" s="39"/>
      <c r="AH28" s="39"/>
      <c r="AI28" s="39"/>
      <c r="AJ28" s="39"/>
      <c r="AK28" s="39"/>
      <c r="AL28" s="39"/>
      <c r="AM28" s="39"/>
      <c r="AP28" s="39">
        <f>IF((1 - CUSTOS!$M$26)&lt;&gt;0,1/(1 - CUSTOS!$M$26),1)</f>
        <v>1</v>
      </c>
    </row>
    <row r="29" spans="1:42" ht="11.25" customHeight="1" x14ac:dyDescent="0.25">
      <c r="A29" s="134"/>
      <c r="B29" s="134"/>
      <c r="C29" s="134"/>
      <c r="D29" s="40" t="s">
        <v>32</v>
      </c>
      <c r="E29" s="40" t="s">
        <v>25</v>
      </c>
      <c r="F29" s="40" t="s">
        <v>25</v>
      </c>
      <c r="G29" s="21" t="s">
        <v>75</v>
      </c>
      <c r="H29" s="21" t="s">
        <v>71</v>
      </c>
      <c r="I29" s="21">
        <f>'MERCADO TUSD'!$U$26</f>
        <v>0</v>
      </c>
      <c r="J29" s="17"/>
      <c r="L29" s="39"/>
      <c r="M29" s="39"/>
      <c r="N29" s="39"/>
      <c r="O29" s="39"/>
      <c r="P29" s="39"/>
      <c r="Q29" s="39"/>
      <c r="R29" s="39"/>
      <c r="S29" s="39"/>
      <c r="T29" s="39"/>
      <c r="U29" s="39">
        <v>0</v>
      </c>
      <c r="V29" s="39">
        <v>0</v>
      </c>
      <c r="W29" s="39">
        <v>0</v>
      </c>
      <c r="X29" s="39">
        <v>0</v>
      </c>
      <c r="Y29" s="39">
        <f>(1 - CUSTOS!$M$27)*17.6091</f>
        <v>17.609100000000002</v>
      </c>
      <c r="Z29" s="39">
        <v>0</v>
      </c>
      <c r="AA29" s="39">
        <v>0</v>
      </c>
      <c r="AB29" s="39"/>
      <c r="AC29" s="39">
        <f>(1 - CUSTOS!$M$27)*249.2985</f>
        <v>249.29849999999999</v>
      </c>
      <c r="AD29" s="39"/>
      <c r="AE29" s="39"/>
      <c r="AF29" s="39"/>
      <c r="AG29" s="39"/>
      <c r="AH29" s="39"/>
      <c r="AI29" s="39"/>
      <c r="AJ29" s="39"/>
      <c r="AK29" s="39"/>
      <c r="AL29" s="39"/>
      <c r="AM29" s="39"/>
      <c r="AP29" s="39">
        <f>IF((1 - CUSTOS!$M$27)&lt;&gt;0,1/(1 - CUSTOS!$M$27),1)</f>
        <v>1</v>
      </c>
    </row>
    <row r="30" spans="1:42" ht="11.25" customHeight="1" x14ac:dyDescent="0.25">
      <c r="A30" s="134" t="s">
        <v>43</v>
      </c>
      <c r="B30" s="134" t="s">
        <v>37</v>
      </c>
      <c r="C30" s="134" t="s">
        <v>44</v>
      </c>
      <c r="D30" s="134" t="s">
        <v>25</v>
      </c>
      <c r="E30" s="134" t="s">
        <v>25</v>
      </c>
      <c r="F30" s="134" t="s">
        <v>25</v>
      </c>
      <c r="G30" s="21" t="s">
        <v>72</v>
      </c>
      <c r="H30" s="21" t="s">
        <v>71</v>
      </c>
      <c r="I30" s="21">
        <f>'MERCADO TUSD'!$U$27</f>
        <v>0</v>
      </c>
      <c r="J30" s="17"/>
      <c r="L30" s="39"/>
      <c r="M30" s="39"/>
      <c r="N30" s="39"/>
      <c r="O30" s="39"/>
      <c r="P30" s="39"/>
      <c r="Q30" s="39"/>
      <c r="R30" s="39"/>
      <c r="S30" s="39"/>
      <c r="T30" s="39"/>
      <c r="U30" s="39">
        <v>0</v>
      </c>
      <c r="V30" s="39">
        <v>0</v>
      </c>
      <c r="W30" s="39">
        <v>0</v>
      </c>
      <c r="X30" s="39">
        <v>0</v>
      </c>
      <c r="Y30" s="39">
        <f>(1 - CUSTOS!$M$28)*45.7837</f>
        <v>45.783700000000003</v>
      </c>
      <c r="Z30" s="39">
        <v>0</v>
      </c>
      <c r="AA30" s="39">
        <v>0</v>
      </c>
      <c r="AB30" s="39"/>
      <c r="AC30" s="39">
        <f>(1 - CUSTOS!$M$28)*648.1759</f>
        <v>648.17589999999996</v>
      </c>
      <c r="AD30" s="39"/>
      <c r="AE30" s="39"/>
      <c r="AF30" s="39"/>
      <c r="AG30" s="39"/>
      <c r="AH30" s="39"/>
      <c r="AI30" s="39"/>
      <c r="AJ30" s="39"/>
      <c r="AK30" s="39"/>
      <c r="AL30" s="39"/>
      <c r="AM30" s="39"/>
      <c r="AP30" s="39">
        <f>IF((1 - CUSTOS!$M$28)&lt;&gt;0,1/(1 - CUSTOS!$M$28),1)</f>
        <v>1</v>
      </c>
    </row>
    <row r="31" spans="1:42" ht="11.25" customHeight="1" x14ac:dyDescent="0.25">
      <c r="A31" s="134"/>
      <c r="B31" s="134"/>
      <c r="C31" s="134"/>
      <c r="D31" s="134"/>
      <c r="E31" s="134"/>
      <c r="F31" s="134"/>
      <c r="G31" s="21" t="s">
        <v>84</v>
      </c>
      <c r="H31" s="21" t="s">
        <v>71</v>
      </c>
      <c r="I31" s="21">
        <f>'MERCADO TUSD'!$U$28</f>
        <v>0</v>
      </c>
      <c r="J31" s="17"/>
      <c r="L31" s="39"/>
      <c r="M31" s="39"/>
      <c r="N31" s="39"/>
      <c r="O31" s="39"/>
      <c r="P31" s="39"/>
      <c r="Q31" s="39"/>
      <c r="R31" s="39"/>
      <c r="S31" s="39"/>
      <c r="T31" s="39"/>
      <c r="U31" s="39">
        <v>0</v>
      </c>
      <c r="V31" s="39">
        <v>0</v>
      </c>
      <c r="W31" s="39">
        <v>0</v>
      </c>
      <c r="X31" s="39">
        <v>0</v>
      </c>
      <c r="Y31" s="39">
        <f>(1 - CUSTOS!$M$28)*27.4702</f>
        <v>27.470199999999998</v>
      </c>
      <c r="Z31" s="39">
        <v>0</v>
      </c>
      <c r="AA31" s="39">
        <v>0</v>
      </c>
      <c r="AB31" s="39"/>
      <c r="AC31" s="39">
        <f>(1 - CUSTOS!$M$28)*388.9056</f>
        <v>388.90559999999999</v>
      </c>
      <c r="AD31" s="39"/>
      <c r="AE31" s="39"/>
      <c r="AF31" s="39"/>
      <c r="AG31" s="39"/>
      <c r="AH31" s="39"/>
      <c r="AI31" s="39"/>
      <c r="AJ31" s="39"/>
      <c r="AK31" s="39"/>
      <c r="AL31" s="39"/>
      <c r="AM31" s="39"/>
      <c r="AP31" s="39">
        <f>IF((1 - CUSTOS!$M$28)&lt;&gt;0,1/(1 - CUSTOS!$M$28),1)</f>
        <v>1</v>
      </c>
    </row>
    <row r="32" spans="1:42" ht="11.25" customHeight="1" x14ac:dyDescent="0.25">
      <c r="A32" s="134"/>
      <c r="B32" s="134"/>
      <c r="C32" s="134"/>
      <c r="D32" s="134"/>
      <c r="E32" s="134"/>
      <c r="F32" s="134"/>
      <c r="G32" s="21" t="s">
        <v>73</v>
      </c>
      <c r="H32" s="21" t="s">
        <v>71</v>
      </c>
      <c r="I32" s="21">
        <f>'MERCADO TUSD'!$U$29</f>
        <v>0</v>
      </c>
      <c r="J32" s="17"/>
      <c r="L32" s="39"/>
      <c r="M32" s="39"/>
      <c r="N32" s="39"/>
      <c r="O32" s="39"/>
      <c r="P32" s="39"/>
      <c r="Q32" s="39"/>
      <c r="R32" s="39"/>
      <c r="S32" s="39"/>
      <c r="T32" s="39"/>
      <c r="U32" s="39">
        <v>0</v>
      </c>
      <c r="V32" s="39">
        <v>0</v>
      </c>
      <c r="W32" s="39">
        <v>0</v>
      </c>
      <c r="X32" s="39">
        <v>0</v>
      </c>
      <c r="Y32" s="39">
        <f>(1 - CUSTOS!$M$28)*9.1567</f>
        <v>9.1567000000000007</v>
      </c>
      <c r="Z32" s="39">
        <v>0</v>
      </c>
      <c r="AA32" s="39">
        <v>0</v>
      </c>
      <c r="AB32" s="39"/>
      <c r="AC32" s="39">
        <f>(1 - CUSTOS!$M$28)*129.6352</f>
        <v>129.6352</v>
      </c>
      <c r="AD32" s="39"/>
      <c r="AE32" s="39"/>
      <c r="AF32" s="39"/>
      <c r="AG32" s="39"/>
      <c r="AH32" s="39"/>
      <c r="AI32" s="39"/>
      <c r="AJ32" s="39"/>
      <c r="AK32" s="39"/>
      <c r="AL32" s="39"/>
      <c r="AM32" s="39"/>
      <c r="AP32" s="39">
        <f>IF((1 - CUSTOS!$M$28)&lt;&gt;0,1/(1 - CUSTOS!$M$28),1)</f>
        <v>1</v>
      </c>
    </row>
    <row r="33" spans="1:42" ht="11.25" customHeight="1" x14ac:dyDescent="0.25">
      <c r="A33" s="134"/>
      <c r="B33" s="40" t="s">
        <v>23</v>
      </c>
      <c r="C33" s="40" t="s">
        <v>44</v>
      </c>
      <c r="D33" s="40" t="s">
        <v>25</v>
      </c>
      <c r="E33" s="40" t="s">
        <v>25</v>
      </c>
      <c r="F33" s="40" t="s">
        <v>25</v>
      </c>
      <c r="G33" s="21" t="s">
        <v>75</v>
      </c>
      <c r="H33" s="21" t="s">
        <v>71</v>
      </c>
      <c r="I33" s="21">
        <f>'MERCADO TUSD'!$U$30</f>
        <v>3313.4050000000002</v>
      </c>
      <c r="J33" s="17"/>
      <c r="L33" s="39"/>
      <c r="M33" s="39"/>
      <c r="N33" s="39"/>
      <c r="O33" s="39"/>
      <c r="P33" s="39"/>
      <c r="Q33" s="39"/>
      <c r="R33" s="39"/>
      <c r="S33" s="39"/>
      <c r="T33" s="39"/>
      <c r="U33" s="39">
        <v>0</v>
      </c>
      <c r="V33" s="39">
        <v>0</v>
      </c>
      <c r="W33" s="39">
        <v>0</v>
      </c>
      <c r="X33" s="39">
        <v>0</v>
      </c>
      <c r="Y33" s="39">
        <f>(1 - CUSTOS!$M$28)*17.6091</f>
        <v>17.609100000000002</v>
      </c>
      <c r="Z33" s="39">
        <v>0</v>
      </c>
      <c r="AA33" s="39">
        <v>0</v>
      </c>
      <c r="AB33" s="39"/>
      <c r="AC33" s="39">
        <f>(1 - CUSTOS!$M$28)*249.2985</f>
        <v>249.29849999999999</v>
      </c>
      <c r="AD33" s="39"/>
      <c r="AE33" s="39"/>
      <c r="AF33" s="39"/>
      <c r="AG33" s="39"/>
      <c r="AH33" s="39"/>
      <c r="AI33" s="39"/>
      <c r="AJ33" s="39"/>
      <c r="AK33" s="39"/>
      <c r="AL33" s="39"/>
      <c r="AM33" s="39"/>
      <c r="AP33" s="39">
        <f>IF((1 - CUSTOS!$M$28)&lt;&gt;0,1/(1 - CUSTOS!$M$28),1)</f>
        <v>1</v>
      </c>
    </row>
    <row r="34" spans="1:42" ht="11.25" customHeight="1" x14ac:dyDescent="0.25">
      <c r="A34" s="134"/>
      <c r="B34" s="134" t="s">
        <v>37</v>
      </c>
      <c r="C34" s="134" t="s">
        <v>44</v>
      </c>
      <c r="D34" s="134" t="s">
        <v>87</v>
      </c>
      <c r="E34" s="134" t="s">
        <v>25</v>
      </c>
      <c r="F34" s="134" t="s">
        <v>25</v>
      </c>
      <c r="G34" s="21" t="s">
        <v>72</v>
      </c>
      <c r="H34" s="21" t="s">
        <v>71</v>
      </c>
      <c r="I34" s="21">
        <f>'MERCADO TUSD'!$U$31</f>
        <v>0</v>
      </c>
      <c r="J34" s="17"/>
      <c r="L34" s="39"/>
      <c r="M34" s="39"/>
      <c r="N34" s="39"/>
      <c r="O34" s="39"/>
      <c r="P34" s="39"/>
      <c r="Q34" s="39"/>
      <c r="R34" s="39"/>
      <c r="S34" s="39"/>
      <c r="T34" s="39"/>
      <c r="U34" s="39">
        <v>0</v>
      </c>
      <c r="V34" s="39">
        <v>0</v>
      </c>
      <c r="W34" s="39">
        <v>0</v>
      </c>
      <c r="X34" s="39">
        <v>0</v>
      </c>
      <c r="Y34" s="39">
        <f>(1 - CUSTOS!$M$29)*45.7837</f>
        <v>45.783700000000003</v>
      </c>
      <c r="Z34" s="39">
        <v>0</v>
      </c>
      <c r="AA34" s="39">
        <v>0</v>
      </c>
      <c r="AB34" s="39"/>
      <c r="AC34" s="39">
        <f>(1 - CUSTOS!$M$29)*648.1759</f>
        <v>648.17589999999996</v>
      </c>
      <c r="AD34" s="39"/>
      <c r="AE34" s="39"/>
      <c r="AF34" s="39"/>
      <c r="AG34" s="39"/>
      <c r="AH34" s="39"/>
      <c r="AI34" s="39"/>
      <c r="AJ34" s="39"/>
      <c r="AK34" s="39"/>
      <c r="AL34" s="39"/>
      <c r="AM34" s="39"/>
      <c r="AP34" s="39">
        <f>IF((1 - CUSTOS!$M$29)&lt;&gt;0,1/(1 - CUSTOS!$M$29),1)</f>
        <v>1</v>
      </c>
    </row>
    <row r="35" spans="1:42" ht="11.25" customHeight="1" x14ac:dyDescent="0.25">
      <c r="A35" s="134"/>
      <c r="B35" s="134"/>
      <c r="C35" s="134"/>
      <c r="D35" s="134"/>
      <c r="E35" s="134"/>
      <c r="F35" s="134"/>
      <c r="G35" s="21" t="s">
        <v>84</v>
      </c>
      <c r="H35" s="21" t="s">
        <v>71</v>
      </c>
      <c r="I35" s="21">
        <f>'MERCADO TUSD'!$U$32</f>
        <v>0</v>
      </c>
      <c r="J35" s="17"/>
      <c r="L35" s="39"/>
      <c r="M35" s="39"/>
      <c r="N35" s="39"/>
      <c r="O35" s="39"/>
      <c r="P35" s="39"/>
      <c r="Q35" s="39"/>
      <c r="R35" s="39"/>
      <c r="S35" s="39"/>
      <c r="T35" s="39"/>
      <c r="U35" s="39">
        <v>0</v>
      </c>
      <c r="V35" s="39">
        <v>0</v>
      </c>
      <c r="W35" s="39">
        <v>0</v>
      </c>
      <c r="X35" s="39">
        <v>0</v>
      </c>
      <c r="Y35" s="39">
        <f>(1 - CUSTOS!$M$29)*27.4702</f>
        <v>27.470199999999998</v>
      </c>
      <c r="Z35" s="39">
        <v>0</v>
      </c>
      <c r="AA35" s="39">
        <v>0</v>
      </c>
      <c r="AB35" s="39"/>
      <c r="AC35" s="39">
        <f>(1 - CUSTOS!$M$29)*388.9056</f>
        <v>388.90559999999999</v>
      </c>
      <c r="AD35" s="39"/>
      <c r="AE35" s="39"/>
      <c r="AF35" s="39"/>
      <c r="AG35" s="39"/>
      <c r="AH35" s="39"/>
      <c r="AI35" s="39"/>
      <c r="AJ35" s="39"/>
      <c r="AK35" s="39"/>
      <c r="AL35" s="39"/>
      <c r="AM35" s="39"/>
      <c r="AP35" s="39">
        <f>IF((1 - CUSTOS!$M$29)&lt;&gt;0,1/(1 - CUSTOS!$M$29),1)</f>
        <v>1</v>
      </c>
    </row>
    <row r="36" spans="1:42" ht="11.25" customHeight="1" x14ac:dyDescent="0.25">
      <c r="A36" s="134"/>
      <c r="B36" s="134"/>
      <c r="C36" s="134"/>
      <c r="D36" s="134"/>
      <c r="E36" s="134"/>
      <c r="F36" s="134"/>
      <c r="G36" s="21" t="s">
        <v>73</v>
      </c>
      <c r="H36" s="21" t="s">
        <v>71</v>
      </c>
      <c r="I36" s="21">
        <f>'MERCADO TUSD'!$U$33</f>
        <v>0</v>
      </c>
      <c r="J36" s="17"/>
      <c r="L36" s="39"/>
      <c r="M36" s="39"/>
      <c r="N36" s="39"/>
      <c r="O36" s="39"/>
      <c r="P36" s="39"/>
      <c r="Q36" s="39"/>
      <c r="R36" s="39"/>
      <c r="S36" s="39"/>
      <c r="T36" s="39"/>
      <c r="U36" s="39">
        <v>0</v>
      </c>
      <c r="V36" s="39">
        <v>0</v>
      </c>
      <c r="W36" s="39">
        <v>0</v>
      </c>
      <c r="X36" s="39">
        <v>0</v>
      </c>
      <c r="Y36" s="39">
        <f>(1 - CUSTOS!$M$29)*9.1567</f>
        <v>9.1567000000000007</v>
      </c>
      <c r="Z36" s="39">
        <v>0</v>
      </c>
      <c r="AA36" s="39">
        <v>0</v>
      </c>
      <c r="AB36" s="39"/>
      <c r="AC36" s="39">
        <f>(1 - CUSTOS!$M$29)*129.6352</f>
        <v>129.6352</v>
      </c>
      <c r="AD36" s="39"/>
      <c r="AE36" s="39"/>
      <c r="AF36" s="39"/>
      <c r="AG36" s="39"/>
      <c r="AH36" s="39"/>
      <c r="AI36" s="39"/>
      <c r="AJ36" s="39"/>
      <c r="AK36" s="39"/>
      <c r="AL36" s="39"/>
      <c r="AM36" s="39"/>
      <c r="AP36" s="39">
        <f>IF((1 - CUSTOS!$M$29)&lt;&gt;0,1/(1 - CUSTOS!$M$29),1)</f>
        <v>1</v>
      </c>
    </row>
    <row r="37" spans="1:42" ht="11.25" customHeight="1" x14ac:dyDescent="0.25">
      <c r="A37" s="134"/>
      <c r="B37" s="40" t="s">
        <v>23</v>
      </c>
      <c r="C37" s="40" t="s">
        <v>44</v>
      </c>
      <c r="D37" s="40" t="s">
        <v>87</v>
      </c>
      <c r="E37" s="40" t="s">
        <v>25</v>
      </c>
      <c r="F37" s="40" t="s">
        <v>25</v>
      </c>
      <c r="G37" s="21" t="s">
        <v>75</v>
      </c>
      <c r="H37" s="21" t="s">
        <v>71</v>
      </c>
      <c r="I37" s="21">
        <f>'MERCADO TUSD'!$U$34</f>
        <v>0</v>
      </c>
      <c r="J37" s="17"/>
      <c r="L37" s="39"/>
      <c r="M37" s="39"/>
      <c r="N37" s="39"/>
      <c r="O37" s="39"/>
      <c r="P37" s="39"/>
      <c r="Q37" s="39"/>
      <c r="R37" s="39"/>
      <c r="S37" s="39"/>
      <c r="T37" s="39"/>
      <c r="U37" s="39">
        <v>0</v>
      </c>
      <c r="V37" s="39">
        <v>0</v>
      </c>
      <c r="W37" s="39">
        <v>0</v>
      </c>
      <c r="X37" s="39">
        <v>0</v>
      </c>
      <c r="Y37" s="39">
        <f>(1 - CUSTOS!$M$29)*17.6091</f>
        <v>17.609100000000002</v>
      </c>
      <c r="Z37" s="39">
        <v>0</v>
      </c>
      <c r="AA37" s="39">
        <v>0</v>
      </c>
      <c r="AB37" s="39"/>
      <c r="AC37" s="39">
        <f>(1 - CUSTOS!$M$29)*249.2985</f>
        <v>249.29849999999999</v>
      </c>
      <c r="AD37" s="39"/>
      <c r="AE37" s="39"/>
      <c r="AF37" s="39"/>
      <c r="AG37" s="39"/>
      <c r="AH37" s="39"/>
      <c r="AI37" s="39"/>
      <c r="AJ37" s="39"/>
      <c r="AK37" s="39"/>
      <c r="AL37" s="39"/>
      <c r="AM37" s="39"/>
      <c r="AP37" s="39">
        <f>IF((1 - CUSTOS!$M$29)&lt;&gt;0,1/(1 - CUSTOS!$M$29),1)</f>
        <v>1</v>
      </c>
    </row>
    <row r="38" spans="1:42" ht="11.25" customHeight="1" x14ac:dyDescent="0.25">
      <c r="A38" s="134"/>
      <c r="B38" s="134" t="s">
        <v>37</v>
      </c>
      <c r="C38" s="134" t="s">
        <v>44</v>
      </c>
      <c r="D38" s="134" t="s">
        <v>88</v>
      </c>
      <c r="E38" s="134" t="s">
        <v>25</v>
      </c>
      <c r="F38" s="134" t="s">
        <v>25</v>
      </c>
      <c r="G38" s="21" t="s">
        <v>72</v>
      </c>
      <c r="H38" s="21" t="s">
        <v>71</v>
      </c>
      <c r="I38" s="21">
        <f>'MERCADO TUSD'!$U$35</f>
        <v>0</v>
      </c>
      <c r="J38" s="17"/>
      <c r="L38" s="39"/>
      <c r="M38" s="39"/>
      <c r="N38" s="39"/>
      <c r="O38" s="39"/>
      <c r="P38" s="39"/>
      <c r="Q38" s="39"/>
      <c r="R38" s="39"/>
      <c r="S38" s="39"/>
      <c r="T38" s="39"/>
      <c r="U38" s="39">
        <v>0</v>
      </c>
      <c r="V38" s="39">
        <v>0</v>
      </c>
      <c r="W38" s="39">
        <v>0</v>
      </c>
      <c r="X38" s="39">
        <v>0</v>
      </c>
      <c r="Y38" s="39">
        <f>(1 - CUSTOS!$M$30)*45.7837</f>
        <v>45.783700000000003</v>
      </c>
      <c r="Z38" s="39">
        <v>0</v>
      </c>
      <c r="AA38" s="39">
        <v>0</v>
      </c>
      <c r="AB38" s="39"/>
      <c r="AC38" s="39">
        <f>(1 - CUSTOS!$M$30)*648.1759</f>
        <v>648.17589999999996</v>
      </c>
      <c r="AD38" s="39"/>
      <c r="AE38" s="39"/>
      <c r="AF38" s="39"/>
      <c r="AG38" s="39"/>
      <c r="AH38" s="39"/>
      <c r="AI38" s="39"/>
      <c r="AJ38" s="39"/>
      <c r="AK38" s="39"/>
      <c r="AL38" s="39"/>
      <c r="AM38" s="39"/>
      <c r="AP38" s="39">
        <f>IF((1 - CUSTOS!$M$30)&lt;&gt;0,1/(1 - CUSTOS!$M$30),1)</f>
        <v>1</v>
      </c>
    </row>
    <row r="39" spans="1:42" ht="11.25" customHeight="1" x14ac:dyDescent="0.25">
      <c r="A39" s="134"/>
      <c r="B39" s="134"/>
      <c r="C39" s="134"/>
      <c r="D39" s="134"/>
      <c r="E39" s="134"/>
      <c r="F39" s="134"/>
      <c r="G39" s="21" t="s">
        <v>84</v>
      </c>
      <c r="H39" s="21" t="s">
        <v>71</v>
      </c>
      <c r="I39" s="21">
        <f>'MERCADO TUSD'!$U$36</f>
        <v>0</v>
      </c>
      <c r="J39" s="17"/>
      <c r="L39" s="39"/>
      <c r="M39" s="39"/>
      <c r="N39" s="39"/>
      <c r="O39" s="39"/>
      <c r="P39" s="39"/>
      <c r="Q39" s="39"/>
      <c r="R39" s="39"/>
      <c r="S39" s="39"/>
      <c r="T39" s="39"/>
      <c r="U39" s="39">
        <v>0</v>
      </c>
      <c r="V39" s="39">
        <v>0</v>
      </c>
      <c r="W39" s="39">
        <v>0</v>
      </c>
      <c r="X39" s="39">
        <v>0</v>
      </c>
      <c r="Y39" s="39">
        <f>(1 - CUSTOS!$M$30)*27.4702</f>
        <v>27.470199999999998</v>
      </c>
      <c r="Z39" s="39">
        <v>0</v>
      </c>
      <c r="AA39" s="39">
        <v>0</v>
      </c>
      <c r="AB39" s="39"/>
      <c r="AC39" s="39">
        <f>(1 - CUSTOS!$M$30)*388.9056</f>
        <v>388.90559999999999</v>
      </c>
      <c r="AD39" s="39"/>
      <c r="AE39" s="39"/>
      <c r="AF39" s="39"/>
      <c r="AG39" s="39"/>
      <c r="AH39" s="39"/>
      <c r="AI39" s="39"/>
      <c r="AJ39" s="39"/>
      <c r="AK39" s="39"/>
      <c r="AL39" s="39"/>
      <c r="AM39" s="39"/>
      <c r="AP39" s="39">
        <f>IF((1 - CUSTOS!$M$30)&lt;&gt;0,1/(1 - CUSTOS!$M$30),1)</f>
        <v>1</v>
      </c>
    </row>
    <row r="40" spans="1:42" ht="11.25" customHeight="1" x14ac:dyDescent="0.25">
      <c r="A40" s="134"/>
      <c r="B40" s="134"/>
      <c r="C40" s="134"/>
      <c r="D40" s="134"/>
      <c r="E40" s="134"/>
      <c r="F40" s="134"/>
      <c r="G40" s="21" t="s">
        <v>73</v>
      </c>
      <c r="H40" s="21" t="s">
        <v>71</v>
      </c>
      <c r="I40" s="21">
        <f>'MERCADO TUSD'!$U$37</f>
        <v>0</v>
      </c>
      <c r="J40" s="17"/>
      <c r="L40" s="39"/>
      <c r="M40" s="39"/>
      <c r="N40" s="39"/>
      <c r="O40" s="39"/>
      <c r="P40" s="39"/>
      <c r="Q40" s="39"/>
      <c r="R40" s="39"/>
      <c r="S40" s="39"/>
      <c r="T40" s="39"/>
      <c r="U40" s="39">
        <v>0</v>
      </c>
      <c r="V40" s="39">
        <v>0</v>
      </c>
      <c r="W40" s="39">
        <v>0</v>
      </c>
      <c r="X40" s="39">
        <v>0</v>
      </c>
      <c r="Y40" s="39">
        <f>(1 - CUSTOS!$M$30)*9.1567</f>
        <v>9.1567000000000007</v>
      </c>
      <c r="Z40" s="39">
        <v>0</v>
      </c>
      <c r="AA40" s="39">
        <v>0</v>
      </c>
      <c r="AB40" s="39"/>
      <c r="AC40" s="39">
        <f>(1 - CUSTOS!$M$30)*129.6352</f>
        <v>129.6352</v>
      </c>
      <c r="AD40" s="39"/>
      <c r="AE40" s="39"/>
      <c r="AF40" s="39"/>
      <c r="AG40" s="39"/>
      <c r="AH40" s="39"/>
      <c r="AI40" s="39"/>
      <c r="AJ40" s="39"/>
      <c r="AK40" s="39"/>
      <c r="AL40" s="39"/>
      <c r="AM40" s="39"/>
      <c r="AP40" s="39">
        <f>IF((1 - CUSTOS!$M$30)&lt;&gt;0,1/(1 - CUSTOS!$M$30),1)</f>
        <v>1</v>
      </c>
    </row>
    <row r="41" spans="1:42" ht="11.25" customHeight="1" x14ac:dyDescent="0.25">
      <c r="A41" s="134"/>
      <c r="B41" s="40" t="s">
        <v>23</v>
      </c>
      <c r="C41" s="40" t="s">
        <v>44</v>
      </c>
      <c r="D41" s="40" t="s">
        <v>88</v>
      </c>
      <c r="E41" s="40" t="s">
        <v>25</v>
      </c>
      <c r="F41" s="40" t="s">
        <v>25</v>
      </c>
      <c r="G41" s="21" t="s">
        <v>75</v>
      </c>
      <c r="H41" s="21" t="s">
        <v>71</v>
      </c>
      <c r="I41" s="21">
        <f>'MERCADO TUSD'!$U$38</f>
        <v>0</v>
      </c>
      <c r="J41" s="17"/>
      <c r="L41" s="39"/>
      <c r="M41" s="39"/>
      <c r="N41" s="39"/>
      <c r="O41" s="39"/>
      <c r="P41" s="39"/>
      <c r="Q41" s="39"/>
      <c r="R41" s="39"/>
      <c r="S41" s="39"/>
      <c r="T41" s="39"/>
      <c r="U41" s="39">
        <v>0</v>
      </c>
      <c r="V41" s="39">
        <v>0</v>
      </c>
      <c r="W41" s="39">
        <v>0</v>
      </c>
      <c r="X41" s="39">
        <v>0</v>
      </c>
      <c r="Y41" s="39">
        <f>(1 - CUSTOS!$M$30)*17.6091</f>
        <v>17.609100000000002</v>
      </c>
      <c r="Z41" s="39">
        <v>0</v>
      </c>
      <c r="AA41" s="39">
        <v>0</v>
      </c>
      <c r="AB41" s="39"/>
      <c r="AC41" s="39">
        <f>(1 - CUSTOS!$M$30)*249.2985</f>
        <v>249.29849999999999</v>
      </c>
      <c r="AD41" s="39"/>
      <c r="AE41" s="39"/>
      <c r="AF41" s="39"/>
      <c r="AG41" s="39"/>
      <c r="AH41" s="39"/>
      <c r="AI41" s="39"/>
      <c r="AJ41" s="39"/>
      <c r="AK41" s="39"/>
      <c r="AL41" s="39"/>
      <c r="AM41" s="39"/>
      <c r="AP41" s="39">
        <f>IF((1 - CUSTOS!$M$30)&lt;&gt;0,1/(1 - CUSTOS!$M$30),1)</f>
        <v>1</v>
      </c>
    </row>
    <row r="42" spans="1:42" ht="11.25" customHeight="1" x14ac:dyDescent="0.25">
      <c r="A42" s="134"/>
      <c r="B42" s="134" t="s">
        <v>86</v>
      </c>
      <c r="C42" s="134" t="s">
        <v>44</v>
      </c>
      <c r="D42" s="40" t="s">
        <v>25</v>
      </c>
      <c r="E42" s="40" t="s">
        <v>25</v>
      </c>
      <c r="F42" s="40" t="s">
        <v>25</v>
      </c>
      <c r="G42" s="21" t="s">
        <v>75</v>
      </c>
      <c r="H42" s="21" t="s">
        <v>71</v>
      </c>
      <c r="I42" s="21">
        <f>'MERCADO TUSD'!$U$39</f>
        <v>0</v>
      </c>
      <c r="J42" s="17"/>
      <c r="L42" s="39"/>
      <c r="M42" s="39"/>
      <c r="N42" s="39"/>
      <c r="O42" s="39"/>
      <c r="P42" s="39"/>
      <c r="Q42" s="39"/>
      <c r="R42" s="39"/>
      <c r="S42" s="39"/>
      <c r="T42" s="39"/>
      <c r="U42" s="39">
        <v>0</v>
      </c>
      <c r="V42" s="39">
        <v>0</v>
      </c>
      <c r="W42" s="39">
        <v>0</v>
      </c>
      <c r="X42" s="39">
        <v>0</v>
      </c>
      <c r="Y42" s="39">
        <f>(1 - CUSTOS!$M$28)*17.6091</f>
        <v>17.609100000000002</v>
      </c>
      <c r="Z42" s="39">
        <v>0</v>
      </c>
      <c r="AA42" s="39">
        <v>0</v>
      </c>
      <c r="AB42" s="39"/>
      <c r="AC42" s="39">
        <f>(1 - CUSTOS!$M$28)*249.2985</f>
        <v>249.29849999999999</v>
      </c>
      <c r="AD42" s="39"/>
      <c r="AE42" s="39"/>
      <c r="AF42" s="39"/>
      <c r="AG42" s="39"/>
      <c r="AH42" s="39"/>
      <c r="AI42" s="39"/>
      <c r="AJ42" s="39"/>
      <c r="AK42" s="39"/>
      <c r="AL42" s="39"/>
      <c r="AM42" s="39"/>
      <c r="AP42" s="39">
        <f>IF((1 - CUSTOS!$M$28)&lt;&gt;0,1/(1 - CUSTOS!$M$28),1)</f>
        <v>1</v>
      </c>
    </row>
    <row r="43" spans="1:42" ht="11.25" customHeight="1" x14ac:dyDescent="0.25">
      <c r="A43" s="134"/>
      <c r="B43" s="134"/>
      <c r="C43" s="134"/>
      <c r="D43" s="40" t="s">
        <v>87</v>
      </c>
      <c r="E43" s="40" t="s">
        <v>25</v>
      </c>
      <c r="F43" s="40" t="s">
        <v>25</v>
      </c>
      <c r="G43" s="21" t="s">
        <v>75</v>
      </c>
      <c r="H43" s="21" t="s">
        <v>71</v>
      </c>
      <c r="I43" s="21">
        <f>'MERCADO TUSD'!$U$40</f>
        <v>0</v>
      </c>
      <c r="J43" s="17"/>
      <c r="L43" s="39"/>
      <c r="M43" s="39"/>
      <c r="N43" s="39"/>
      <c r="O43" s="39"/>
      <c r="P43" s="39"/>
      <c r="Q43" s="39"/>
      <c r="R43" s="39"/>
      <c r="S43" s="39"/>
      <c r="T43" s="39"/>
      <c r="U43" s="39">
        <v>0</v>
      </c>
      <c r="V43" s="39">
        <v>0</v>
      </c>
      <c r="W43" s="39">
        <v>0</v>
      </c>
      <c r="X43" s="39">
        <v>0</v>
      </c>
      <c r="Y43" s="39">
        <f>(1 - CUSTOS!$M$29)*17.6091</f>
        <v>17.609100000000002</v>
      </c>
      <c r="Z43" s="39">
        <v>0</v>
      </c>
      <c r="AA43" s="39">
        <v>0</v>
      </c>
      <c r="AB43" s="39"/>
      <c r="AC43" s="39">
        <f>(1 - CUSTOS!$M$29)*249.2985</f>
        <v>249.29849999999999</v>
      </c>
      <c r="AD43" s="39"/>
      <c r="AE43" s="39"/>
      <c r="AF43" s="39"/>
      <c r="AG43" s="39"/>
      <c r="AH43" s="39"/>
      <c r="AI43" s="39"/>
      <c r="AJ43" s="39"/>
      <c r="AK43" s="39"/>
      <c r="AL43" s="39"/>
      <c r="AM43" s="39"/>
      <c r="AP43" s="39">
        <f>IF((1 - CUSTOS!$M$29)&lt;&gt;0,1/(1 - CUSTOS!$M$29),1)</f>
        <v>1</v>
      </c>
    </row>
    <row r="44" spans="1:42" ht="11.25" customHeight="1" x14ac:dyDescent="0.25">
      <c r="A44" s="134"/>
      <c r="B44" s="134"/>
      <c r="C44" s="134"/>
      <c r="D44" s="40" t="s">
        <v>88</v>
      </c>
      <c r="E44" s="40" t="s">
        <v>25</v>
      </c>
      <c r="F44" s="40" t="s">
        <v>25</v>
      </c>
      <c r="G44" s="21" t="s">
        <v>75</v>
      </c>
      <c r="H44" s="21" t="s">
        <v>71</v>
      </c>
      <c r="I44" s="21">
        <f>'MERCADO TUSD'!$U$41</f>
        <v>0</v>
      </c>
      <c r="J44" s="17"/>
      <c r="L44" s="39"/>
      <c r="M44" s="39"/>
      <c r="N44" s="39"/>
      <c r="O44" s="39"/>
      <c r="P44" s="39"/>
      <c r="Q44" s="39"/>
      <c r="R44" s="39"/>
      <c r="S44" s="39"/>
      <c r="T44" s="39"/>
      <c r="U44" s="39">
        <v>0</v>
      </c>
      <c r="V44" s="39">
        <v>0</v>
      </c>
      <c r="W44" s="39">
        <v>0</v>
      </c>
      <c r="X44" s="39">
        <v>0</v>
      </c>
      <c r="Y44" s="39">
        <f>(1 - CUSTOS!$M$30)*17.6091</f>
        <v>17.609100000000002</v>
      </c>
      <c r="Z44" s="39">
        <v>0</v>
      </c>
      <c r="AA44" s="39">
        <v>0</v>
      </c>
      <c r="AB44" s="39"/>
      <c r="AC44" s="39">
        <f>(1 - CUSTOS!$M$30)*249.2985</f>
        <v>249.29849999999999</v>
      </c>
      <c r="AD44" s="39"/>
      <c r="AE44" s="39"/>
      <c r="AF44" s="39"/>
      <c r="AG44" s="39"/>
      <c r="AH44" s="39"/>
      <c r="AI44" s="39"/>
      <c r="AJ44" s="39"/>
      <c r="AK44" s="39"/>
      <c r="AL44" s="39"/>
      <c r="AM44" s="39"/>
      <c r="AP44" s="39">
        <f>IF((1 - CUSTOS!$M$30)&lt;&gt;0,1/(1 - CUSTOS!$M$30),1)</f>
        <v>1</v>
      </c>
    </row>
    <row r="45" spans="1:42" ht="11.25" customHeight="1" x14ac:dyDescent="0.25">
      <c r="A45" s="134" t="s">
        <v>39</v>
      </c>
      <c r="B45" s="134" t="s">
        <v>37</v>
      </c>
      <c r="C45" s="134" t="s">
        <v>25</v>
      </c>
      <c r="D45" s="134" t="s">
        <v>25</v>
      </c>
      <c r="E45" s="134" t="s">
        <v>25</v>
      </c>
      <c r="F45" s="134" t="s">
        <v>25</v>
      </c>
      <c r="G45" s="21" t="s">
        <v>72</v>
      </c>
      <c r="H45" s="21" t="s">
        <v>71</v>
      </c>
      <c r="I45" s="21">
        <f>'MERCADO TUSD'!$U$42</f>
        <v>0</v>
      </c>
      <c r="J45" s="17"/>
      <c r="L45" s="39"/>
      <c r="M45" s="39"/>
      <c r="N45" s="39"/>
      <c r="O45" s="39"/>
      <c r="P45" s="39"/>
      <c r="Q45" s="39"/>
      <c r="R45" s="39"/>
      <c r="S45" s="39"/>
      <c r="T45" s="39"/>
      <c r="U45" s="39">
        <v>0</v>
      </c>
      <c r="V45" s="39">
        <v>0</v>
      </c>
      <c r="W45" s="39">
        <v>0</v>
      </c>
      <c r="X45" s="39">
        <v>0</v>
      </c>
      <c r="Y45" s="39">
        <f>(1 - CUSTOS!$M$31)*53.7078</f>
        <v>53.707799999999999</v>
      </c>
      <c r="Z45" s="39">
        <v>0</v>
      </c>
      <c r="AA45" s="39">
        <v>0</v>
      </c>
      <c r="AB45" s="39"/>
      <c r="AC45" s="39">
        <f>(1 - CUSTOS!$M$31)*760.3601</f>
        <v>760.36009999999999</v>
      </c>
      <c r="AD45" s="39"/>
      <c r="AE45" s="39"/>
      <c r="AF45" s="39"/>
      <c r="AG45" s="39"/>
      <c r="AH45" s="39"/>
      <c r="AI45" s="39"/>
      <c r="AJ45" s="39"/>
      <c r="AK45" s="39"/>
      <c r="AL45" s="39"/>
      <c r="AM45" s="39"/>
      <c r="AP45" s="39">
        <f>IF((1 - CUSTOS!$M$31)&lt;&gt;0,1/(1 - CUSTOS!$M$31),1)</f>
        <v>1</v>
      </c>
    </row>
    <row r="46" spans="1:42" ht="11.25" customHeight="1" x14ac:dyDescent="0.25">
      <c r="A46" s="134"/>
      <c r="B46" s="134"/>
      <c r="C46" s="134"/>
      <c r="D46" s="134"/>
      <c r="E46" s="134"/>
      <c r="F46" s="134"/>
      <c r="G46" s="21" t="s">
        <v>84</v>
      </c>
      <c r="H46" s="21" t="s">
        <v>71</v>
      </c>
      <c r="I46" s="21">
        <f>'MERCADO TUSD'!$U$43</f>
        <v>0</v>
      </c>
      <c r="J46" s="17"/>
      <c r="L46" s="39"/>
      <c r="M46" s="39"/>
      <c r="N46" s="39"/>
      <c r="O46" s="39"/>
      <c r="P46" s="39"/>
      <c r="Q46" s="39"/>
      <c r="R46" s="39"/>
      <c r="S46" s="39"/>
      <c r="T46" s="39"/>
      <c r="U46" s="39">
        <v>0</v>
      </c>
      <c r="V46" s="39">
        <v>0</v>
      </c>
      <c r="W46" s="39">
        <v>0</v>
      </c>
      <c r="X46" s="39">
        <v>0</v>
      </c>
      <c r="Y46" s="39">
        <f>(1 - CUSTOS!$M$31)*32.2247</f>
        <v>32.224699999999999</v>
      </c>
      <c r="Z46" s="39">
        <v>0</v>
      </c>
      <c r="AA46" s="39">
        <v>0</v>
      </c>
      <c r="AB46" s="39"/>
      <c r="AC46" s="39">
        <f>(1 - CUSTOS!$M$31)*456.2161</f>
        <v>456.21609999999998</v>
      </c>
      <c r="AD46" s="39"/>
      <c r="AE46" s="39"/>
      <c r="AF46" s="39"/>
      <c r="AG46" s="39"/>
      <c r="AH46" s="39"/>
      <c r="AI46" s="39"/>
      <c r="AJ46" s="39"/>
      <c r="AK46" s="39"/>
      <c r="AL46" s="39"/>
      <c r="AM46" s="39"/>
      <c r="AP46" s="39">
        <f>IF((1 - CUSTOS!$M$31)&lt;&gt;0,1/(1 - CUSTOS!$M$31),1)</f>
        <v>1</v>
      </c>
    </row>
    <row r="47" spans="1:42" ht="11.25" customHeight="1" x14ac:dyDescent="0.25">
      <c r="A47" s="134"/>
      <c r="B47" s="134"/>
      <c r="C47" s="134"/>
      <c r="D47" s="134"/>
      <c r="E47" s="134"/>
      <c r="F47" s="134"/>
      <c r="G47" s="21" t="s">
        <v>73</v>
      </c>
      <c r="H47" s="21" t="s">
        <v>71</v>
      </c>
      <c r="I47" s="21">
        <f>'MERCADO TUSD'!$U$44</f>
        <v>0</v>
      </c>
      <c r="J47" s="17"/>
      <c r="L47" s="39"/>
      <c r="M47" s="39"/>
      <c r="N47" s="39"/>
      <c r="O47" s="39"/>
      <c r="P47" s="39"/>
      <c r="Q47" s="39"/>
      <c r="R47" s="39"/>
      <c r="S47" s="39"/>
      <c r="T47" s="39"/>
      <c r="U47" s="39">
        <v>0</v>
      </c>
      <c r="V47" s="39">
        <v>0</v>
      </c>
      <c r="W47" s="39">
        <v>0</v>
      </c>
      <c r="X47" s="39">
        <v>0</v>
      </c>
      <c r="Y47" s="39">
        <f>(1 - CUSTOS!$M$31)*10.7416</f>
        <v>10.7416</v>
      </c>
      <c r="Z47" s="39">
        <v>0</v>
      </c>
      <c r="AA47" s="39">
        <v>0</v>
      </c>
      <c r="AB47" s="39"/>
      <c r="AC47" s="39">
        <f>(1 - CUSTOS!$M$31)*152.072</f>
        <v>152.072</v>
      </c>
      <c r="AD47" s="39"/>
      <c r="AE47" s="39"/>
      <c r="AF47" s="39"/>
      <c r="AG47" s="39"/>
      <c r="AH47" s="39"/>
      <c r="AI47" s="39"/>
      <c r="AJ47" s="39"/>
      <c r="AK47" s="39"/>
      <c r="AL47" s="39"/>
      <c r="AM47" s="39"/>
      <c r="AP47" s="39">
        <f>IF((1 - CUSTOS!$M$31)&lt;&gt;0,1/(1 - CUSTOS!$M$31),1)</f>
        <v>1</v>
      </c>
    </row>
    <row r="48" spans="1:42" ht="11.25" customHeight="1" x14ac:dyDescent="0.25">
      <c r="A48" s="134"/>
      <c r="B48" s="40" t="s">
        <v>23</v>
      </c>
      <c r="C48" s="40" t="s">
        <v>25</v>
      </c>
      <c r="D48" s="40" t="s">
        <v>25</v>
      </c>
      <c r="E48" s="40" t="s">
        <v>25</v>
      </c>
      <c r="F48" s="40" t="s">
        <v>25</v>
      </c>
      <c r="G48" s="21" t="s">
        <v>75</v>
      </c>
      <c r="H48" s="21" t="s">
        <v>71</v>
      </c>
      <c r="I48" s="21">
        <f>'MERCADO TUSD'!$U$45</f>
        <v>4622.2640000000001</v>
      </c>
      <c r="J48" s="17"/>
      <c r="L48" s="39"/>
      <c r="M48" s="39"/>
      <c r="N48" s="39"/>
      <c r="O48" s="39"/>
      <c r="P48" s="39"/>
      <c r="Q48" s="39"/>
      <c r="R48" s="39"/>
      <c r="S48" s="39"/>
      <c r="T48" s="39"/>
      <c r="U48" s="39">
        <v>0</v>
      </c>
      <c r="V48" s="39">
        <v>0</v>
      </c>
      <c r="W48" s="39">
        <v>0</v>
      </c>
      <c r="X48" s="39">
        <v>0</v>
      </c>
      <c r="Y48" s="39">
        <f>(1 - CUSTOS!$M$31)*17.6091</f>
        <v>17.609100000000002</v>
      </c>
      <c r="Z48" s="39">
        <v>0</v>
      </c>
      <c r="AA48" s="39">
        <v>0</v>
      </c>
      <c r="AB48" s="39"/>
      <c r="AC48" s="39">
        <f>(1 - CUSTOS!$M$31)*249.2985</f>
        <v>249.29849999999999</v>
      </c>
      <c r="AD48" s="39"/>
      <c r="AE48" s="39"/>
      <c r="AF48" s="39"/>
      <c r="AG48" s="39"/>
      <c r="AH48" s="39"/>
      <c r="AI48" s="39"/>
      <c r="AJ48" s="39"/>
      <c r="AK48" s="39"/>
      <c r="AL48" s="39"/>
      <c r="AM48" s="39"/>
      <c r="AP48" s="39">
        <f>IF((1 - CUSTOS!$M$31)&lt;&gt;0,1/(1 - CUSTOS!$M$31),1)</f>
        <v>1</v>
      </c>
    </row>
    <row r="49" spans="1:42" ht="11.25" customHeight="1" x14ac:dyDescent="0.25">
      <c r="A49" s="134"/>
      <c r="B49" s="40" t="s">
        <v>86</v>
      </c>
      <c r="C49" s="40" t="s">
        <v>25</v>
      </c>
      <c r="D49" s="40" t="s">
        <v>25</v>
      </c>
      <c r="E49" s="40" t="s">
        <v>25</v>
      </c>
      <c r="F49" s="40" t="s">
        <v>25</v>
      </c>
      <c r="G49" s="21" t="s">
        <v>75</v>
      </c>
      <c r="H49" s="21" t="s">
        <v>71</v>
      </c>
      <c r="I49" s="21">
        <f>'MERCADO TUSD'!$U$46</f>
        <v>0</v>
      </c>
      <c r="J49" s="17"/>
      <c r="L49" s="39"/>
      <c r="M49" s="39"/>
      <c r="N49" s="39"/>
      <c r="O49" s="39"/>
      <c r="P49" s="39"/>
      <c r="Q49" s="39"/>
      <c r="R49" s="39"/>
      <c r="S49" s="39"/>
      <c r="T49" s="39"/>
      <c r="U49" s="39">
        <v>0</v>
      </c>
      <c r="V49" s="39">
        <v>0</v>
      </c>
      <c r="W49" s="39">
        <v>0</v>
      </c>
      <c r="X49" s="39">
        <v>0</v>
      </c>
      <c r="Y49" s="39">
        <f>(1 - CUSTOS!$M$31)*17.6091</f>
        <v>17.609100000000002</v>
      </c>
      <c r="Z49" s="39">
        <v>0</v>
      </c>
      <c r="AA49" s="39">
        <v>0</v>
      </c>
      <c r="AB49" s="39"/>
      <c r="AC49" s="39">
        <f>(1 - CUSTOS!$M$31)*249.2985</f>
        <v>249.29849999999999</v>
      </c>
      <c r="AD49" s="39"/>
      <c r="AE49" s="39"/>
      <c r="AF49" s="39"/>
      <c r="AG49" s="39"/>
      <c r="AH49" s="39"/>
      <c r="AI49" s="39"/>
      <c r="AJ49" s="39"/>
      <c r="AK49" s="39"/>
      <c r="AL49" s="39"/>
      <c r="AM49" s="39"/>
      <c r="AP49" s="39">
        <f>IF((1 - CUSTOS!$M$31)&lt;&gt;0,1/(1 - CUSTOS!$M$31),1)</f>
        <v>1</v>
      </c>
    </row>
    <row r="50" spans="1:42" ht="11.25" customHeight="1" x14ac:dyDescent="0.25">
      <c r="A50" s="134" t="s">
        <v>46</v>
      </c>
      <c r="B50" s="134" t="s">
        <v>23</v>
      </c>
      <c r="C50" s="134" t="s">
        <v>47</v>
      </c>
      <c r="D50" s="40" t="s">
        <v>48</v>
      </c>
      <c r="E50" s="40" t="s">
        <v>25</v>
      </c>
      <c r="F50" s="40" t="s">
        <v>25</v>
      </c>
      <c r="G50" s="21" t="s">
        <v>75</v>
      </c>
      <c r="H50" s="21" t="s">
        <v>71</v>
      </c>
      <c r="I50" s="21">
        <f>'MERCADO TUSD'!$U$47</f>
        <v>3347.1679999999992</v>
      </c>
      <c r="J50" s="17"/>
      <c r="L50" s="39"/>
      <c r="M50" s="39"/>
      <c r="N50" s="39"/>
      <c r="O50" s="39"/>
      <c r="P50" s="39"/>
      <c r="Q50" s="39"/>
      <c r="R50" s="39"/>
      <c r="S50" s="39"/>
      <c r="T50" s="39"/>
      <c r="U50" s="39">
        <v>0</v>
      </c>
      <c r="V50" s="39">
        <v>0</v>
      </c>
      <c r="W50" s="39">
        <v>0</v>
      </c>
      <c r="X50" s="39">
        <v>0</v>
      </c>
      <c r="Y50" s="39">
        <f>(1 - CUSTOS!$M$32)*17.6091</f>
        <v>9.6850050000000021</v>
      </c>
      <c r="Z50" s="39">
        <v>0</v>
      </c>
      <c r="AA50" s="39">
        <v>0</v>
      </c>
      <c r="AB50" s="39"/>
      <c r="AC50" s="39">
        <f>(1 - CUSTOS!$M$32)*249.2985</f>
        <v>137.11417500000002</v>
      </c>
      <c r="AD50" s="39"/>
      <c r="AE50" s="39"/>
      <c r="AF50" s="39"/>
      <c r="AG50" s="39"/>
      <c r="AH50" s="39"/>
      <c r="AI50" s="39"/>
      <c r="AJ50" s="39"/>
      <c r="AK50" s="39"/>
      <c r="AL50" s="39"/>
      <c r="AM50" s="39"/>
      <c r="AP50" s="39">
        <f>IF((1 - CUSTOS!$M$32)&lt;&gt;0,1/(1 - CUSTOS!$M$32),1)</f>
        <v>1.8181818181818181</v>
      </c>
    </row>
    <row r="51" spans="1:42" ht="11.25" customHeight="1" x14ac:dyDescent="0.25">
      <c r="A51" s="134"/>
      <c r="B51" s="134"/>
      <c r="C51" s="134"/>
      <c r="D51" s="21" t="s">
        <v>89</v>
      </c>
      <c r="E51" s="21" t="s">
        <v>25</v>
      </c>
      <c r="F51" s="21" t="s">
        <v>25</v>
      </c>
      <c r="G51" s="21" t="s">
        <v>75</v>
      </c>
      <c r="H51" s="21" t="s">
        <v>71</v>
      </c>
      <c r="I51" s="21">
        <f>'MERCADO TUSD'!$U$48</f>
        <v>0</v>
      </c>
      <c r="J51" s="17"/>
      <c r="L51" s="39"/>
      <c r="M51" s="39"/>
      <c r="N51" s="39"/>
      <c r="O51" s="39"/>
      <c r="P51" s="39"/>
      <c r="Q51" s="39"/>
      <c r="R51" s="39"/>
      <c r="S51" s="39"/>
      <c r="T51" s="39"/>
      <c r="U51" s="39">
        <v>0</v>
      </c>
      <c r="V51" s="39">
        <v>0</v>
      </c>
      <c r="W51" s="39">
        <v>0</v>
      </c>
      <c r="X51" s="39">
        <v>0</v>
      </c>
      <c r="Y51" s="39">
        <f>(1 - CUSTOS!$M$33)*17.6091</f>
        <v>10.56546</v>
      </c>
      <c r="Z51" s="39">
        <v>0</v>
      </c>
      <c r="AA51" s="39">
        <v>0</v>
      </c>
      <c r="AB51" s="39"/>
      <c r="AC51" s="39">
        <f>(1 - CUSTOS!$M$33)*249.2985</f>
        <v>149.57909999999998</v>
      </c>
      <c r="AD51" s="39"/>
      <c r="AE51" s="39"/>
      <c r="AF51" s="39"/>
      <c r="AG51" s="39"/>
      <c r="AH51" s="39"/>
      <c r="AI51" s="39"/>
      <c r="AJ51" s="39"/>
      <c r="AK51" s="39"/>
      <c r="AL51" s="39"/>
      <c r="AM51" s="39"/>
      <c r="AP51" s="39">
        <f>IF((1 - CUSTOS!$M$33)&lt;&gt;0,1/(1 - CUSTOS!$M$33),1)</f>
        <v>1.6666666666666667</v>
      </c>
    </row>
  </sheetData>
  <mergeCells count="73">
    <mergeCell ref="E45:E47"/>
    <mergeCell ref="F45:F47"/>
    <mergeCell ref="A50:A51"/>
    <mergeCell ref="B50:B51"/>
    <mergeCell ref="C50:C51"/>
    <mergeCell ref="D45:D47"/>
    <mergeCell ref="B42:B44"/>
    <mergeCell ref="C42:C44"/>
    <mergeCell ref="A45:A49"/>
    <mergeCell ref="B45:B47"/>
    <mergeCell ref="C45:C47"/>
    <mergeCell ref="A30:A44"/>
    <mergeCell ref="B30:B32"/>
    <mergeCell ref="C30:C32"/>
    <mergeCell ref="B38:B40"/>
    <mergeCell ref="C38:C40"/>
    <mergeCell ref="B34:B36"/>
    <mergeCell ref="C34:C36"/>
    <mergeCell ref="D38:D40"/>
    <mergeCell ref="E38:E40"/>
    <mergeCell ref="F38:F40"/>
    <mergeCell ref="D30:D32"/>
    <mergeCell ref="E30:E32"/>
    <mergeCell ref="F30:F32"/>
    <mergeCell ref="D34:D36"/>
    <mergeCell ref="E34:E36"/>
    <mergeCell ref="F34:F36"/>
    <mergeCell ref="E17:E19"/>
    <mergeCell ref="F17:F19"/>
    <mergeCell ref="B20:B24"/>
    <mergeCell ref="C20:C24"/>
    <mergeCell ref="B25:B29"/>
    <mergeCell ref="C25:C29"/>
    <mergeCell ref="A15:A16"/>
    <mergeCell ref="B15:B16"/>
    <mergeCell ref="C15:C16"/>
    <mergeCell ref="D15:D16"/>
    <mergeCell ref="A17:A29"/>
    <mergeCell ref="B17:B19"/>
    <mergeCell ref="C17:C19"/>
    <mergeCell ref="D17:D19"/>
    <mergeCell ref="A1:A4"/>
    <mergeCell ref="C10:C14"/>
    <mergeCell ref="D10:D14"/>
    <mergeCell ref="E10:E12"/>
    <mergeCell ref="F10:F12"/>
    <mergeCell ref="E13:E14"/>
    <mergeCell ref="F13:F14"/>
    <mergeCell ref="F5:F7"/>
    <mergeCell ref="B10:B14"/>
    <mergeCell ref="A5:A14"/>
    <mergeCell ref="B5:B8"/>
    <mergeCell ref="C5:C8"/>
    <mergeCell ref="D5:D8"/>
    <mergeCell ref="E5:E7"/>
    <mergeCell ref="B1:B4"/>
    <mergeCell ref="C1:C4"/>
    <mergeCell ref="AP1:AP4"/>
    <mergeCell ref="L2:AM2"/>
    <mergeCell ref="L3:T3"/>
    <mergeCell ref="U3:AB3"/>
    <mergeCell ref="AC3:AD3"/>
    <mergeCell ref="AE3:AG3"/>
    <mergeCell ref="AH3:AL3"/>
    <mergeCell ref="AM3:AM4"/>
    <mergeCell ref="D1:D4"/>
    <mergeCell ref="E1:E4"/>
    <mergeCell ref="F1:F4"/>
    <mergeCell ref="J1:J4"/>
    <mergeCell ref="L1:AM1"/>
    <mergeCell ref="G1:G4"/>
    <mergeCell ref="H1:H4"/>
    <mergeCell ref="I1:I4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4E4B5-6076-4EA1-B039-5C775EF3D0DD}">
  <dimension ref="A1:AP70"/>
  <sheetViews>
    <sheetView showGridLines="0" topLeftCell="A29" workbookViewId="0">
      <selection activeCell="K62" sqref="K62:P62"/>
    </sheetView>
  </sheetViews>
  <sheetFormatPr defaultRowHeight="11.25" customHeight="1" x14ac:dyDescent="0.25"/>
  <cols>
    <col min="1" max="1" width="9.28515625" style="9" bestFit="1" customWidth="1"/>
    <col min="2" max="2" width="21.5703125" style="9" bestFit="1" customWidth="1"/>
    <col min="3" max="3" width="13.5703125" style="9" bestFit="1" customWidth="1"/>
    <col min="4" max="4" width="25.140625" style="9" bestFit="1" customWidth="1"/>
    <col min="5" max="6" width="10.28515625" style="9" bestFit="1" customWidth="1"/>
    <col min="7" max="7" width="6.28515625" style="9" bestFit="1" customWidth="1"/>
    <col min="8" max="8" width="7.42578125" style="9" bestFit="1" customWidth="1"/>
    <col min="9" max="9" width="7.85546875" style="9" bestFit="1" customWidth="1"/>
    <col min="10" max="10" width="9.140625" style="9"/>
    <col min="11" max="11" width="14.28515625" style="9" bestFit="1" customWidth="1"/>
    <col min="12" max="12" width="13.42578125" style="9" bestFit="1" customWidth="1"/>
    <col min="13" max="13" width="10.42578125" style="9" bestFit="1" customWidth="1"/>
    <col min="14" max="14" width="11.7109375" style="9" bestFit="1" customWidth="1"/>
    <col min="15" max="16" width="9" style="9" bestFit="1" customWidth="1"/>
    <col min="17" max="17" width="10" style="9" bestFit="1" customWidth="1"/>
    <col min="18" max="19" width="8.7109375" style="9" bestFit="1" customWidth="1"/>
    <col min="20" max="20" width="10" style="9" bestFit="1" customWidth="1"/>
    <col min="21" max="21" width="7.42578125" style="9" bestFit="1" customWidth="1"/>
    <col min="22" max="22" width="7.28515625" style="9" bestFit="1" customWidth="1"/>
    <col min="23" max="24" width="9.85546875" style="9" bestFit="1" customWidth="1"/>
    <col min="25" max="25" width="10" style="9" bestFit="1" customWidth="1"/>
    <col min="26" max="26" width="7.7109375" style="9" bestFit="1" customWidth="1"/>
    <col min="27" max="27" width="9.85546875" style="9" bestFit="1" customWidth="1"/>
    <col min="28" max="28" width="10" style="9" bestFit="1" customWidth="1"/>
    <col min="29" max="29" width="11.7109375" style="9" bestFit="1" customWidth="1"/>
    <col min="30" max="30" width="10.85546875" style="9" bestFit="1" customWidth="1"/>
    <col min="31" max="31" width="8" style="9" bestFit="1" customWidth="1"/>
    <col min="32" max="32" width="7.28515625" style="9" bestFit="1" customWidth="1"/>
    <col min="33" max="33" width="9.28515625" style="9" bestFit="1" customWidth="1"/>
    <col min="34" max="34" width="15.28515625" style="9" bestFit="1" customWidth="1"/>
    <col min="35" max="35" width="18" style="9" bestFit="1" customWidth="1"/>
    <col min="36" max="36" width="19.140625" style="9" bestFit="1" customWidth="1"/>
    <col min="37" max="37" width="4" style="9" bestFit="1" customWidth="1"/>
    <col min="38" max="38" width="10" style="9" bestFit="1" customWidth="1"/>
    <col min="39" max="39" width="10.85546875" style="9" bestFit="1" customWidth="1"/>
    <col min="40" max="41" width="9.140625" style="9"/>
    <col min="42" max="42" width="7.85546875" style="9" bestFit="1" customWidth="1"/>
    <col min="43" max="16384" width="9.140625" style="9"/>
  </cols>
  <sheetData>
    <row r="1" spans="1:42" ht="11.25" customHeight="1" x14ac:dyDescent="0.25">
      <c r="A1" s="130" t="s">
        <v>61</v>
      </c>
      <c r="B1" s="130" t="s">
        <v>62</v>
      </c>
      <c r="C1" s="130" t="s">
        <v>63</v>
      </c>
      <c r="D1" s="130" t="s">
        <v>64</v>
      </c>
      <c r="E1" s="130" t="s">
        <v>65</v>
      </c>
      <c r="F1" s="130" t="s">
        <v>15</v>
      </c>
      <c r="G1" s="130" t="s">
        <v>67</v>
      </c>
      <c r="H1" s="130" t="s">
        <v>68</v>
      </c>
      <c r="I1" s="130" t="s">
        <v>545</v>
      </c>
      <c r="J1" s="124"/>
      <c r="L1" s="131" t="s">
        <v>546</v>
      </c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1"/>
      <c r="Y1" s="131"/>
      <c r="Z1" s="131"/>
      <c r="AA1" s="131"/>
      <c r="AB1" s="131"/>
      <c r="AC1" s="131"/>
      <c r="AD1" s="131"/>
      <c r="AE1" s="131"/>
      <c r="AF1" s="131"/>
      <c r="AG1" s="131"/>
      <c r="AH1" s="131"/>
      <c r="AI1" s="131"/>
      <c r="AJ1" s="131"/>
      <c r="AK1" s="131"/>
      <c r="AL1" s="131"/>
      <c r="AM1" s="131"/>
      <c r="AP1" s="131" t="s">
        <v>547</v>
      </c>
    </row>
    <row r="2" spans="1:42" ht="11.25" customHeight="1" x14ac:dyDescent="0.25">
      <c r="A2" s="130"/>
      <c r="B2" s="130"/>
      <c r="C2" s="130"/>
      <c r="D2" s="130"/>
      <c r="E2" s="130"/>
      <c r="F2" s="130"/>
      <c r="G2" s="130"/>
      <c r="H2" s="130"/>
      <c r="I2" s="130"/>
      <c r="J2" s="124"/>
      <c r="L2" s="131" t="s">
        <v>445</v>
      </c>
      <c r="M2" s="131"/>
      <c r="N2" s="131"/>
      <c r="O2" s="131"/>
      <c r="P2" s="131"/>
      <c r="Q2" s="131"/>
      <c r="R2" s="131"/>
      <c r="S2" s="131"/>
      <c r="T2" s="131"/>
      <c r="U2" s="131"/>
      <c r="V2" s="131"/>
      <c r="W2" s="131"/>
      <c r="X2" s="131"/>
      <c r="Y2" s="131"/>
      <c r="Z2" s="131"/>
      <c r="AA2" s="131"/>
      <c r="AB2" s="131"/>
      <c r="AC2" s="131"/>
      <c r="AD2" s="131"/>
      <c r="AE2" s="131"/>
      <c r="AF2" s="131"/>
      <c r="AG2" s="131"/>
      <c r="AH2" s="131"/>
      <c r="AI2" s="131"/>
      <c r="AJ2" s="131"/>
      <c r="AK2" s="131"/>
      <c r="AL2" s="131"/>
      <c r="AM2" s="131"/>
      <c r="AP2" s="132"/>
    </row>
    <row r="3" spans="1:42" ht="11.25" customHeight="1" x14ac:dyDescent="0.25">
      <c r="A3" s="130"/>
      <c r="B3" s="130"/>
      <c r="C3" s="130"/>
      <c r="D3" s="130"/>
      <c r="E3" s="130"/>
      <c r="F3" s="130"/>
      <c r="G3" s="130"/>
      <c r="H3" s="130"/>
      <c r="I3" s="130"/>
      <c r="J3" s="124"/>
      <c r="L3" s="131" t="s">
        <v>446</v>
      </c>
      <c r="M3" s="131"/>
      <c r="N3" s="131"/>
      <c r="O3" s="131"/>
      <c r="P3" s="131"/>
      <c r="Q3" s="131"/>
      <c r="R3" s="131"/>
      <c r="S3" s="131"/>
      <c r="T3" s="131"/>
      <c r="U3" s="131" t="s">
        <v>455</v>
      </c>
      <c r="V3" s="131"/>
      <c r="W3" s="131"/>
      <c r="X3" s="131"/>
      <c r="Y3" s="131"/>
      <c r="Z3" s="131"/>
      <c r="AA3" s="131"/>
      <c r="AB3" s="131"/>
      <c r="AC3" s="131" t="s">
        <v>463</v>
      </c>
      <c r="AD3" s="131"/>
      <c r="AE3" s="131" t="s">
        <v>465</v>
      </c>
      <c r="AF3" s="131"/>
      <c r="AG3" s="131"/>
      <c r="AH3" s="131" t="s">
        <v>468</v>
      </c>
      <c r="AI3" s="131"/>
      <c r="AJ3" s="131"/>
      <c r="AK3" s="131"/>
      <c r="AL3" s="131"/>
      <c r="AM3" s="131" t="s">
        <v>454</v>
      </c>
      <c r="AP3" s="132"/>
    </row>
    <row r="4" spans="1:42" ht="11.25" customHeight="1" x14ac:dyDescent="0.25">
      <c r="A4" s="130"/>
      <c r="B4" s="130"/>
      <c r="C4" s="130"/>
      <c r="D4" s="130"/>
      <c r="E4" s="130"/>
      <c r="F4" s="130"/>
      <c r="G4" s="130"/>
      <c r="H4" s="130"/>
      <c r="I4" s="130"/>
      <c r="J4" s="124"/>
      <c r="L4" s="10" t="s">
        <v>530</v>
      </c>
      <c r="M4" s="10" t="s">
        <v>447</v>
      </c>
      <c r="N4" s="10" t="s">
        <v>448</v>
      </c>
      <c r="O4" s="10" t="s">
        <v>449</v>
      </c>
      <c r="P4" s="10" t="s">
        <v>450</v>
      </c>
      <c r="Q4" s="10" t="s">
        <v>451</v>
      </c>
      <c r="R4" s="10" t="s">
        <v>452</v>
      </c>
      <c r="S4" s="10" t="s">
        <v>453</v>
      </c>
      <c r="T4" s="10" t="s">
        <v>454</v>
      </c>
      <c r="U4" s="10" t="s">
        <v>456</v>
      </c>
      <c r="V4" s="10" t="s">
        <v>457</v>
      </c>
      <c r="W4" s="10" t="s">
        <v>458</v>
      </c>
      <c r="X4" s="10" t="s">
        <v>459</v>
      </c>
      <c r="Y4" s="10" t="s">
        <v>460</v>
      </c>
      <c r="Z4" s="10" t="s">
        <v>461</v>
      </c>
      <c r="AA4" s="10" t="s">
        <v>462</v>
      </c>
      <c r="AB4" s="10" t="s">
        <v>454</v>
      </c>
      <c r="AC4" s="10" t="s">
        <v>464</v>
      </c>
      <c r="AD4" s="10" t="s">
        <v>454</v>
      </c>
      <c r="AE4" s="10" t="s">
        <v>466</v>
      </c>
      <c r="AF4" s="10" t="s">
        <v>467</v>
      </c>
      <c r="AG4" s="10" t="s">
        <v>454</v>
      </c>
      <c r="AH4" s="10" t="s">
        <v>469</v>
      </c>
      <c r="AI4" s="10" t="s">
        <v>470</v>
      </c>
      <c r="AJ4" s="10" t="s">
        <v>471</v>
      </c>
      <c r="AK4" s="10" t="s">
        <v>472</v>
      </c>
      <c r="AL4" s="10" t="s">
        <v>454</v>
      </c>
      <c r="AM4" s="133"/>
      <c r="AP4" s="132"/>
    </row>
    <row r="5" spans="1:42" ht="11.25" customHeight="1" x14ac:dyDescent="0.25">
      <c r="A5" s="134" t="s">
        <v>33</v>
      </c>
      <c r="B5" s="134" t="s">
        <v>41</v>
      </c>
      <c r="C5" s="134" t="s">
        <v>25</v>
      </c>
      <c r="D5" s="134" t="s">
        <v>25</v>
      </c>
      <c r="E5" s="134" t="s">
        <v>25</v>
      </c>
      <c r="F5" s="134" t="s">
        <v>25</v>
      </c>
      <c r="G5" s="21" t="s">
        <v>77</v>
      </c>
      <c r="H5" s="21" t="s">
        <v>76</v>
      </c>
      <c r="I5" s="21">
        <f>'MERCADO TUSD'!$U$2</f>
        <v>384</v>
      </c>
      <c r="J5" s="17"/>
      <c r="L5" s="19">
        <v>0</v>
      </c>
      <c r="M5" s="19">
        <v>0</v>
      </c>
      <c r="N5" s="19">
        <v>0</v>
      </c>
      <c r="O5" s="19">
        <v>0</v>
      </c>
      <c r="P5" s="19">
        <v>0</v>
      </c>
      <c r="Q5" s="19">
        <v>0</v>
      </c>
      <c r="R5" s="19">
        <v>0</v>
      </c>
      <c r="S5" s="19">
        <v>0</v>
      </c>
      <c r="T5" s="19"/>
      <c r="U5" s="19">
        <f>TRANSICAO!$U$5*CUSTOS!$R$3</f>
        <v>0</v>
      </c>
      <c r="V5" s="19">
        <f>TRANSICAO!$V$5*CUSTOS!$R$3</f>
        <v>0</v>
      </c>
      <c r="W5" s="19">
        <f>TRANSICAO!$W$5*CUSTOS!$R$3</f>
        <v>0</v>
      </c>
      <c r="X5" s="19">
        <f>TRANSICAO!$X$5*CUSTOS!$R$3</f>
        <v>0</v>
      </c>
      <c r="Y5" s="19">
        <f>TRANSICAO!$Y$5*CUSTOS!$R$3</f>
        <v>4.7234999999999996</v>
      </c>
      <c r="Z5" s="19">
        <f>TRANSICAO!$Z$5*CUSTOS!$R$3</f>
        <v>0</v>
      </c>
      <c r="AA5" s="19">
        <f>TRANSICAO!$AA$5*CUSTOS!$R$3</f>
        <v>0</v>
      </c>
      <c r="AB5" s="19">
        <f>TRANSICAO!$AB$5*CUSTOS!$R$3</f>
        <v>0</v>
      </c>
      <c r="AC5" s="19">
        <f>TRANSICAO!$AC$5*CUSTOS!$R$3</f>
        <v>60.879199999999997</v>
      </c>
      <c r="AD5" s="19">
        <f>TRANSICAO!$AD$5*CUSTOS!$R$3</f>
        <v>0</v>
      </c>
      <c r="AE5" s="19">
        <v>0</v>
      </c>
      <c r="AF5" s="19">
        <v>0</v>
      </c>
      <c r="AG5" s="19"/>
      <c r="AH5" s="19">
        <v>0</v>
      </c>
      <c r="AI5" s="19">
        <v>0</v>
      </c>
      <c r="AJ5" s="19">
        <v>0</v>
      </c>
      <c r="AK5" s="19">
        <f t="shared" ref="AK5:AK51" si="0">AJ5</f>
        <v>0</v>
      </c>
      <c r="AL5" s="19"/>
      <c r="AM5" s="19"/>
      <c r="AP5" s="19">
        <v>1</v>
      </c>
    </row>
    <row r="6" spans="1:42" ht="11.25" customHeight="1" x14ac:dyDescent="0.25">
      <c r="A6" s="134"/>
      <c r="B6" s="134"/>
      <c r="C6" s="134"/>
      <c r="D6" s="134"/>
      <c r="E6" s="134"/>
      <c r="F6" s="134"/>
      <c r="G6" s="21" t="s">
        <v>78</v>
      </c>
      <c r="H6" s="21" t="s">
        <v>76</v>
      </c>
      <c r="I6" s="21">
        <f>'MERCADO TUSD'!$U$3</f>
        <v>1095</v>
      </c>
      <c r="J6" s="17"/>
      <c r="L6" s="19">
        <v>0</v>
      </c>
      <c r="M6" s="19">
        <v>0</v>
      </c>
      <c r="N6" s="19">
        <v>0</v>
      </c>
      <c r="O6" s="19">
        <v>0</v>
      </c>
      <c r="P6" s="19">
        <v>0</v>
      </c>
      <c r="Q6" s="19">
        <v>0</v>
      </c>
      <c r="R6" s="19">
        <v>0</v>
      </c>
      <c r="S6" s="19">
        <v>0</v>
      </c>
      <c r="T6" s="19"/>
      <c r="U6" s="19">
        <f>TRANSICAO!$U$6*CUSTOS!$R$3</f>
        <v>0</v>
      </c>
      <c r="V6" s="19">
        <f>TRANSICAO!$V$6*CUSTOS!$R$3</f>
        <v>0</v>
      </c>
      <c r="W6" s="19">
        <f>TRANSICAO!$W$6*CUSTOS!$R$3</f>
        <v>0</v>
      </c>
      <c r="X6" s="19">
        <f>TRANSICAO!$X$6*CUSTOS!$R$3</f>
        <v>0</v>
      </c>
      <c r="Y6" s="19">
        <f>TRANSICAO!$Y$6*CUSTOS!$R$3</f>
        <v>2.5642</v>
      </c>
      <c r="Z6" s="19">
        <f>TRANSICAO!$Z$6*CUSTOS!$R$3</f>
        <v>0</v>
      </c>
      <c r="AA6" s="19">
        <f>TRANSICAO!$AA$6*CUSTOS!$R$3</f>
        <v>0</v>
      </c>
      <c r="AB6" s="19">
        <f>TRANSICAO!$AB$6*CUSTOS!$R$3</f>
        <v>0</v>
      </c>
      <c r="AC6" s="19">
        <f>TRANSICAO!$AC$6*CUSTOS!$R$3</f>
        <v>19.4207</v>
      </c>
      <c r="AD6" s="19">
        <f>TRANSICAO!$AD$6*CUSTOS!$R$3</f>
        <v>0</v>
      </c>
      <c r="AE6" s="19">
        <v>0</v>
      </c>
      <c r="AF6" s="19">
        <v>0</v>
      </c>
      <c r="AG6" s="19"/>
      <c r="AH6" s="19">
        <v>0</v>
      </c>
      <c r="AI6" s="19">
        <v>0</v>
      </c>
      <c r="AJ6" s="19">
        <v>0</v>
      </c>
      <c r="AK6" s="19">
        <f t="shared" si="0"/>
        <v>0</v>
      </c>
      <c r="AL6" s="19"/>
      <c r="AM6" s="19"/>
      <c r="AP6" s="19">
        <v>1</v>
      </c>
    </row>
    <row r="7" spans="1:42" ht="11.25" customHeight="1" x14ac:dyDescent="0.25">
      <c r="A7" s="134"/>
      <c r="B7" s="134"/>
      <c r="C7" s="134"/>
      <c r="D7" s="134"/>
      <c r="E7" s="134"/>
      <c r="F7" s="134"/>
      <c r="G7" s="21" t="s">
        <v>75</v>
      </c>
      <c r="H7" s="21" t="s">
        <v>71</v>
      </c>
      <c r="I7" s="21">
        <f>'MERCADO TUSD'!$U$4</f>
        <v>680.02800000000002</v>
      </c>
      <c r="J7" s="17"/>
      <c r="L7" s="19">
        <f>0.84</f>
        <v>0.84</v>
      </c>
      <c r="M7" s="19">
        <f>IF(AND((+$I$7+$I$8+$I$11+$I$12+$I$13+$I$14)&lt;&gt;0,SUMPRODUCT($I$5:$I$51,$AC$5:$AC$51,$AP$5:$AP$51)&lt;&gt;0),$M$56*SUMPRODUCT($I$5:$I$14,$AC$5:$AC$14,$AP$5:$AP$14)/SUMPRODUCT($I$5:$I$51,$AC$5:$AC$51,$AP$5:$AP$51)/(+$I$7+$I$8+$I$11+$I$12+$I$13+$I$14),0)</f>
        <v>1.551050106119533</v>
      </c>
      <c r="N7" s="19">
        <f ca="1">(+M7+O7+R7+U7+V7+W7+X7+Y7+Z7+AA7+AC7+AH7+AI7+AJ7+AK7)*CUSTOS!$M$5</f>
        <v>2.4095592471737094E-13</v>
      </c>
      <c r="O7" s="19">
        <v>1</v>
      </c>
      <c r="P7" s="19">
        <v>1</v>
      </c>
      <c r="Q7" s="19">
        <f>0.84</f>
        <v>0.84</v>
      </c>
      <c r="R7" s="19">
        <v>1</v>
      </c>
      <c r="S7" s="19">
        <v>1</v>
      </c>
      <c r="T7" s="19"/>
      <c r="U7" s="19">
        <f>TRANSICAO!$U$7*CUSTOS!$R$3</f>
        <v>0</v>
      </c>
      <c r="V7" s="19">
        <f>TRANSICAO!$V$7*CUSTOS!$R$3</f>
        <v>0</v>
      </c>
      <c r="W7" s="19">
        <f>TRANSICAO!$W$7*CUSTOS!$R$3</f>
        <v>0</v>
      </c>
      <c r="X7" s="19">
        <f>TRANSICAO!$X$7*CUSTOS!$R$3</f>
        <v>0</v>
      </c>
      <c r="Y7" s="19">
        <f>TRANSICAO!$Y$7*CUSTOS!$R$3</f>
        <v>0</v>
      </c>
      <c r="Z7" s="19">
        <f>TRANSICAO!$Z$7*CUSTOS!$R$3</f>
        <v>0</v>
      </c>
      <c r="AA7" s="19">
        <f>TRANSICAO!$AA$7*CUSTOS!$R$3</f>
        <v>0</v>
      </c>
      <c r="AB7" s="19">
        <f>TRANSICAO!$AB$7*CUSTOS!$R$3</f>
        <v>0</v>
      </c>
      <c r="AC7" s="19">
        <f>TRANSICAO!$AC$7*CUSTOS!$R$3</f>
        <v>0</v>
      </c>
      <c r="AD7" s="19">
        <f>TRANSICAO!$AD$7*CUSTOS!$R$3</f>
        <v>0</v>
      </c>
      <c r="AE7" s="19">
        <v>0</v>
      </c>
      <c r="AF7" s="19">
        <v>0</v>
      </c>
      <c r="AG7" s="19"/>
      <c r="AH7" s="19">
        <v>16.429099999999998</v>
      </c>
      <c r="AI7" s="19">
        <v>0</v>
      </c>
      <c r="AJ7" s="19">
        <f ca="1">$N$63</f>
        <v>2.05772118280878</v>
      </c>
      <c r="AK7" s="19">
        <f t="shared" ca="1" si="0"/>
        <v>2.05772118280878</v>
      </c>
      <c r="AL7" s="19"/>
      <c r="AM7" s="19"/>
      <c r="AP7" s="19">
        <v>1</v>
      </c>
    </row>
    <row r="8" spans="1:42" ht="11.25" customHeight="1" x14ac:dyDescent="0.25">
      <c r="A8" s="134"/>
      <c r="B8" s="134"/>
      <c r="C8" s="134"/>
      <c r="D8" s="134"/>
      <c r="E8" s="22" t="s">
        <v>79</v>
      </c>
      <c r="F8" s="22" t="s">
        <v>25</v>
      </c>
      <c r="G8" s="21" t="s">
        <v>75</v>
      </c>
      <c r="H8" s="21" t="s">
        <v>71</v>
      </c>
      <c r="I8" s="21">
        <f>'MERCADO TUSD'!$U$5</f>
        <v>0</v>
      </c>
      <c r="J8" s="17"/>
      <c r="L8" s="19">
        <v>0</v>
      </c>
      <c r="M8" s="19">
        <f>IF(AND((+$I$7+$I$8+$I$11+$I$12+$I$13+$I$14)&lt;&gt;0,SUMPRODUCT($I$5:$I$51,$AC$5:$AC$51,$AP$5:$AP$51)&lt;&gt;0),$M$56*SUMPRODUCT($I$5:$I$14,$AC$5:$AC$14,$AP$5:$AP$14)/SUMPRODUCT($I$5:$I$51,$AC$5:$AC$51,$AP$5:$AP$51)/(+$I$7+$I$8+$I$11+$I$12+$I$13+$I$14),0)</f>
        <v>1.551050106119533</v>
      </c>
      <c r="N8" s="19">
        <f ca="1">(+M8+O8+R8+U8+V8+W8+X8+Y8+Z8+AA8+AC8+AH8+AI8+AJ8+AK8)*CUSTOS!$M$5</f>
        <v>2.3095592471737093E-13</v>
      </c>
      <c r="O8" s="19">
        <v>1</v>
      </c>
      <c r="P8" s="19">
        <v>0</v>
      </c>
      <c r="Q8" s="19">
        <v>0</v>
      </c>
      <c r="R8" s="19">
        <v>0</v>
      </c>
      <c r="S8" s="19">
        <v>0</v>
      </c>
      <c r="T8" s="19"/>
      <c r="U8" s="19">
        <f>TRANSICAO!$U$8*CUSTOS!$R$3</f>
        <v>0</v>
      </c>
      <c r="V8" s="19">
        <f>TRANSICAO!$V$8*CUSTOS!$R$3</f>
        <v>0</v>
      </c>
      <c r="W8" s="19">
        <f>TRANSICAO!$W$8*CUSTOS!$R$3</f>
        <v>0</v>
      </c>
      <c r="X8" s="19">
        <f>TRANSICAO!$X$8*CUSTOS!$R$3</f>
        <v>0</v>
      </c>
      <c r="Y8" s="19">
        <f>TRANSICAO!$Y$8*CUSTOS!$R$3</f>
        <v>0</v>
      </c>
      <c r="Z8" s="19">
        <f>TRANSICAO!$Z$8*CUSTOS!$R$3</f>
        <v>0</v>
      </c>
      <c r="AA8" s="19">
        <f>TRANSICAO!$AA$8*CUSTOS!$R$3</f>
        <v>0</v>
      </c>
      <c r="AB8" s="19">
        <f>TRANSICAO!$AB$8*CUSTOS!$R$3</f>
        <v>0</v>
      </c>
      <c r="AC8" s="19">
        <f>TRANSICAO!$AC$8*CUSTOS!$R$3</f>
        <v>0</v>
      </c>
      <c r="AD8" s="19">
        <f>TRANSICAO!$AD$8*CUSTOS!$R$3</f>
        <v>0</v>
      </c>
      <c r="AE8" s="19">
        <v>0</v>
      </c>
      <c r="AF8" s="19">
        <v>0</v>
      </c>
      <c r="AG8" s="19"/>
      <c r="AH8" s="19">
        <v>16.429099999999998</v>
      </c>
      <c r="AI8" s="19">
        <v>0</v>
      </c>
      <c r="AJ8" s="19">
        <f ca="1">$N$63</f>
        <v>2.05772118280878</v>
      </c>
      <c r="AK8" s="19">
        <f t="shared" ca="1" si="0"/>
        <v>2.05772118280878</v>
      </c>
      <c r="AL8" s="19"/>
      <c r="AM8" s="19"/>
      <c r="AP8" s="19">
        <v>1</v>
      </c>
    </row>
    <row r="9" spans="1:42" ht="11.25" customHeight="1" x14ac:dyDescent="0.25">
      <c r="A9" s="134"/>
      <c r="B9" s="22" t="s">
        <v>80</v>
      </c>
      <c r="C9" s="22" t="s">
        <v>25</v>
      </c>
      <c r="D9" s="22" t="s">
        <v>25</v>
      </c>
      <c r="E9" s="22" t="s">
        <v>25</v>
      </c>
      <c r="F9" s="22" t="s">
        <v>25</v>
      </c>
      <c r="G9" s="21" t="s">
        <v>9</v>
      </c>
      <c r="H9" s="21" t="s">
        <v>76</v>
      </c>
      <c r="I9" s="21">
        <f>'MERCADO TUSD'!$U$6</f>
        <v>0</v>
      </c>
      <c r="J9" s="17"/>
      <c r="L9" s="19">
        <v>0</v>
      </c>
      <c r="M9" s="19">
        <v>2.6599999999999999E-2</v>
      </c>
      <c r="N9" s="19">
        <f>0.0853</f>
        <v>8.5300000000000001E-2</v>
      </c>
      <c r="O9" s="19">
        <v>0</v>
      </c>
      <c r="P9" s="19">
        <v>0</v>
      </c>
      <c r="Q9" s="19">
        <v>0</v>
      </c>
      <c r="R9" s="19">
        <v>0</v>
      </c>
      <c r="S9" s="19">
        <v>0</v>
      </c>
      <c r="T9" s="19"/>
      <c r="U9" s="19">
        <f>TRANSICAO!$U$9*CUSTOS!$R$4</f>
        <v>0</v>
      </c>
      <c r="V9" s="19">
        <f>TRANSICAO!$V$9*CUSTOS!$R$4</f>
        <v>0</v>
      </c>
      <c r="W9" s="19">
        <f>TRANSICAO!$W$9*CUSTOS!$R$4</f>
        <v>0</v>
      </c>
      <c r="X9" s="19">
        <f>TRANSICAO!$X$9*CUSTOS!$R$4</f>
        <v>0</v>
      </c>
      <c r="Y9" s="19">
        <f>TRANSICAO!$Y$9*CUSTOS!$R$4</f>
        <v>0</v>
      </c>
      <c r="Z9" s="19">
        <f>TRANSICAO!$Z$9*CUSTOS!$R$4</f>
        <v>0</v>
      </c>
      <c r="AA9" s="19">
        <f>TRANSICAO!$AA$9*CUSTOS!$R$4</f>
        <v>0</v>
      </c>
      <c r="AB9" s="19">
        <f>TRANSICAO!$AB$9*CUSTOS!$R$4</f>
        <v>0</v>
      </c>
      <c r="AC9" s="19">
        <f>TRANSICAO!$AC$9*CUSTOS!$R$4</f>
        <v>8.4064999999999994</v>
      </c>
      <c r="AD9" s="19">
        <f>TRANSICAO!$AD$9*CUSTOS!$R$4</f>
        <v>0</v>
      </c>
      <c r="AE9" s="19">
        <v>0</v>
      </c>
      <c r="AF9" s="19">
        <v>0</v>
      </c>
      <c r="AG9" s="19"/>
      <c r="AH9" s="19">
        <v>0</v>
      </c>
      <c r="AI9" s="19">
        <v>0</v>
      </c>
      <c r="AJ9" s="19">
        <v>0</v>
      </c>
      <c r="AK9" s="19">
        <f t="shared" si="0"/>
        <v>0</v>
      </c>
      <c r="AL9" s="19"/>
      <c r="AM9" s="19"/>
      <c r="AP9" s="19"/>
    </row>
    <row r="10" spans="1:42" ht="11.25" customHeight="1" x14ac:dyDescent="0.25">
      <c r="A10" s="134"/>
      <c r="B10" s="134" t="s">
        <v>34</v>
      </c>
      <c r="C10" s="134" t="s">
        <v>25</v>
      </c>
      <c r="D10" s="134" t="s">
        <v>25</v>
      </c>
      <c r="E10" s="134" t="s">
        <v>25</v>
      </c>
      <c r="F10" s="134" t="s">
        <v>25</v>
      </c>
      <c r="G10" s="21" t="s">
        <v>9</v>
      </c>
      <c r="H10" s="21" t="s">
        <v>76</v>
      </c>
      <c r="I10" s="21">
        <f>'MERCADO TUSD'!$U$7</f>
        <v>17227</v>
      </c>
      <c r="J10" s="17"/>
      <c r="L10" s="19">
        <v>0</v>
      </c>
      <c r="M10" s="19">
        <v>0</v>
      </c>
      <c r="N10" s="19">
        <v>0</v>
      </c>
      <c r="O10" s="19">
        <v>0</v>
      </c>
      <c r="P10" s="19">
        <v>0</v>
      </c>
      <c r="Q10" s="19">
        <v>0</v>
      </c>
      <c r="R10" s="19">
        <v>0</v>
      </c>
      <c r="S10" s="19">
        <v>0</v>
      </c>
      <c r="T10" s="19"/>
      <c r="U10" s="19">
        <f>TRANSICAO!$U$10*CUSTOS!$R$3</f>
        <v>0</v>
      </c>
      <c r="V10" s="19">
        <f>TRANSICAO!$V$10*CUSTOS!$R$3</f>
        <v>0</v>
      </c>
      <c r="W10" s="19">
        <f>TRANSICAO!$W$10*CUSTOS!$R$3</f>
        <v>0</v>
      </c>
      <c r="X10" s="19">
        <f>TRANSICAO!$X$10*CUSTOS!$R$3</f>
        <v>0</v>
      </c>
      <c r="Y10" s="19">
        <f>TRANSICAO!$Y$10*CUSTOS!$R$3</f>
        <v>2.5642</v>
      </c>
      <c r="Z10" s="19">
        <f>TRANSICAO!$Z$10*CUSTOS!$R$3</f>
        <v>0</v>
      </c>
      <c r="AA10" s="19">
        <f>TRANSICAO!$AA$10*CUSTOS!$R$3</f>
        <v>0</v>
      </c>
      <c r="AB10" s="19">
        <f>TRANSICAO!$AB$10*CUSTOS!$R$3</f>
        <v>0</v>
      </c>
      <c r="AC10" s="19">
        <f>TRANSICAO!$AC$10*CUSTOS!$R$3</f>
        <v>19.4207</v>
      </c>
      <c r="AD10" s="19">
        <f>TRANSICAO!$AD$10*CUSTOS!$R$3</f>
        <v>0</v>
      </c>
      <c r="AE10" s="19">
        <v>0</v>
      </c>
      <c r="AF10" s="19">
        <v>0</v>
      </c>
      <c r="AG10" s="19"/>
      <c r="AH10" s="19">
        <v>0</v>
      </c>
      <c r="AI10" s="19">
        <v>0</v>
      </c>
      <c r="AJ10" s="19">
        <v>0</v>
      </c>
      <c r="AK10" s="19">
        <f t="shared" si="0"/>
        <v>0</v>
      </c>
      <c r="AL10" s="19"/>
      <c r="AM10" s="19"/>
      <c r="AP10" s="19">
        <v>1</v>
      </c>
    </row>
    <row r="11" spans="1:42" ht="11.25" customHeight="1" x14ac:dyDescent="0.25">
      <c r="A11" s="134"/>
      <c r="B11" s="134"/>
      <c r="C11" s="134"/>
      <c r="D11" s="134"/>
      <c r="E11" s="134"/>
      <c r="F11" s="134"/>
      <c r="G11" s="21" t="s">
        <v>72</v>
      </c>
      <c r="H11" s="21" t="s">
        <v>71</v>
      </c>
      <c r="I11" s="21">
        <f>'MERCADO TUSD'!$U$8</f>
        <v>96.685999999999993</v>
      </c>
      <c r="J11" s="17"/>
      <c r="L11" s="19">
        <f>0.84</f>
        <v>0.84</v>
      </c>
      <c r="M11" s="19">
        <f>IF(AND((+$I$7+$I$8+$I$11+$I$12+$I$13+$I$14)&lt;&gt;0,SUMPRODUCT($I$5:$I$51,$AC$5:$AC$51,$AP$5:$AP$51)&lt;&gt;0),$M$56*SUMPRODUCT($I$5:$I$14,$AC$5:$AC$14,$AP$5:$AP$14)/SUMPRODUCT($I$5:$I$51,$AC$5:$AC$51,$AP$5:$AP$51)/(+$I$7+$I$8+$I$11+$I$12+$I$13+$I$14),0)</f>
        <v>1.551050106119533</v>
      </c>
      <c r="N11" s="19">
        <f ca="1">(+M11+O11+R11+U11+V11+W11+X11+Y11+Z11+AA11+AC11+AH11+AI11+AJ11+AK11)*CUSTOS!$M$5</f>
        <v>1.6018448924717371E-11</v>
      </c>
      <c r="O11" s="19">
        <v>1</v>
      </c>
      <c r="P11" s="19">
        <v>1</v>
      </c>
      <c r="Q11" s="19">
        <f>0.84</f>
        <v>0.84</v>
      </c>
      <c r="R11" s="19">
        <v>1</v>
      </c>
      <c r="S11" s="19">
        <v>1</v>
      </c>
      <c r="T11" s="19"/>
      <c r="U11" s="19">
        <f>TRANSICAO!$U$11*CUSTOS!$R$3</f>
        <v>0</v>
      </c>
      <c r="V11" s="19">
        <f>TRANSICAO!$V$11*CUSTOS!$R$3</f>
        <v>0</v>
      </c>
      <c r="W11" s="19">
        <f>TRANSICAO!$W$11*CUSTOS!$R$3</f>
        <v>0</v>
      </c>
      <c r="X11" s="19">
        <f>TRANSICAO!$X$11*CUSTOS!$R$3</f>
        <v>0</v>
      </c>
      <c r="Y11" s="19">
        <f>TRANSICAO!$Y$11*CUSTOS!$R$3</f>
        <v>113.60120000000001</v>
      </c>
      <c r="Z11" s="19">
        <f>TRANSICAO!$Z$11*CUSTOS!$R$3</f>
        <v>0</v>
      </c>
      <c r="AA11" s="19">
        <f>TRANSICAO!$AA$11*CUSTOS!$R$3</f>
        <v>0</v>
      </c>
      <c r="AB11" s="19">
        <f>TRANSICAO!$AB$11*CUSTOS!$R$3</f>
        <v>0</v>
      </c>
      <c r="AC11" s="19">
        <f>TRANSICAO!$AC$11*CUSTOS!$R$3</f>
        <v>1464.1481000000001</v>
      </c>
      <c r="AD11" s="19">
        <f>TRANSICAO!$AD$11*CUSTOS!$R$3</f>
        <v>0</v>
      </c>
      <c r="AE11" s="19">
        <v>0</v>
      </c>
      <c r="AF11" s="19">
        <v>0</v>
      </c>
      <c r="AG11" s="19"/>
      <c r="AH11" s="19">
        <v>16.429099999999998</v>
      </c>
      <c r="AI11" s="19">
        <v>0</v>
      </c>
      <c r="AJ11" s="19">
        <f ca="1">$N$63</f>
        <v>2.05772118280878</v>
      </c>
      <c r="AK11" s="19">
        <f t="shared" ca="1" si="0"/>
        <v>2.05772118280878</v>
      </c>
      <c r="AL11" s="19"/>
      <c r="AM11" s="19"/>
      <c r="AP11" s="19">
        <v>1</v>
      </c>
    </row>
    <row r="12" spans="1:42" ht="11.25" customHeight="1" x14ac:dyDescent="0.25">
      <c r="A12" s="134"/>
      <c r="B12" s="134"/>
      <c r="C12" s="134"/>
      <c r="D12" s="134"/>
      <c r="E12" s="134"/>
      <c r="F12" s="134"/>
      <c r="G12" s="21" t="s">
        <v>73</v>
      </c>
      <c r="H12" s="21" t="s">
        <v>71</v>
      </c>
      <c r="I12" s="21">
        <f>'MERCADO TUSD'!$U$9</f>
        <v>3244.7709999999997</v>
      </c>
      <c r="J12" s="17"/>
      <c r="L12" s="19">
        <f>0.84</f>
        <v>0.84</v>
      </c>
      <c r="M12" s="19">
        <f>IF(AND((+$I$7+$I$8+$I$11+$I$12+$I$13+$I$14)&lt;&gt;0,SUMPRODUCT($I$5:$I$51,$AC$5:$AC$51,$AP$5:$AP$51)&lt;&gt;0),$M$56*SUMPRODUCT($I$5:$I$14,$AC$5:$AC$14,$AP$5:$AP$14)/SUMPRODUCT($I$5:$I$51,$AC$5:$AC$51,$AP$5:$AP$51)/(+$I$7+$I$8+$I$11+$I$12+$I$13+$I$14),0)</f>
        <v>1.551050106119533</v>
      </c>
      <c r="N12" s="19">
        <f ca="1">(+M12+O12+R12+U12+V12+W12+X12+Y12+Z12+AA12+AC12+AH12+AI12+AJ12+AK12)*CUSTOS!$M$5</f>
        <v>2.4095592471737094E-13</v>
      </c>
      <c r="O12" s="19">
        <v>1</v>
      </c>
      <c r="P12" s="19">
        <v>1</v>
      </c>
      <c r="Q12" s="19">
        <f>0.84</f>
        <v>0.84</v>
      </c>
      <c r="R12" s="19">
        <v>1</v>
      </c>
      <c r="S12" s="19">
        <v>1</v>
      </c>
      <c r="T12" s="19"/>
      <c r="U12" s="19">
        <f>TRANSICAO!$U$12*CUSTOS!$R$3</f>
        <v>0</v>
      </c>
      <c r="V12" s="19">
        <f>TRANSICAO!$V$12*CUSTOS!$R$3</f>
        <v>0</v>
      </c>
      <c r="W12" s="19">
        <f>TRANSICAO!$W$12*CUSTOS!$R$3</f>
        <v>0</v>
      </c>
      <c r="X12" s="19">
        <f>TRANSICAO!$X$12*CUSTOS!$R$3</f>
        <v>0</v>
      </c>
      <c r="Y12" s="19">
        <f>TRANSICAO!$Y$12*CUSTOS!$R$3</f>
        <v>0</v>
      </c>
      <c r="Z12" s="19">
        <f>TRANSICAO!$Z$12*CUSTOS!$R$3</f>
        <v>0</v>
      </c>
      <c r="AA12" s="19">
        <f>TRANSICAO!$AA$12*CUSTOS!$R$3</f>
        <v>0</v>
      </c>
      <c r="AB12" s="19">
        <f>TRANSICAO!$AB$12*CUSTOS!$R$3</f>
        <v>0</v>
      </c>
      <c r="AC12" s="19">
        <f>TRANSICAO!$AC$12*CUSTOS!$R$3</f>
        <v>0</v>
      </c>
      <c r="AD12" s="19">
        <f>TRANSICAO!$AD$12*CUSTOS!$R$3</f>
        <v>0</v>
      </c>
      <c r="AE12" s="19">
        <v>0</v>
      </c>
      <c r="AF12" s="19">
        <v>0</v>
      </c>
      <c r="AG12" s="19"/>
      <c r="AH12" s="19">
        <v>16.429099999999998</v>
      </c>
      <c r="AI12" s="19">
        <v>0</v>
      </c>
      <c r="AJ12" s="19">
        <f ca="1">$N$63</f>
        <v>2.05772118280878</v>
      </c>
      <c r="AK12" s="19">
        <f t="shared" ca="1" si="0"/>
        <v>2.05772118280878</v>
      </c>
      <c r="AL12" s="19"/>
      <c r="AM12" s="19"/>
      <c r="AP12" s="19">
        <v>1</v>
      </c>
    </row>
    <row r="13" spans="1:42" ht="11.25" customHeight="1" x14ac:dyDescent="0.25">
      <c r="A13" s="134"/>
      <c r="B13" s="134"/>
      <c r="C13" s="134"/>
      <c r="D13" s="134"/>
      <c r="E13" s="134" t="s">
        <v>79</v>
      </c>
      <c r="F13" s="134" t="s">
        <v>25</v>
      </c>
      <c r="G13" s="21" t="s">
        <v>72</v>
      </c>
      <c r="H13" s="21" t="s">
        <v>71</v>
      </c>
      <c r="I13" s="21">
        <f>'MERCADO TUSD'!$U$10</f>
        <v>0</v>
      </c>
      <c r="J13" s="17"/>
      <c r="L13" s="19">
        <v>0</v>
      </c>
      <c r="M13" s="19">
        <f>IF(AND((+$I$7+$I$8+$I$11+$I$12+$I$13+$I$14)&lt;&gt;0,SUMPRODUCT($I$5:$I$51,$AC$5:$AC$51,$AP$5:$AP$51)&lt;&gt;0),$M$56*SUMPRODUCT($I$5:$I$14,$AC$5:$AC$14,$AP$5:$AP$14)/SUMPRODUCT($I$5:$I$51,$AC$5:$AC$51,$AP$5:$AP$51)/(+$I$7+$I$8+$I$11+$I$12+$I$13+$I$14),0)</f>
        <v>1.551050106119533</v>
      </c>
      <c r="N13" s="19">
        <f ca="1">(+M13+O13+R13+U13+V13+W13+X13+Y13+Z13+AA13+AC13+AH13+AI13+AJ13+AK13)*CUSTOS!$M$5</f>
        <v>1.6008448924717373E-11</v>
      </c>
      <c r="O13" s="19">
        <v>1</v>
      </c>
      <c r="P13" s="19">
        <v>0</v>
      </c>
      <c r="Q13" s="19">
        <v>0</v>
      </c>
      <c r="R13" s="19">
        <v>0</v>
      </c>
      <c r="S13" s="19">
        <v>0</v>
      </c>
      <c r="T13" s="19"/>
      <c r="U13" s="19">
        <f>TRANSICAO!$U$13*CUSTOS!$R$3</f>
        <v>0</v>
      </c>
      <c r="V13" s="19">
        <f>TRANSICAO!$V$13*CUSTOS!$R$3</f>
        <v>0</v>
      </c>
      <c r="W13" s="19">
        <f>TRANSICAO!$W$13*CUSTOS!$R$3</f>
        <v>0</v>
      </c>
      <c r="X13" s="19">
        <f>TRANSICAO!$X$13*CUSTOS!$R$3</f>
        <v>0</v>
      </c>
      <c r="Y13" s="19">
        <f>TRANSICAO!$Y$13*CUSTOS!$R$3</f>
        <v>113.60120000000001</v>
      </c>
      <c r="Z13" s="19">
        <f>TRANSICAO!$Z$13*CUSTOS!$R$3</f>
        <v>0</v>
      </c>
      <c r="AA13" s="19">
        <f>TRANSICAO!$AA$13*CUSTOS!$R$3</f>
        <v>0</v>
      </c>
      <c r="AB13" s="19">
        <f>TRANSICAO!$AB$13*CUSTOS!$R$3</f>
        <v>0</v>
      </c>
      <c r="AC13" s="19">
        <f>TRANSICAO!$AC$13*CUSTOS!$R$3</f>
        <v>1464.1481000000001</v>
      </c>
      <c r="AD13" s="19">
        <f>TRANSICAO!$AD$13*CUSTOS!$R$3</f>
        <v>0</v>
      </c>
      <c r="AE13" s="19">
        <v>0</v>
      </c>
      <c r="AF13" s="19">
        <v>0</v>
      </c>
      <c r="AG13" s="19"/>
      <c r="AH13" s="19">
        <v>16.429099999999998</v>
      </c>
      <c r="AI13" s="19">
        <v>0</v>
      </c>
      <c r="AJ13" s="19">
        <f ca="1">$N$63</f>
        <v>2.05772118280878</v>
      </c>
      <c r="AK13" s="19">
        <f t="shared" ca="1" si="0"/>
        <v>2.05772118280878</v>
      </c>
      <c r="AL13" s="19"/>
      <c r="AM13" s="19"/>
      <c r="AP13" s="19">
        <v>1</v>
      </c>
    </row>
    <row r="14" spans="1:42" ht="11.25" customHeight="1" x14ac:dyDescent="0.25">
      <c r="A14" s="134"/>
      <c r="B14" s="134"/>
      <c r="C14" s="134"/>
      <c r="D14" s="134"/>
      <c r="E14" s="134"/>
      <c r="F14" s="134"/>
      <c r="G14" s="21" t="s">
        <v>73</v>
      </c>
      <c r="H14" s="21" t="s">
        <v>71</v>
      </c>
      <c r="I14" s="21">
        <f>'MERCADO TUSD'!$U$11</f>
        <v>0</v>
      </c>
      <c r="J14" s="17"/>
      <c r="L14" s="19">
        <v>0</v>
      </c>
      <c r="M14" s="19">
        <f>IF(AND((+$I$7+$I$8+$I$11+$I$12+$I$13+$I$14)&lt;&gt;0,SUMPRODUCT($I$5:$I$51,$AC$5:$AC$51,$AP$5:$AP$51)&lt;&gt;0),$M$56*SUMPRODUCT($I$5:$I$14,$AC$5:$AC$14,$AP$5:$AP$14)/SUMPRODUCT($I$5:$I$51,$AC$5:$AC$51,$AP$5:$AP$51)/(+$I$7+$I$8+$I$11+$I$12+$I$13+$I$14),0)</f>
        <v>1.551050106119533</v>
      </c>
      <c r="N14" s="19">
        <f ca="1">(+M14+O14+R14+U14+V14+W14+X14+Y14+Z14+AA14+AC14+AH14+AI14+AJ14+AK14)*CUSTOS!$M$5</f>
        <v>2.3095592471737093E-13</v>
      </c>
      <c r="O14" s="19">
        <v>1</v>
      </c>
      <c r="P14" s="19">
        <v>0</v>
      </c>
      <c r="Q14" s="19">
        <v>0</v>
      </c>
      <c r="R14" s="19">
        <v>0</v>
      </c>
      <c r="S14" s="19">
        <v>0</v>
      </c>
      <c r="T14" s="19"/>
      <c r="U14" s="19">
        <f>TRANSICAO!$U$14*CUSTOS!$R$3</f>
        <v>0</v>
      </c>
      <c r="V14" s="19">
        <f>TRANSICAO!$V$14*CUSTOS!$R$3</f>
        <v>0</v>
      </c>
      <c r="W14" s="19">
        <f>TRANSICAO!$W$14*CUSTOS!$R$3</f>
        <v>0</v>
      </c>
      <c r="X14" s="19">
        <f>TRANSICAO!$X$14*CUSTOS!$R$3</f>
        <v>0</v>
      </c>
      <c r="Y14" s="19">
        <f>TRANSICAO!$Y$14*CUSTOS!$R$3</f>
        <v>0</v>
      </c>
      <c r="Z14" s="19">
        <f>TRANSICAO!$Z$14*CUSTOS!$R$3</f>
        <v>0</v>
      </c>
      <c r="AA14" s="19">
        <f>TRANSICAO!$AA$14*CUSTOS!$R$3</f>
        <v>0</v>
      </c>
      <c r="AB14" s="19">
        <f>TRANSICAO!$AB$14*CUSTOS!$R$3</f>
        <v>0</v>
      </c>
      <c r="AC14" s="19">
        <f>TRANSICAO!$AC$14*CUSTOS!$R$3</f>
        <v>0</v>
      </c>
      <c r="AD14" s="19">
        <f>TRANSICAO!$AD$14*CUSTOS!$R$3</f>
        <v>0</v>
      </c>
      <c r="AE14" s="19">
        <v>0</v>
      </c>
      <c r="AF14" s="19">
        <v>0</v>
      </c>
      <c r="AG14" s="19"/>
      <c r="AH14" s="19">
        <v>16.429099999999998</v>
      </c>
      <c r="AI14" s="19">
        <v>0</v>
      </c>
      <c r="AJ14" s="19">
        <f ca="1">$N$63</f>
        <v>2.05772118280878</v>
      </c>
      <c r="AK14" s="19">
        <f t="shared" ca="1" si="0"/>
        <v>2.05772118280878</v>
      </c>
      <c r="AL14" s="19"/>
      <c r="AM14" s="19"/>
      <c r="AP14" s="19">
        <v>1</v>
      </c>
    </row>
    <row r="15" spans="1:42" ht="11.25" customHeight="1" x14ac:dyDescent="0.25">
      <c r="A15" s="134" t="s">
        <v>81</v>
      </c>
      <c r="B15" s="134" t="s">
        <v>80</v>
      </c>
      <c r="C15" s="134" t="s">
        <v>25</v>
      </c>
      <c r="D15" s="134" t="s">
        <v>25</v>
      </c>
      <c r="E15" s="22" t="s">
        <v>82</v>
      </c>
      <c r="F15" s="22" t="s">
        <v>25</v>
      </c>
      <c r="G15" s="21" t="s">
        <v>9</v>
      </c>
      <c r="H15" s="21" t="s">
        <v>76</v>
      </c>
      <c r="I15" s="21">
        <f>'MERCADO TUSD'!$U$12+0.00000001</f>
        <v>1E-8</v>
      </c>
      <c r="J15" s="17"/>
      <c r="L15" s="19">
        <v>0</v>
      </c>
      <c r="M15" s="19">
        <v>1.06E-2</v>
      </c>
      <c r="N15" s="19">
        <f>0.0336</f>
        <v>3.3599999999999998E-2</v>
      </c>
      <c r="O15" s="19">
        <v>0</v>
      </c>
      <c r="P15" s="19">
        <v>0</v>
      </c>
      <c r="Q15" s="19">
        <v>0</v>
      </c>
      <c r="R15" s="19">
        <v>0</v>
      </c>
      <c r="S15" s="19">
        <v>0</v>
      </c>
      <c r="T15" s="19"/>
      <c r="U15" s="19">
        <f>TRANSICAO!$U$15*CUSTOS!$T$4</f>
        <v>0</v>
      </c>
      <c r="V15" s="19">
        <f>TRANSICAO!$V$15*CUSTOS!$T$4</f>
        <v>0</v>
      </c>
      <c r="W15" s="19">
        <f>TRANSICAO!$W$15*CUSTOS!$T$4</f>
        <v>0</v>
      </c>
      <c r="X15" s="19">
        <f>TRANSICAO!$X$15*CUSTOS!$T$4</f>
        <v>0</v>
      </c>
      <c r="Y15" s="19">
        <f>TRANSICAO!$Y$15*CUSTOS!$T$4</f>
        <v>0</v>
      </c>
      <c r="Z15" s="19">
        <f>TRANSICAO!$Z$15*CUSTOS!$T$4</f>
        <v>0</v>
      </c>
      <c r="AA15" s="19">
        <f>TRANSICAO!$AA$15*CUSTOS!$T$4</f>
        <v>0</v>
      </c>
      <c r="AB15" s="19">
        <f>TRANSICAO!$AB$15*CUSTOS!$T$4</f>
        <v>0</v>
      </c>
      <c r="AC15" s="19">
        <f>TRANSICAO!$AC$15*CUSTOS!$T$4</f>
        <v>3.3165</v>
      </c>
      <c r="AD15" s="19">
        <f>TRANSICAO!$AD$15*CUSTOS!$T$4</f>
        <v>0</v>
      </c>
      <c r="AE15" s="19">
        <v>0</v>
      </c>
      <c r="AF15" s="19">
        <v>0</v>
      </c>
      <c r="AG15" s="19"/>
      <c r="AH15" s="19">
        <v>0</v>
      </c>
      <c r="AI15" s="19">
        <v>0</v>
      </c>
      <c r="AJ15" s="19">
        <v>0</v>
      </c>
      <c r="AK15" s="19">
        <f t="shared" si="0"/>
        <v>0</v>
      </c>
      <c r="AL15" s="19"/>
      <c r="AM15" s="19"/>
      <c r="AP15" s="19"/>
    </row>
    <row r="16" spans="1:42" ht="11.25" customHeight="1" x14ac:dyDescent="0.25">
      <c r="A16" s="134"/>
      <c r="B16" s="134"/>
      <c r="C16" s="134"/>
      <c r="D16" s="134"/>
      <c r="E16" s="22" t="s">
        <v>83</v>
      </c>
      <c r="F16" s="22" t="s">
        <v>25</v>
      </c>
      <c r="G16" s="21" t="s">
        <v>9</v>
      </c>
      <c r="H16" s="21" t="s">
        <v>76</v>
      </c>
      <c r="I16" s="21">
        <f>'MERCADO TUSD'!$U$13+0.00000001</f>
        <v>1E-8</v>
      </c>
      <c r="J16" s="17"/>
      <c r="L16" s="19">
        <v>0</v>
      </c>
      <c r="M16" s="19">
        <v>1.06E-2</v>
      </c>
      <c r="N16" s="19">
        <f>0.0336</f>
        <v>3.3599999999999998E-2</v>
      </c>
      <c r="O16" s="19">
        <v>0</v>
      </c>
      <c r="P16" s="19">
        <v>0</v>
      </c>
      <c r="Q16" s="19">
        <v>0</v>
      </c>
      <c r="R16" s="19">
        <v>0</v>
      </c>
      <c r="S16" s="19">
        <v>0</v>
      </c>
      <c r="T16" s="19"/>
      <c r="U16" s="19">
        <f>TRANSICAO!$U$16*CUSTOS!$T$4</f>
        <v>0</v>
      </c>
      <c r="V16" s="19">
        <f>TRANSICAO!$V$16*CUSTOS!$T$4</f>
        <v>0</v>
      </c>
      <c r="W16" s="19">
        <f>TRANSICAO!$W$16*CUSTOS!$T$4</f>
        <v>0</v>
      </c>
      <c r="X16" s="19">
        <f>TRANSICAO!$X$16*CUSTOS!$T$4</f>
        <v>0</v>
      </c>
      <c r="Y16" s="19">
        <f>TRANSICAO!$Y$16*CUSTOS!$T$4</f>
        <v>0</v>
      </c>
      <c r="Z16" s="19">
        <f>TRANSICAO!$Z$16*CUSTOS!$T$4</f>
        <v>0</v>
      </c>
      <c r="AA16" s="19">
        <f>TRANSICAO!$AA$16*CUSTOS!$T$4</f>
        <v>0</v>
      </c>
      <c r="AB16" s="19">
        <f>TRANSICAO!$AB$16*CUSTOS!$T$4</f>
        <v>0</v>
      </c>
      <c r="AC16" s="19">
        <f>TRANSICAO!$AC$16*CUSTOS!$T$4</f>
        <v>10.6891</v>
      </c>
      <c r="AD16" s="19">
        <f>TRANSICAO!$AD$16*CUSTOS!$T$4</f>
        <v>0</v>
      </c>
      <c r="AE16" s="19">
        <v>0</v>
      </c>
      <c r="AF16" s="19">
        <v>0</v>
      </c>
      <c r="AG16" s="19"/>
      <c r="AH16" s="19">
        <v>0</v>
      </c>
      <c r="AI16" s="19">
        <v>0</v>
      </c>
      <c r="AJ16" s="19">
        <v>0</v>
      </c>
      <c r="AK16" s="19">
        <f t="shared" si="0"/>
        <v>0</v>
      </c>
      <c r="AL16" s="19"/>
      <c r="AM16" s="19"/>
      <c r="AP16" s="19"/>
    </row>
    <row r="17" spans="1:42" ht="11.25" customHeight="1" x14ac:dyDescent="0.25">
      <c r="A17" s="134" t="s">
        <v>22</v>
      </c>
      <c r="B17" s="134" t="s">
        <v>37</v>
      </c>
      <c r="C17" s="134" t="s">
        <v>24</v>
      </c>
      <c r="D17" s="134" t="s">
        <v>24</v>
      </c>
      <c r="E17" s="134" t="s">
        <v>25</v>
      </c>
      <c r="F17" s="134" t="s">
        <v>25</v>
      </c>
      <c r="G17" s="21" t="s">
        <v>72</v>
      </c>
      <c r="H17" s="21" t="s">
        <v>71</v>
      </c>
      <c r="I17" s="21">
        <f>'MERCADO TUSD'!$U$14</f>
        <v>2.3139999999999996</v>
      </c>
      <c r="J17" s="17"/>
      <c r="L17" s="19">
        <f>1</f>
        <v>1</v>
      </c>
      <c r="M17" s="19">
        <f>IF(AND((+$I$17+$I$18+$I$19+$I$20+$I$21+$I$22+$I$23+$I$24+$I$25+$I$26+$I$27+$I$28+$I$29+$I$30+$I$31+$I$32+$I$33+$I$34+$I$35+$I$36+$I$37+$I$38+$I$39+$I$40+$I$41+$I$42+$I$43+$I$44+$I$45+$I$46+$I$47+$I$48+$I$49+$I$50+$I$51)&lt;&gt;0,SUMPRODUCT($I$5:$I$51,$AC$5:$AC$51,$AP$5:$AP$51)&lt;&gt;0),$M$56*SUMPRODUCT($I$17:$I$51,$AC$17:$AC$51,$AP$17:$AP$51)/SUMPRODUCT($I$5:$I$51,$AC$5:$AC$51,$AP$5:$AP$51)/(+$I$17+$I$18+$I$19+$I$20+$I$21+$I$22+$I$23+$I$24+$I$25+$I$26+$I$27+$I$28+$I$29+$I$30+$I$31+$I$32+$I$33+$I$34+$I$35+$I$36+$I$37+$I$38+$I$39+$I$40+$I$41+$I$42+$I$43+$I$44+$I$45+$I$46+$I$47+$I$48+$I$49+$I$50+$I$51),0)</f>
        <v>2.9857979531516223</v>
      </c>
      <c r="N17" s="19">
        <f ca="1">(+M17+O17+R17+U17+V17+W17+X17+Y17+Z17+AA17+AC17+AH17+AI17+AJ17+AK17)*CUSTOS!$M$5</f>
        <v>7.7053800044032363E-12</v>
      </c>
      <c r="O17" s="19">
        <v>1</v>
      </c>
      <c r="P17" s="19">
        <v>1</v>
      </c>
      <c r="Q17" s="19">
        <f>1</f>
        <v>1</v>
      </c>
      <c r="R17" s="19">
        <v>1</v>
      </c>
      <c r="S17" s="19">
        <v>1</v>
      </c>
      <c r="T17" s="19"/>
      <c r="U17" s="19">
        <f>TRANSICAO!$U$17*CUSTOS!$T$3</f>
        <v>0</v>
      </c>
      <c r="V17" s="19">
        <f>TRANSICAO!$V$17*CUSTOS!$T$3</f>
        <v>0</v>
      </c>
      <c r="W17" s="19">
        <f>TRANSICAO!$W$17*CUSTOS!$T$3</f>
        <v>0</v>
      </c>
      <c r="X17" s="19">
        <f>TRANSICAO!$X$17*CUSTOS!$T$3</f>
        <v>0</v>
      </c>
      <c r="Y17" s="19">
        <f>TRANSICAO!$Y$17*CUSTOS!$T$3</f>
        <v>47.544499999999999</v>
      </c>
      <c r="Z17" s="19">
        <f>TRANSICAO!$Z$17*CUSTOS!$T$3</f>
        <v>0</v>
      </c>
      <c r="AA17" s="19">
        <f>TRANSICAO!$AA$17*CUSTOS!$T$3</f>
        <v>0</v>
      </c>
      <c r="AB17" s="19">
        <f>TRANSICAO!$AB$17*CUSTOS!$T$3</f>
        <v>0</v>
      </c>
      <c r="AC17" s="19">
        <f>TRANSICAO!$AC$17*CUSTOS!$T$3</f>
        <v>673.10569999999996</v>
      </c>
      <c r="AD17" s="19">
        <f>TRANSICAO!$AD$17*CUSTOS!$T$3</f>
        <v>0</v>
      </c>
      <c r="AE17" s="19">
        <v>0</v>
      </c>
      <c r="AF17" s="19">
        <v>0</v>
      </c>
      <c r="AG17" s="19"/>
      <c r="AH17" s="19">
        <v>38.553199999999997</v>
      </c>
      <c r="AI17" s="19">
        <v>0</v>
      </c>
      <c r="AJ17" s="19">
        <f ca="1">$N$64</f>
        <v>3.1744012435860509</v>
      </c>
      <c r="AK17" s="19">
        <f t="shared" ca="1" si="0"/>
        <v>3.1744012435860509</v>
      </c>
      <c r="AL17" s="19"/>
      <c r="AM17" s="19"/>
      <c r="AP17" s="19">
        <v>1</v>
      </c>
    </row>
    <row r="18" spans="1:42" ht="11.25" customHeight="1" x14ac:dyDescent="0.25">
      <c r="A18" s="134"/>
      <c r="B18" s="134"/>
      <c r="C18" s="134"/>
      <c r="D18" s="134"/>
      <c r="E18" s="134"/>
      <c r="F18" s="134"/>
      <c r="G18" s="21" t="s">
        <v>84</v>
      </c>
      <c r="H18" s="21" t="s">
        <v>71</v>
      </c>
      <c r="I18" s="21">
        <f>'MERCADO TUSD'!$U$15</f>
        <v>1.2229999999999999</v>
      </c>
      <c r="J18" s="17"/>
      <c r="L18" s="19">
        <f>1</f>
        <v>1</v>
      </c>
      <c r="M18" s="19">
        <f>IF(AND((+$I$17+$I$18+$I$19+$I$20+$I$21+$I$22+$I$23+$I$24+$I$25+$I$26+$I$27+$I$28+$I$29+$I$30+$I$31+$I$32+$I$33+$I$34+$I$35+$I$36+$I$37+$I$38+$I$39+$I$40+$I$41+$I$42+$I$43+$I$44+$I$45+$I$46+$I$47+$I$48+$I$49+$I$50+$I$51)&lt;&gt;0,SUMPRODUCT($I$5:$I$51,$AC$5:$AC$51,$AP$5:$AP$51)&lt;&gt;0),$M$56*SUMPRODUCT($I$17:$I$51,$AC$17:$AC$51,$AP$17:$AP$51)/SUMPRODUCT($I$5:$I$51,$AC$5:$AC$51,$AP$5:$AP$51)/(+$I$17+$I$18+$I$19+$I$20+$I$21+$I$22+$I$23+$I$24+$I$25+$I$26+$I$27+$I$28+$I$29+$I$30+$I$31+$I$32+$I$33+$I$34+$I$35+$I$36+$I$37+$I$38+$I$39+$I$40+$I$41+$I$42+$I$43+$I$44+$I$45+$I$46+$I$47+$I$48+$I$49+$I$50+$I$51),0)</f>
        <v>2.9857979531516223</v>
      </c>
      <c r="N18" s="19">
        <f ca="1">(+M18+O18+R18+U18+V18+W18+X18+Y18+Z18+AA18+AC18+AH18+AI18+AJ18+AK18)*CUSTOS!$M$5</f>
        <v>4.8227800044032373E-12</v>
      </c>
      <c r="O18" s="19">
        <v>1</v>
      </c>
      <c r="P18" s="19">
        <v>1</v>
      </c>
      <c r="Q18" s="19">
        <f>1</f>
        <v>1</v>
      </c>
      <c r="R18" s="19">
        <v>1</v>
      </c>
      <c r="S18" s="19">
        <v>1</v>
      </c>
      <c r="T18" s="19"/>
      <c r="U18" s="19">
        <f>TRANSICAO!$U$18*CUSTOS!$T$3</f>
        <v>0</v>
      </c>
      <c r="V18" s="19">
        <f>TRANSICAO!$V$18*CUSTOS!$T$3</f>
        <v>0</v>
      </c>
      <c r="W18" s="19">
        <f>TRANSICAO!$W$18*CUSTOS!$T$3</f>
        <v>0</v>
      </c>
      <c r="X18" s="19">
        <f>TRANSICAO!$X$18*CUSTOS!$T$3</f>
        <v>0</v>
      </c>
      <c r="Y18" s="19">
        <f>TRANSICAO!$Y$18*CUSTOS!$T$3</f>
        <v>28.526700000000002</v>
      </c>
      <c r="Z18" s="19">
        <f>TRANSICAO!$Z$18*CUSTOS!$T$3</f>
        <v>0</v>
      </c>
      <c r="AA18" s="19">
        <f>TRANSICAO!$AA$18*CUSTOS!$T$3</f>
        <v>0</v>
      </c>
      <c r="AB18" s="19">
        <f>TRANSICAO!$AB$18*CUSTOS!$T$3</f>
        <v>0</v>
      </c>
      <c r="AC18" s="19">
        <f>TRANSICAO!$AC$18*CUSTOS!$T$3</f>
        <v>403.86349999999999</v>
      </c>
      <c r="AD18" s="19">
        <f>TRANSICAO!$AD$18*CUSTOS!$T$3</f>
        <v>0</v>
      </c>
      <c r="AE18" s="19">
        <v>0</v>
      </c>
      <c r="AF18" s="19">
        <v>0</v>
      </c>
      <c r="AG18" s="19"/>
      <c r="AH18" s="19">
        <v>38.553199999999997</v>
      </c>
      <c r="AI18" s="19">
        <v>0</v>
      </c>
      <c r="AJ18" s="19">
        <f ca="1">$N$64</f>
        <v>3.1744012435860509</v>
      </c>
      <c r="AK18" s="19">
        <f t="shared" ca="1" si="0"/>
        <v>3.1744012435860509</v>
      </c>
      <c r="AL18" s="19"/>
      <c r="AM18" s="19"/>
      <c r="AP18" s="19">
        <v>1</v>
      </c>
    </row>
    <row r="19" spans="1:42" ht="11.25" customHeight="1" x14ac:dyDescent="0.25">
      <c r="A19" s="134"/>
      <c r="B19" s="134"/>
      <c r="C19" s="134"/>
      <c r="D19" s="134"/>
      <c r="E19" s="134"/>
      <c r="F19" s="134"/>
      <c r="G19" s="21" t="s">
        <v>73</v>
      </c>
      <c r="H19" s="21" t="s">
        <v>71</v>
      </c>
      <c r="I19" s="21">
        <f>'MERCADO TUSD'!$U$16</f>
        <v>15.786</v>
      </c>
      <c r="J19" s="17"/>
      <c r="L19" s="19">
        <f>1</f>
        <v>1</v>
      </c>
      <c r="M19" s="19">
        <f>IF(AND((+$I$17+$I$18+$I$19+$I$20+$I$21+$I$22+$I$23+$I$24+$I$25+$I$26+$I$27+$I$28+$I$29+$I$30+$I$31+$I$32+$I$33+$I$34+$I$35+$I$36+$I$37+$I$38+$I$39+$I$40+$I$41+$I$42+$I$43+$I$44+$I$45+$I$46+$I$47+$I$48+$I$49+$I$50+$I$51)&lt;&gt;0,SUMPRODUCT($I$5:$I$51,$AC$5:$AC$51,$AP$5:$AP$51)&lt;&gt;0),$M$56*SUMPRODUCT($I$17:$I$51,$AC$17:$AC$51,$AP$17:$AP$51)/SUMPRODUCT($I$5:$I$51,$AC$5:$AC$51,$AP$5:$AP$51)/(+$I$17+$I$18+$I$19+$I$20+$I$21+$I$22+$I$23+$I$24+$I$25+$I$26+$I$27+$I$28+$I$29+$I$30+$I$31+$I$32+$I$33+$I$34+$I$35+$I$36+$I$37+$I$38+$I$39+$I$40+$I$41+$I$42+$I$43+$I$44+$I$45+$I$46+$I$47+$I$48+$I$49+$I$50+$I$51),0)</f>
        <v>2.9857979531516223</v>
      </c>
      <c r="N19" s="19">
        <f ca="1">(+M19+O19+R19+U19+V19+W19+X19+Y19+Z19+AA19+AC19+AH19+AI19+AJ19+AK19)*CUSTOS!$M$5</f>
        <v>1.9401790044032376E-12</v>
      </c>
      <c r="O19" s="19">
        <v>1</v>
      </c>
      <c r="P19" s="19">
        <v>1</v>
      </c>
      <c r="Q19" s="19">
        <f>1</f>
        <v>1</v>
      </c>
      <c r="R19" s="19">
        <v>1</v>
      </c>
      <c r="S19" s="19">
        <v>1</v>
      </c>
      <c r="T19" s="19"/>
      <c r="U19" s="19">
        <f>TRANSICAO!$U$19*CUSTOS!$T$3</f>
        <v>0</v>
      </c>
      <c r="V19" s="19">
        <f>TRANSICAO!$V$19*CUSTOS!$T$3</f>
        <v>0</v>
      </c>
      <c r="W19" s="19">
        <f>TRANSICAO!$W$19*CUSTOS!$T$3</f>
        <v>0</v>
      </c>
      <c r="X19" s="19">
        <f>TRANSICAO!$X$19*CUSTOS!$T$3</f>
        <v>0</v>
      </c>
      <c r="Y19" s="19">
        <f>TRANSICAO!$Y$19*CUSTOS!$T$3</f>
        <v>9.5090000000000003</v>
      </c>
      <c r="Z19" s="19">
        <f>TRANSICAO!$Z$19*CUSTOS!$T$3</f>
        <v>0</v>
      </c>
      <c r="AA19" s="19">
        <f>TRANSICAO!$AA$19*CUSTOS!$T$3</f>
        <v>0</v>
      </c>
      <c r="AB19" s="19">
        <f>TRANSICAO!$AB$19*CUSTOS!$T$3</f>
        <v>0</v>
      </c>
      <c r="AC19" s="19">
        <f>TRANSICAO!$AC$19*CUSTOS!$T$3</f>
        <v>134.62110000000001</v>
      </c>
      <c r="AD19" s="19">
        <f>TRANSICAO!$AD$19*CUSTOS!$T$3</f>
        <v>0</v>
      </c>
      <c r="AE19" s="19">
        <v>0</v>
      </c>
      <c r="AF19" s="19">
        <v>0</v>
      </c>
      <c r="AG19" s="19"/>
      <c r="AH19" s="19">
        <v>38.553199999999997</v>
      </c>
      <c r="AI19" s="19">
        <v>0</v>
      </c>
      <c r="AJ19" s="19">
        <f ca="1">$N$64</f>
        <v>3.1744012435860509</v>
      </c>
      <c r="AK19" s="19">
        <f t="shared" ca="1" si="0"/>
        <v>3.1744012435860509</v>
      </c>
      <c r="AL19" s="19"/>
      <c r="AM19" s="19"/>
      <c r="AP19" s="19">
        <v>1</v>
      </c>
    </row>
    <row r="20" spans="1:42" ht="11.25" customHeight="1" x14ac:dyDescent="0.25">
      <c r="A20" s="134"/>
      <c r="B20" s="134" t="s">
        <v>23</v>
      </c>
      <c r="C20" s="134" t="s">
        <v>24</v>
      </c>
      <c r="D20" s="22" t="s">
        <v>24</v>
      </c>
      <c r="E20" s="22" t="s">
        <v>25</v>
      </c>
      <c r="F20" s="22" t="s">
        <v>25</v>
      </c>
      <c r="G20" s="21" t="s">
        <v>75</v>
      </c>
      <c r="H20" s="21" t="s">
        <v>71</v>
      </c>
      <c r="I20" s="21">
        <f>'MERCADO TUSD'!$U$17</f>
        <v>26510.091</v>
      </c>
      <c r="J20" s="17"/>
      <c r="L20" s="19">
        <f>1</f>
        <v>1</v>
      </c>
      <c r="M20" s="19">
        <f>IF(AND((+$I$17+$I$18+$I$19+$I$20+$I$21+$I$22+$I$23+$I$24+$I$25+$I$26+$I$27+$I$28+$I$29+$I$30+$I$31+$I$32+$I$33+$I$34+$I$35+$I$36+$I$37+$I$38+$I$39+$I$40+$I$41+$I$42+$I$43+$I$44+$I$45+$I$46+$I$47+$I$48+$I$49+$I$50+$I$51)&lt;&gt;0,SUMPRODUCT($I$5:$I$51,$AC$5:$AC$51,$AP$5:$AP$51)&lt;&gt;0),$M$56*SUMPRODUCT($I$17:$I$51,$AC$17:$AC$51,$AP$17:$AP$51)/SUMPRODUCT($I$5:$I$51,$AC$5:$AC$51,$AP$5:$AP$51)/(+$I$17+$I$18+$I$19+$I$20+$I$21+$I$22+$I$23+$I$24+$I$25+$I$26+$I$27+$I$28+$I$29+$I$30+$I$31+$I$32+$I$33+$I$34+$I$35+$I$36+$I$37+$I$38+$I$39+$I$40+$I$41+$I$42+$I$43+$I$44+$I$45+$I$46+$I$47+$I$48+$I$49+$I$50+$I$51),0)</f>
        <v>2.9857979531516223</v>
      </c>
      <c r="N20" s="19">
        <f ca="1">(+M20+O20+R20+U20+V20+W20+X20+Y20+Z20+AA20+AC20+AH20+AI20+AJ20+AK20)*CUSTOS!$M$5</f>
        <v>3.167954004403237E-12</v>
      </c>
      <c r="O20" s="19">
        <v>1</v>
      </c>
      <c r="P20" s="19">
        <v>1</v>
      </c>
      <c r="Q20" s="19">
        <f>1</f>
        <v>1</v>
      </c>
      <c r="R20" s="19">
        <v>1</v>
      </c>
      <c r="S20" s="19">
        <v>1</v>
      </c>
      <c r="T20" s="19"/>
      <c r="U20" s="19">
        <f>TRANSICAO!$U$20*CUSTOS!$T$3</f>
        <v>0</v>
      </c>
      <c r="V20" s="19">
        <f>TRANSICAO!$V$20*CUSTOS!$T$3</f>
        <v>0</v>
      </c>
      <c r="W20" s="19">
        <f>TRANSICAO!$W$20*CUSTOS!$T$3</f>
        <v>0</v>
      </c>
      <c r="X20" s="19">
        <f>TRANSICAO!$X$20*CUSTOS!$T$3</f>
        <v>0</v>
      </c>
      <c r="Y20" s="19">
        <f>TRANSICAO!$Y$20*CUSTOS!$T$3</f>
        <v>17.609100000000002</v>
      </c>
      <c r="Z20" s="19">
        <f>TRANSICAO!$Z$20*CUSTOS!$T$3</f>
        <v>0</v>
      </c>
      <c r="AA20" s="19">
        <f>TRANSICAO!$AA$20*CUSTOS!$T$3</f>
        <v>0</v>
      </c>
      <c r="AB20" s="19">
        <f>TRANSICAO!$AB$20*CUSTOS!$T$3</f>
        <v>0</v>
      </c>
      <c r="AC20" s="19">
        <f>TRANSICAO!$AC$20*CUSTOS!$T$3</f>
        <v>249.29849999999999</v>
      </c>
      <c r="AD20" s="19">
        <f>TRANSICAO!$AD$20*CUSTOS!$T$3</f>
        <v>0</v>
      </c>
      <c r="AE20" s="19">
        <v>0</v>
      </c>
      <c r="AF20" s="19">
        <v>0</v>
      </c>
      <c r="AG20" s="19"/>
      <c r="AH20" s="19">
        <v>38.553199999999997</v>
      </c>
      <c r="AI20" s="19">
        <v>0</v>
      </c>
      <c r="AJ20" s="19">
        <f ca="1">$N$64</f>
        <v>3.1744012435860509</v>
      </c>
      <c r="AK20" s="19">
        <f t="shared" ca="1" si="0"/>
        <v>3.1744012435860509</v>
      </c>
      <c r="AL20" s="19"/>
      <c r="AM20" s="19"/>
      <c r="AP20" s="19">
        <v>1</v>
      </c>
    </row>
    <row r="21" spans="1:42" ht="11.25" customHeight="1" x14ac:dyDescent="0.25">
      <c r="A21" s="134"/>
      <c r="B21" s="134"/>
      <c r="C21" s="134"/>
      <c r="D21" s="22" t="s">
        <v>29</v>
      </c>
      <c r="E21" s="22" t="s">
        <v>25</v>
      </c>
      <c r="F21" s="22" t="s">
        <v>25</v>
      </c>
      <c r="G21" s="21" t="s">
        <v>75</v>
      </c>
      <c r="H21" s="21" t="s">
        <v>71</v>
      </c>
      <c r="I21" s="21">
        <f>'MERCADO TUSD'!$U$18</f>
        <v>224.727</v>
      </c>
      <c r="J21" s="17"/>
      <c r="L21" s="19">
        <v>0</v>
      </c>
      <c r="M21" s="19">
        <f>IF(AND((+$I$17+$I$18+$I$19+$I$20+$I$21+$I$22+$I$23+$I$24+$I$25+$I$26+$I$27+$I$28+$I$29+$I$30+$I$31+$I$32+$I$33+$I$34+$I$35+$I$36+$I$37+$I$38+$I$39+$I$40+$I$41+$I$42+$I$43+$I$44+$I$45+$I$46+$I$47+$I$48+$I$49+$I$50+$I$51)&lt;&gt;0,SUMPRODUCT($I$5:$I$51,$AC$5:$AC$51,$AP$5:$AP$51)&lt;&gt;0),$M$56*SUMPRODUCT($I$17:$I$51,$AC$17:$AC$51,$AP$17:$AP$51)/SUMPRODUCT($I$5:$I$51,$AC$5:$AC$51,$AP$5:$AP$51)/(+$I$17+$I$18+$I$19+$I$20+$I$21+$I$22+$I$23+$I$24+$I$25+$I$26+$I$27+$I$28+$I$29+$I$30+$I$31+$I$32+$I$33+$I$34+$I$35+$I$36+$I$37+$I$38+$I$39+$I$40+$I$41+$I$42+$I$43+$I$44+$I$45+$I$46+$I$47+$I$48+$I$49+$I$50+$I$51),0)*(1 - CUSTOS!$M$24)</f>
        <v>2.9857979531516223</v>
      </c>
      <c r="N21" s="19">
        <f ca="1">(+M21+O21+R21+U21+V21+W21+X21+Y21+Z21+AA21+AC21+AH21+AI21+AJ21+AK21)*CUSTOS!$M$5</f>
        <v>3.1579540044032369E-12</v>
      </c>
      <c r="O21" s="19">
        <f>1 - CUSTOS!$M$24</f>
        <v>1</v>
      </c>
      <c r="P21" s="19">
        <v>0</v>
      </c>
      <c r="Q21" s="19">
        <v>0</v>
      </c>
      <c r="R21" s="19">
        <v>0</v>
      </c>
      <c r="S21" s="19">
        <f>1 - CUSTOS!$M$24</f>
        <v>1</v>
      </c>
      <c r="T21" s="19"/>
      <c r="U21" s="19">
        <f>TRANSICAO!$U$21*CUSTOS!$T$3</f>
        <v>0</v>
      </c>
      <c r="V21" s="19">
        <f>TRANSICAO!$V$21*CUSTOS!$T$3</f>
        <v>0</v>
      </c>
      <c r="W21" s="19">
        <f>TRANSICAO!$W$21*CUSTOS!$T$3</f>
        <v>0</v>
      </c>
      <c r="X21" s="19">
        <f>TRANSICAO!$X$21*CUSTOS!$T$3</f>
        <v>0</v>
      </c>
      <c r="Y21" s="19">
        <f>TRANSICAO!$Y$21*CUSTOS!$T$3</f>
        <v>17.609100000000002</v>
      </c>
      <c r="Z21" s="19">
        <f>TRANSICAO!$Z$21*CUSTOS!$T$3</f>
        <v>0</v>
      </c>
      <c r="AA21" s="19">
        <f>TRANSICAO!$AA$21*CUSTOS!$T$3</f>
        <v>0</v>
      </c>
      <c r="AB21" s="19">
        <f>TRANSICAO!$AB$21*CUSTOS!$T$3</f>
        <v>0</v>
      </c>
      <c r="AC21" s="19">
        <f>TRANSICAO!$AC$21*CUSTOS!$T$3</f>
        <v>249.29849999999999</v>
      </c>
      <c r="AD21" s="19">
        <f>TRANSICAO!$AD$21*CUSTOS!$T$3</f>
        <v>0</v>
      </c>
      <c r="AE21" s="19">
        <v>0</v>
      </c>
      <c r="AF21" s="19">
        <v>0</v>
      </c>
      <c r="AG21" s="19"/>
      <c r="AH21" s="19">
        <f>(1 - CUSTOS!$M$24)*38.5532</f>
        <v>38.553199999999997</v>
      </c>
      <c r="AI21" s="19">
        <v>0</v>
      </c>
      <c r="AJ21" s="19">
        <f ca="1">$N$64*(1-CUSTOS!$M$24)</f>
        <v>3.1744012435860509</v>
      </c>
      <c r="AK21" s="19">
        <f t="shared" ca="1" si="0"/>
        <v>3.1744012435860509</v>
      </c>
      <c r="AL21" s="19"/>
      <c r="AM21" s="19"/>
      <c r="AP21" s="19">
        <f>IF((1 - CUSTOS!$M$24)&lt;&gt;0,1/(1 - CUSTOS!$M$24),1)</f>
        <v>1</v>
      </c>
    </row>
    <row r="22" spans="1:42" ht="11.25" customHeight="1" x14ac:dyDescent="0.25">
      <c r="A22" s="134"/>
      <c r="B22" s="134"/>
      <c r="C22" s="134"/>
      <c r="D22" s="22" t="s">
        <v>30</v>
      </c>
      <c r="E22" s="22" t="s">
        <v>25</v>
      </c>
      <c r="F22" s="22" t="s">
        <v>25</v>
      </c>
      <c r="G22" s="21" t="s">
        <v>75</v>
      </c>
      <c r="H22" s="21" t="s">
        <v>71</v>
      </c>
      <c r="I22" s="21">
        <f>'MERCADO TUSD'!$U$19</f>
        <v>457.44400000000002</v>
      </c>
      <c r="J22" s="17"/>
      <c r="L22" s="19">
        <v>0</v>
      </c>
      <c r="M22" s="19">
        <f>IF(AND((+$I$17+$I$18+$I$19+$I$20+$I$21+$I$22+$I$23+$I$24+$I$25+$I$26+$I$27+$I$28+$I$29+$I$30+$I$31+$I$32+$I$33+$I$34+$I$35+$I$36+$I$37+$I$38+$I$39+$I$40+$I$41+$I$42+$I$43+$I$44+$I$45+$I$46+$I$47+$I$48+$I$49+$I$50+$I$51)&lt;&gt;0,SUMPRODUCT($I$5:$I$51,$AC$5:$AC$51,$AP$5:$AP$51)&lt;&gt;0),$M$56*SUMPRODUCT($I$17:$I$51,$AC$17:$AC$51,$AP$17:$AP$51)/SUMPRODUCT($I$5:$I$51,$AC$5:$AC$51,$AP$5:$AP$51)/(+$I$17+$I$18+$I$19+$I$20+$I$21+$I$22+$I$23+$I$24+$I$25+$I$26+$I$27+$I$28+$I$29+$I$30+$I$31+$I$32+$I$33+$I$34+$I$35+$I$36+$I$37+$I$38+$I$39+$I$40+$I$41+$I$42+$I$43+$I$44+$I$45+$I$46+$I$47+$I$48+$I$49+$I$50+$I$51),0)*(1 - CUSTOS!$M$25)</f>
        <v>2.9857979531516223</v>
      </c>
      <c r="N22" s="19">
        <f ca="1">(+M22+O22+R22+U22+V22+W22+X22+Y22+Z22+AA22+AC22+AH22+AI22+AJ22+AK22)*CUSTOS!$M$5</f>
        <v>3.1579540044032369E-12</v>
      </c>
      <c r="O22" s="19">
        <f>1 - CUSTOS!$M$25</f>
        <v>1</v>
      </c>
      <c r="P22" s="19">
        <v>0</v>
      </c>
      <c r="Q22" s="19">
        <v>0</v>
      </c>
      <c r="R22" s="19">
        <v>0</v>
      </c>
      <c r="S22" s="19">
        <f>1 - CUSTOS!$M$25</f>
        <v>1</v>
      </c>
      <c r="T22" s="19"/>
      <c r="U22" s="19">
        <f>TRANSICAO!$U$22*CUSTOS!$T$3</f>
        <v>0</v>
      </c>
      <c r="V22" s="19">
        <f>TRANSICAO!$V$22*CUSTOS!$T$3</f>
        <v>0</v>
      </c>
      <c r="W22" s="19">
        <f>TRANSICAO!$W$22*CUSTOS!$T$3</f>
        <v>0</v>
      </c>
      <c r="X22" s="19">
        <f>TRANSICAO!$X$22*CUSTOS!$T$3</f>
        <v>0</v>
      </c>
      <c r="Y22" s="19">
        <f>TRANSICAO!$Y$22*CUSTOS!$T$3</f>
        <v>17.609100000000002</v>
      </c>
      <c r="Z22" s="19">
        <f>TRANSICAO!$Z$22*CUSTOS!$T$3</f>
        <v>0</v>
      </c>
      <c r="AA22" s="19">
        <f>TRANSICAO!$AA$22*CUSTOS!$T$3</f>
        <v>0</v>
      </c>
      <c r="AB22" s="19">
        <f>TRANSICAO!$AB$22*CUSTOS!$T$3</f>
        <v>0</v>
      </c>
      <c r="AC22" s="19">
        <f>TRANSICAO!$AC$22*CUSTOS!$T$3</f>
        <v>249.29849999999999</v>
      </c>
      <c r="AD22" s="19">
        <f>TRANSICAO!$AD$22*CUSTOS!$T$3</f>
        <v>0</v>
      </c>
      <c r="AE22" s="19">
        <v>0</v>
      </c>
      <c r="AF22" s="19">
        <v>0</v>
      </c>
      <c r="AG22" s="19"/>
      <c r="AH22" s="19">
        <f>(1 - CUSTOS!$M$25)*38.5532</f>
        <v>38.553199999999997</v>
      </c>
      <c r="AI22" s="19">
        <v>0</v>
      </c>
      <c r="AJ22" s="19">
        <f ca="1">$N$64*(1-CUSTOS!$M$25)</f>
        <v>3.1744012435860509</v>
      </c>
      <c r="AK22" s="19">
        <f t="shared" ca="1" si="0"/>
        <v>3.1744012435860509</v>
      </c>
      <c r="AL22" s="19"/>
      <c r="AM22" s="19"/>
      <c r="AP22" s="19">
        <f>IF((1 - CUSTOS!$M$25)&lt;&gt;0,1/(1 - CUSTOS!$M$25),1)</f>
        <v>1</v>
      </c>
    </row>
    <row r="23" spans="1:42" ht="11.25" customHeight="1" x14ac:dyDescent="0.25">
      <c r="A23" s="134"/>
      <c r="B23" s="134"/>
      <c r="C23" s="134"/>
      <c r="D23" s="22" t="s">
        <v>31</v>
      </c>
      <c r="E23" s="22" t="s">
        <v>25</v>
      </c>
      <c r="F23" s="22" t="s">
        <v>25</v>
      </c>
      <c r="G23" s="21" t="s">
        <v>75</v>
      </c>
      <c r="H23" s="21" t="s">
        <v>71</v>
      </c>
      <c r="I23" s="21">
        <f>'MERCADO TUSD'!$U$20</f>
        <v>365.92600000000004</v>
      </c>
      <c r="J23" s="17"/>
      <c r="L23" s="19">
        <v>0</v>
      </c>
      <c r="M23" s="19">
        <f>IF(AND((+$I$17+$I$18+$I$19+$I$20+$I$21+$I$22+$I$23+$I$24+$I$25+$I$26+$I$27+$I$28+$I$29+$I$30+$I$31+$I$32+$I$33+$I$34+$I$35+$I$36+$I$37+$I$38+$I$39+$I$40+$I$41+$I$42+$I$43+$I$44+$I$45+$I$46+$I$47+$I$48+$I$49+$I$50+$I$51)&lt;&gt;0,SUMPRODUCT($I$5:$I$51,$AC$5:$AC$51,$AP$5:$AP$51)&lt;&gt;0),$M$56*SUMPRODUCT($I$17:$I$51,$AC$17:$AC$51,$AP$17:$AP$51)/SUMPRODUCT($I$5:$I$51,$AC$5:$AC$51,$AP$5:$AP$51)/(+$I$17+$I$18+$I$19+$I$20+$I$21+$I$22+$I$23+$I$24+$I$25+$I$26+$I$27+$I$28+$I$29+$I$30+$I$31+$I$32+$I$33+$I$34+$I$35+$I$36+$I$37+$I$38+$I$39+$I$40+$I$41+$I$42+$I$43+$I$44+$I$45+$I$46+$I$47+$I$48+$I$49+$I$50+$I$51),0)*(1 - CUSTOS!$M$26)</f>
        <v>2.9857979531516223</v>
      </c>
      <c r="N23" s="19">
        <f ca="1">(+M23+O23+R23+U23+V23+W23+X23+Y23+Z23+AA23+AC23+AH23+AI23+AJ23+AK23)*CUSTOS!$M$5</f>
        <v>3.1579540044032369E-12</v>
      </c>
      <c r="O23" s="19">
        <f>1 - CUSTOS!$M$26</f>
        <v>1</v>
      </c>
      <c r="P23" s="19">
        <v>0</v>
      </c>
      <c r="Q23" s="19">
        <v>0</v>
      </c>
      <c r="R23" s="19">
        <v>0</v>
      </c>
      <c r="S23" s="19">
        <f>1 - CUSTOS!$M$26</f>
        <v>1</v>
      </c>
      <c r="T23" s="19"/>
      <c r="U23" s="19">
        <f>TRANSICAO!$U$23*CUSTOS!$T$3</f>
        <v>0</v>
      </c>
      <c r="V23" s="19">
        <f>TRANSICAO!$V$23*CUSTOS!$T$3</f>
        <v>0</v>
      </c>
      <c r="W23" s="19">
        <f>TRANSICAO!$W$23*CUSTOS!$T$3</f>
        <v>0</v>
      </c>
      <c r="X23" s="19">
        <f>TRANSICAO!$X$23*CUSTOS!$T$3</f>
        <v>0</v>
      </c>
      <c r="Y23" s="19">
        <f>TRANSICAO!$Y$23*CUSTOS!$T$3</f>
        <v>17.609100000000002</v>
      </c>
      <c r="Z23" s="19">
        <f>TRANSICAO!$Z$23*CUSTOS!$T$3</f>
        <v>0</v>
      </c>
      <c r="AA23" s="19">
        <f>TRANSICAO!$AA$23*CUSTOS!$T$3</f>
        <v>0</v>
      </c>
      <c r="AB23" s="19">
        <f>TRANSICAO!$AB$23*CUSTOS!$T$3</f>
        <v>0</v>
      </c>
      <c r="AC23" s="19">
        <f>TRANSICAO!$AC$23*CUSTOS!$T$3</f>
        <v>249.29849999999999</v>
      </c>
      <c r="AD23" s="19">
        <f>TRANSICAO!$AD$23*CUSTOS!$T$3</f>
        <v>0</v>
      </c>
      <c r="AE23" s="19">
        <v>0</v>
      </c>
      <c r="AF23" s="19">
        <v>0</v>
      </c>
      <c r="AG23" s="19"/>
      <c r="AH23" s="19">
        <f>(1 - CUSTOS!$M$26)*38.5532</f>
        <v>38.553199999999997</v>
      </c>
      <c r="AI23" s="19">
        <v>0</v>
      </c>
      <c r="AJ23" s="19">
        <f ca="1">$N$64*(1-CUSTOS!$M$26)</f>
        <v>3.1744012435860509</v>
      </c>
      <c r="AK23" s="19">
        <f t="shared" ca="1" si="0"/>
        <v>3.1744012435860509</v>
      </c>
      <c r="AL23" s="19"/>
      <c r="AM23" s="19"/>
      <c r="AP23" s="19">
        <f>IF((1 - CUSTOS!$M$26)&lt;&gt;0,1/(1 - CUSTOS!$M$26),1)</f>
        <v>1</v>
      </c>
    </row>
    <row r="24" spans="1:42" ht="11.25" customHeight="1" x14ac:dyDescent="0.25">
      <c r="A24" s="134"/>
      <c r="B24" s="134"/>
      <c r="C24" s="134"/>
      <c r="D24" s="22" t="s">
        <v>32</v>
      </c>
      <c r="E24" s="22" t="s">
        <v>25</v>
      </c>
      <c r="F24" s="22" t="s">
        <v>25</v>
      </c>
      <c r="G24" s="21" t="s">
        <v>75</v>
      </c>
      <c r="H24" s="21" t="s">
        <v>71</v>
      </c>
      <c r="I24" s="21">
        <f>'MERCADO TUSD'!$U$21</f>
        <v>81.745999999999995</v>
      </c>
      <c r="J24" s="17"/>
      <c r="L24" s="19">
        <v>0</v>
      </c>
      <c r="M24" s="19">
        <f>IF(AND((+$I$17+$I$18+$I$19+$I$20+$I$21+$I$22+$I$23+$I$24+$I$25+$I$26+$I$27+$I$28+$I$29+$I$30+$I$31+$I$32+$I$33+$I$34+$I$35+$I$36+$I$37+$I$38+$I$39+$I$40+$I$41+$I$42+$I$43+$I$44+$I$45+$I$46+$I$47+$I$48+$I$49+$I$50+$I$51)&lt;&gt;0,SUMPRODUCT($I$5:$I$51,$AC$5:$AC$51,$AP$5:$AP$51)&lt;&gt;0),$M$56*SUMPRODUCT($I$17:$I$51,$AC$17:$AC$51,$AP$17:$AP$51)/SUMPRODUCT($I$5:$I$51,$AC$5:$AC$51,$AP$5:$AP$51)/(+$I$17+$I$18+$I$19+$I$20+$I$21+$I$22+$I$23+$I$24+$I$25+$I$26+$I$27+$I$28+$I$29+$I$30+$I$31+$I$32+$I$33+$I$34+$I$35+$I$36+$I$37+$I$38+$I$39+$I$40+$I$41+$I$42+$I$43+$I$44+$I$45+$I$46+$I$47+$I$48+$I$49+$I$50+$I$51),0)*(1 - CUSTOS!$M$27)</f>
        <v>2.9857979531516223</v>
      </c>
      <c r="N24" s="19">
        <f ca="1">(+M24+O24+R24+U24+V24+W24+X24+Y24+Z24+AA24+AC24+AH24+AI24+AJ24+AK24)*CUSTOS!$M$5</f>
        <v>3.1579540044032369E-12</v>
      </c>
      <c r="O24" s="19">
        <f>1 - CUSTOS!$M$27</f>
        <v>1</v>
      </c>
      <c r="P24" s="19">
        <v>0</v>
      </c>
      <c r="Q24" s="19">
        <v>0</v>
      </c>
      <c r="R24" s="19">
        <v>0</v>
      </c>
      <c r="S24" s="19">
        <f>1 - CUSTOS!$M$27</f>
        <v>1</v>
      </c>
      <c r="T24" s="19"/>
      <c r="U24" s="19">
        <f>TRANSICAO!$U$24*CUSTOS!$T$3</f>
        <v>0</v>
      </c>
      <c r="V24" s="19">
        <f>TRANSICAO!$V$24*CUSTOS!$T$3</f>
        <v>0</v>
      </c>
      <c r="W24" s="19">
        <f>TRANSICAO!$W$24*CUSTOS!$T$3</f>
        <v>0</v>
      </c>
      <c r="X24" s="19">
        <f>TRANSICAO!$X$24*CUSTOS!$T$3</f>
        <v>0</v>
      </c>
      <c r="Y24" s="19">
        <f>TRANSICAO!$Y$24*CUSTOS!$T$3</f>
        <v>17.609100000000002</v>
      </c>
      <c r="Z24" s="19">
        <f>TRANSICAO!$Z$24*CUSTOS!$T$3</f>
        <v>0</v>
      </c>
      <c r="AA24" s="19">
        <f>TRANSICAO!$AA$24*CUSTOS!$T$3</f>
        <v>0</v>
      </c>
      <c r="AB24" s="19">
        <f>TRANSICAO!$AB$24*CUSTOS!$T$3</f>
        <v>0</v>
      </c>
      <c r="AC24" s="19">
        <f>TRANSICAO!$AC$24*CUSTOS!$T$3</f>
        <v>249.29849999999999</v>
      </c>
      <c r="AD24" s="19">
        <f>TRANSICAO!$AD$24*CUSTOS!$T$3</f>
        <v>0</v>
      </c>
      <c r="AE24" s="19">
        <v>0</v>
      </c>
      <c r="AF24" s="19">
        <v>0</v>
      </c>
      <c r="AG24" s="19"/>
      <c r="AH24" s="19">
        <f>(1 - CUSTOS!$M$27)*38.5532</f>
        <v>38.553199999999997</v>
      </c>
      <c r="AI24" s="19">
        <v>0</v>
      </c>
      <c r="AJ24" s="19">
        <f ca="1">$N$64*(1-CUSTOS!$M$27)</f>
        <v>3.1744012435860509</v>
      </c>
      <c r="AK24" s="19">
        <f t="shared" ca="1" si="0"/>
        <v>3.1744012435860509</v>
      </c>
      <c r="AL24" s="19"/>
      <c r="AM24" s="19"/>
      <c r="AP24" s="19">
        <f>IF((1 - CUSTOS!$M$27)&lt;&gt;0,1/(1 - CUSTOS!$M$27),1)</f>
        <v>1</v>
      </c>
    </row>
    <row r="25" spans="1:42" ht="11.25" customHeight="1" x14ac:dyDescent="0.25">
      <c r="A25" s="134"/>
      <c r="B25" s="134" t="s">
        <v>86</v>
      </c>
      <c r="C25" s="134" t="s">
        <v>24</v>
      </c>
      <c r="D25" s="22" t="s">
        <v>24</v>
      </c>
      <c r="E25" s="22" t="s">
        <v>25</v>
      </c>
      <c r="F25" s="22" t="s">
        <v>25</v>
      </c>
      <c r="G25" s="21" t="s">
        <v>75</v>
      </c>
      <c r="H25" s="21" t="s">
        <v>71</v>
      </c>
      <c r="I25" s="21">
        <f>'MERCADO TUSD'!$U$22</f>
        <v>0</v>
      </c>
      <c r="J25" s="17"/>
      <c r="L25" s="19">
        <f>1</f>
        <v>1</v>
      </c>
      <c r="M25" s="19">
        <f>IF(AND((+$I$17+$I$18+$I$19+$I$20+$I$21+$I$22+$I$23+$I$24+$I$25+$I$26+$I$27+$I$28+$I$29+$I$30+$I$31+$I$32+$I$33+$I$34+$I$35+$I$36+$I$37+$I$38+$I$39+$I$40+$I$41+$I$42+$I$43+$I$44+$I$45+$I$46+$I$47+$I$48+$I$49+$I$50+$I$51)&lt;&gt;0,SUMPRODUCT($I$5:$I$51,$AC$5:$AC$51,$AP$5:$AP$51)&lt;&gt;0),$M$56*SUMPRODUCT($I$17:$I$51,$AC$17:$AC$51,$AP$17:$AP$51)/SUMPRODUCT($I$5:$I$51,$AC$5:$AC$51,$AP$5:$AP$51)/(+$I$17+$I$18+$I$19+$I$20+$I$21+$I$22+$I$23+$I$24+$I$25+$I$26+$I$27+$I$28+$I$29+$I$30+$I$31+$I$32+$I$33+$I$34+$I$35+$I$36+$I$37+$I$38+$I$39+$I$40+$I$41+$I$42+$I$43+$I$44+$I$45+$I$46+$I$47+$I$48+$I$49+$I$50+$I$51),0)</f>
        <v>2.9857979531516223</v>
      </c>
      <c r="N25" s="19">
        <f ca="1">(+M25+O25+R25+U25+V25+W25+X25+Y25+Z25+AA25+AC25+AH25+AI25+AJ25+AK25)*CUSTOS!$M$5</f>
        <v>3.167954004403237E-12</v>
      </c>
      <c r="O25" s="19">
        <v>1</v>
      </c>
      <c r="P25" s="19">
        <v>1</v>
      </c>
      <c r="Q25" s="19">
        <f>1</f>
        <v>1</v>
      </c>
      <c r="R25" s="19">
        <v>1</v>
      </c>
      <c r="S25" s="19">
        <v>1</v>
      </c>
      <c r="T25" s="19"/>
      <c r="U25" s="19">
        <f>TRANSICAO!$U$25*CUSTOS!$T$3</f>
        <v>0</v>
      </c>
      <c r="V25" s="19">
        <f>TRANSICAO!$V$25*CUSTOS!$T$3</f>
        <v>0</v>
      </c>
      <c r="W25" s="19">
        <f>TRANSICAO!$W$25*CUSTOS!$T$3</f>
        <v>0</v>
      </c>
      <c r="X25" s="19">
        <f>TRANSICAO!$X$25*CUSTOS!$T$3</f>
        <v>0</v>
      </c>
      <c r="Y25" s="19">
        <f>TRANSICAO!$Y$25*CUSTOS!$T$3</f>
        <v>17.609100000000002</v>
      </c>
      <c r="Z25" s="19">
        <f>TRANSICAO!$Z$25*CUSTOS!$T$3</f>
        <v>0</v>
      </c>
      <c r="AA25" s="19">
        <f>TRANSICAO!$AA$25*CUSTOS!$T$3</f>
        <v>0</v>
      </c>
      <c r="AB25" s="19">
        <f>TRANSICAO!$AB$25*CUSTOS!$T$3</f>
        <v>0</v>
      </c>
      <c r="AC25" s="19">
        <f>TRANSICAO!$AC$25*CUSTOS!$T$3</f>
        <v>249.29849999999999</v>
      </c>
      <c r="AD25" s="19">
        <f>TRANSICAO!$AD$25*CUSTOS!$T$3</f>
        <v>0</v>
      </c>
      <c r="AE25" s="19">
        <v>0</v>
      </c>
      <c r="AF25" s="19">
        <v>0</v>
      </c>
      <c r="AG25" s="19"/>
      <c r="AH25" s="19">
        <v>38.553199999999997</v>
      </c>
      <c r="AI25" s="19">
        <v>0</v>
      </c>
      <c r="AJ25" s="19">
        <f ca="1">$N$64</f>
        <v>3.1744012435860509</v>
      </c>
      <c r="AK25" s="19">
        <f t="shared" ca="1" si="0"/>
        <v>3.1744012435860509</v>
      </c>
      <c r="AL25" s="19"/>
      <c r="AM25" s="19"/>
      <c r="AP25" s="19">
        <v>1</v>
      </c>
    </row>
    <row r="26" spans="1:42" ht="11.25" customHeight="1" x14ac:dyDescent="0.25">
      <c r="A26" s="134"/>
      <c r="B26" s="134"/>
      <c r="C26" s="134"/>
      <c r="D26" s="22" t="s">
        <v>29</v>
      </c>
      <c r="E26" s="22" t="s">
        <v>25</v>
      </c>
      <c r="F26" s="22" t="s">
        <v>25</v>
      </c>
      <c r="G26" s="21" t="s">
        <v>75</v>
      </c>
      <c r="H26" s="21" t="s">
        <v>71</v>
      </c>
      <c r="I26" s="21">
        <f>'MERCADO TUSD'!$U$23</f>
        <v>0</v>
      </c>
      <c r="J26" s="17"/>
      <c r="L26" s="19">
        <v>0</v>
      </c>
      <c r="M26" s="19">
        <f>IF(AND((+$I$17+$I$18+$I$19+$I$20+$I$21+$I$22+$I$23+$I$24+$I$25+$I$26+$I$27+$I$28+$I$29+$I$30+$I$31+$I$32+$I$33+$I$34+$I$35+$I$36+$I$37+$I$38+$I$39+$I$40+$I$41+$I$42+$I$43+$I$44+$I$45+$I$46+$I$47+$I$48+$I$49+$I$50+$I$51)&lt;&gt;0,SUMPRODUCT($I$5:$I$51,$AC$5:$AC$51,$AP$5:$AP$51)&lt;&gt;0),$M$56*SUMPRODUCT($I$17:$I$51,$AC$17:$AC$51,$AP$17:$AP$51)/SUMPRODUCT($I$5:$I$51,$AC$5:$AC$51,$AP$5:$AP$51)/(+$I$17+$I$18+$I$19+$I$20+$I$21+$I$22+$I$23+$I$24+$I$25+$I$26+$I$27+$I$28+$I$29+$I$30+$I$31+$I$32+$I$33+$I$34+$I$35+$I$36+$I$37+$I$38+$I$39+$I$40+$I$41+$I$42+$I$43+$I$44+$I$45+$I$46+$I$47+$I$48+$I$49+$I$50+$I$51),0)*(1 - CUSTOS!$M$24)</f>
        <v>2.9857979531516223</v>
      </c>
      <c r="N26" s="19">
        <f ca="1">(+M26+O26+R26+U26+V26+W26+X26+Y26+Z26+AA26+AC26+AH26+AI26+AJ26+AK26)*CUSTOS!$M$5</f>
        <v>3.1579540044032369E-12</v>
      </c>
      <c r="O26" s="19">
        <f>1 - CUSTOS!$M$24</f>
        <v>1</v>
      </c>
      <c r="P26" s="19">
        <v>0</v>
      </c>
      <c r="Q26" s="19">
        <v>0</v>
      </c>
      <c r="R26" s="19">
        <v>0</v>
      </c>
      <c r="S26" s="19">
        <f>1 - CUSTOS!$M$24</f>
        <v>1</v>
      </c>
      <c r="T26" s="19"/>
      <c r="U26" s="19">
        <f>TRANSICAO!$U$26*CUSTOS!$T$3</f>
        <v>0</v>
      </c>
      <c r="V26" s="19">
        <f>TRANSICAO!$V$26*CUSTOS!$T$3</f>
        <v>0</v>
      </c>
      <c r="W26" s="19">
        <f>TRANSICAO!$W$26*CUSTOS!$T$3</f>
        <v>0</v>
      </c>
      <c r="X26" s="19">
        <f>TRANSICAO!$X$26*CUSTOS!$T$3</f>
        <v>0</v>
      </c>
      <c r="Y26" s="19">
        <f>TRANSICAO!$Y$26*CUSTOS!$T$3</f>
        <v>17.609100000000002</v>
      </c>
      <c r="Z26" s="19">
        <f>TRANSICAO!$Z$26*CUSTOS!$T$3</f>
        <v>0</v>
      </c>
      <c r="AA26" s="19">
        <f>TRANSICAO!$AA$26*CUSTOS!$T$3</f>
        <v>0</v>
      </c>
      <c r="AB26" s="19">
        <f>TRANSICAO!$AB$26*CUSTOS!$T$3</f>
        <v>0</v>
      </c>
      <c r="AC26" s="19">
        <f>TRANSICAO!$AC$26*CUSTOS!$T$3</f>
        <v>249.29849999999999</v>
      </c>
      <c r="AD26" s="19">
        <f>TRANSICAO!$AD$26*CUSTOS!$T$3</f>
        <v>0</v>
      </c>
      <c r="AE26" s="19">
        <v>0</v>
      </c>
      <c r="AF26" s="19">
        <v>0</v>
      </c>
      <c r="AG26" s="19"/>
      <c r="AH26" s="19">
        <f>(1 - CUSTOS!$M$24)*38.5532</f>
        <v>38.553199999999997</v>
      </c>
      <c r="AI26" s="19">
        <v>0</v>
      </c>
      <c r="AJ26" s="19">
        <f ca="1">$N$64*(1-CUSTOS!$M$24)</f>
        <v>3.1744012435860509</v>
      </c>
      <c r="AK26" s="19">
        <f t="shared" ca="1" si="0"/>
        <v>3.1744012435860509</v>
      </c>
      <c r="AL26" s="19"/>
      <c r="AM26" s="19"/>
      <c r="AP26" s="19">
        <f>IF((1 - CUSTOS!$M$24)&lt;&gt;0,1/(1 - CUSTOS!$M$24),1)</f>
        <v>1</v>
      </c>
    </row>
    <row r="27" spans="1:42" ht="11.25" customHeight="1" x14ac:dyDescent="0.25">
      <c r="A27" s="134"/>
      <c r="B27" s="134"/>
      <c r="C27" s="134"/>
      <c r="D27" s="22" t="s">
        <v>30</v>
      </c>
      <c r="E27" s="22" t="s">
        <v>25</v>
      </c>
      <c r="F27" s="22" t="s">
        <v>25</v>
      </c>
      <c r="G27" s="21" t="s">
        <v>75</v>
      </c>
      <c r="H27" s="21" t="s">
        <v>71</v>
      </c>
      <c r="I27" s="21">
        <f>'MERCADO TUSD'!$U$24</f>
        <v>0</v>
      </c>
      <c r="J27" s="17"/>
      <c r="L27" s="19">
        <v>0</v>
      </c>
      <c r="M27" s="19">
        <f>IF(AND((+$I$17+$I$18+$I$19+$I$20+$I$21+$I$22+$I$23+$I$24+$I$25+$I$26+$I$27+$I$28+$I$29+$I$30+$I$31+$I$32+$I$33+$I$34+$I$35+$I$36+$I$37+$I$38+$I$39+$I$40+$I$41+$I$42+$I$43+$I$44+$I$45+$I$46+$I$47+$I$48+$I$49+$I$50+$I$51)&lt;&gt;0,SUMPRODUCT($I$5:$I$51,$AC$5:$AC$51,$AP$5:$AP$51)&lt;&gt;0),$M$56*SUMPRODUCT($I$17:$I$51,$AC$17:$AC$51,$AP$17:$AP$51)/SUMPRODUCT($I$5:$I$51,$AC$5:$AC$51,$AP$5:$AP$51)/(+$I$17+$I$18+$I$19+$I$20+$I$21+$I$22+$I$23+$I$24+$I$25+$I$26+$I$27+$I$28+$I$29+$I$30+$I$31+$I$32+$I$33+$I$34+$I$35+$I$36+$I$37+$I$38+$I$39+$I$40+$I$41+$I$42+$I$43+$I$44+$I$45+$I$46+$I$47+$I$48+$I$49+$I$50+$I$51),0)*(1 - CUSTOS!$M$25)</f>
        <v>2.9857979531516223</v>
      </c>
      <c r="N27" s="19">
        <f ca="1">(+M27+O27+R27+U27+V27+W27+X27+Y27+Z27+AA27+AC27+AH27+AI27+AJ27+AK27)*CUSTOS!$M$5</f>
        <v>3.1579540044032369E-12</v>
      </c>
      <c r="O27" s="19">
        <f>1 - CUSTOS!$M$25</f>
        <v>1</v>
      </c>
      <c r="P27" s="19">
        <v>0</v>
      </c>
      <c r="Q27" s="19">
        <v>0</v>
      </c>
      <c r="R27" s="19">
        <v>0</v>
      </c>
      <c r="S27" s="19">
        <f>1 - CUSTOS!$M$25</f>
        <v>1</v>
      </c>
      <c r="T27" s="19"/>
      <c r="U27" s="19">
        <f>TRANSICAO!$U$27*CUSTOS!$T$3</f>
        <v>0</v>
      </c>
      <c r="V27" s="19">
        <f>TRANSICAO!$V$27*CUSTOS!$T$3</f>
        <v>0</v>
      </c>
      <c r="W27" s="19">
        <f>TRANSICAO!$W$27*CUSTOS!$T$3</f>
        <v>0</v>
      </c>
      <c r="X27" s="19">
        <f>TRANSICAO!$X$27*CUSTOS!$T$3</f>
        <v>0</v>
      </c>
      <c r="Y27" s="19">
        <f>TRANSICAO!$Y$27*CUSTOS!$T$3</f>
        <v>17.609100000000002</v>
      </c>
      <c r="Z27" s="19">
        <f>TRANSICAO!$Z$27*CUSTOS!$T$3</f>
        <v>0</v>
      </c>
      <c r="AA27" s="19">
        <f>TRANSICAO!$AA$27*CUSTOS!$T$3</f>
        <v>0</v>
      </c>
      <c r="AB27" s="19">
        <f>TRANSICAO!$AB$27*CUSTOS!$T$3</f>
        <v>0</v>
      </c>
      <c r="AC27" s="19">
        <f>TRANSICAO!$AC$27*CUSTOS!$T$3</f>
        <v>249.29849999999999</v>
      </c>
      <c r="AD27" s="19">
        <f>TRANSICAO!$AD$27*CUSTOS!$T$3</f>
        <v>0</v>
      </c>
      <c r="AE27" s="19">
        <v>0</v>
      </c>
      <c r="AF27" s="19">
        <v>0</v>
      </c>
      <c r="AG27" s="19"/>
      <c r="AH27" s="19">
        <f>(1 - CUSTOS!$M$25)*38.5532</f>
        <v>38.553199999999997</v>
      </c>
      <c r="AI27" s="19">
        <v>0</v>
      </c>
      <c r="AJ27" s="19">
        <f ca="1">$N$64*(1-CUSTOS!$M$25)</f>
        <v>3.1744012435860509</v>
      </c>
      <c r="AK27" s="19">
        <f t="shared" ca="1" si="0"/>
        <v>3.1744012435860509</v>
      </c>
      <c r="AL27" s="19"/>
      <c r="AM27" s="19"/>
      <c r="AP27" s="19">
        <f>IF((1 - CUSTOS!$M$25)&lt;&gt;0,1/(1 - CUSTOS!$M$25),1)</f>
        <v>1</v>
      </c>
    </row>
    <row r="28" spans="1:42" ht="11.25" customHeight="1" x14ac:dyDescent="0.25">
      <c r="A28" s="134"/>
      <c r="B28" s="134"/>
      <c r="C28" s="134"/>
      <c r="D28" s="22" t="s">
        <v>31</v>
      </c>
      <c r="E28" s="22" t="s">
        <v>25</v>
      </c>
      <c r="F28" s="22" t="s">
        <v>25</v>
      </c>
      <c r="G28" s="21" t="s">
        <v>75</v>
      </c>
      <c r="H28" s="21" t="s">
        <v>71</v>
      </c>
      <c r="I28" s="21">
        <f>'MERCADO TUSD'!$U$25</f>
        <v>0</v>
      </c>
      <c r="J28" s="17"/>
      <c r="L28" s="19">
        <v>0</v>
      </c>
      <c r="M28" s="19">
        <f>IF(AND((+$I$17+$I$18+$I$19+$I$20+$I$21+$I$22+$I$23+$I$24+$I$25+$I$26+$I$27+$I$28+$I$29+$I$30+$I$31+$I$32+$I$33+$I$34+$I$35+$I$36+$I$37+$I$38+$I$39+$I$40+$I$41+$I$42+$I$43+$I$44+$I$45+$I$46+$I$47+$I$48+$I$49+$I$50+$I$51)&lt;&gt;0,SUMPRODUCT($I$5:$I$51,$AC$5:$AC$51,$AP$5:$AP$51)&lt;&gt;0),$M$56*SUMPRODUCT($I$17:$I$51,$AC$17:$AC$51,$AP$17:$AP$51)/SUMPRODUCT($I$5:$I$51,$AC$5:$AC$51,$AP$5:$AP$51)/(+$I$17+$I$18+$I$19+$I$20+$I$21+$I$22+$I$23+$I$24+$I$25+$I$26+$I$27+$I$28+$I$29+$I$30+$I$31+$I$32+$I$33+$I$34+$I$35+$I$36+$I$37+$I$38+$I$39+$I$40+$I$41+$I$42+$I$43+$I$44+$I$45+$I$46+$I$47+$I$48+$I$49+$I$50+$I$51),0)*(1 - CUSTOS!$M$26)</f>
        <v>2.9857979531516223</v>
      </c>
      <c r="N28" s="19">
        <f ca="1">(+M28+O28+R28+U28+V28+W28+X28+Y28+Z28+AA28+AC28+AH28+AI28+AJ28+AK28)*CUSTOS!$M$5</f>
        <v>3.1579540044032369E-12</v>
      </c>
      <c r="O28" s="19">
        <f>1 - CUSTOS!$M$26</f>
        <v>1</v>
      </c>
      <c r="P28" s="19">
        <v>0</v>
      </c>
      <c r="Q28" s="19">
        <v>0</v>
      </c>
      <c r="R28" s="19">
        <v>0</v>
      </c>
      <c r="S28" s="19">
        <f>1 - CUSTOS!$M$26</f>
        <v>1</v>
      </c>
      <c r="T28" s="19"/>
      <c r="U28" s="19">
        <f>TRANSICAO!$U$28*CUSTOS!$T$3</f>
        <v>0</v>
      </c>
      <c r="V28" s="19">
        <f>TRANSICAO!$V$28*CUSTOS!$T$3</f>
        <v>0</v>
      </c>
      <c r="W28" s="19">
        <f>TRANSICAO!$W$28*CUSTOS!$T$3</f>
        <v>0</v>
      </c>
      <c r="X28" s="19">
        <f>TRANSICAO!$X$28*CUSTOS!$T$3</f>
        <v>0</v>
      </c>
      <c r="Y28" s="19">
        <f>TRANSICAO!$Y$28*CUSTOS!$T$3</f>
        <v>17.609100000000002</v>
      </c>
      <c r="Z28" s="19">
        <f>TRANSICAO!$Z$28*CUSTOS!$T$3</f>
        <v>0</v>
      </c>
      <c r="AA28" s="19">
        <f>TRANSICAO!$AA$28*CUSTOS!$T$3</f>
        <v>0</v>
      </c>
      <c r="AB28" s="19">
        <f>TRANSICAO!$AB$28*CUSTOS!$T$3</f>
        <v>0</v>
      </c>
      <c r="AC28" s="19">
        <f>TRANSICAO!$AC$28*CUSTOS!$T$3</f>
        <v>249.29849999999999</v>
      </c>
      <c r="AD28" s="19">
        <f>TRANSICAO!$AD$28*CUSTOS!$T$3</f>
        <v>0</v>
      </c>
      <c r="AE28" s="19">
        <v>0</v>
      </c>
      <c r="AF28" s="19">
        <v>0</v>
      </c>
      <c r="AG28" s="19"/>
      <c r="AH28" s="19">
        <f>(1 - CUSTOS!$M$26)*38.5532</f>
        <v>38.553199999999997</v>
      </c>
      <c r="AI28" s="19">
        <v>0</v>
      </c>
      <c r="AJ28" s="19">
        <f ca="1">$N$64*(1-CUSTOS!$M$26)</f>
        <v>3.1744012435860509</v>
      </c>
      <c r="AK28" s="19">
        <f t="shared" ca="1" si="0"/>
        <v>3.1744012435860509</v>
      </c>
      <c r="AL28" s="19"/>
      <c r="AM28" s="19"/>
      <c r="AP28" s="19">
        <f>IF((1 - CUSTOS!$M$26)&lt;&gt;0,1/(1 - CUSTOS!$M$26),1)</f>
        <v>1</v>
      </c>
    </row>
    <row r="29" spans="1:42" ht="11.25" customHeight="1" x14ac:dyDescent="0.25">
      <c r="A29" s="134"/>
      <c r="B29" s="134"/>
      <c r="C29" s="134"/>
      <c r="D29" s="22" t="s">
        <v>32</v>
      </c>
      <c r="E29" s="22" t="s">
        <v>25</v>
      </c>
      <c r="F29" s="22" t="s">
        <v>25</v>
      </c>
      <c r="G29" s="21" t="s">
        <v>75</v>
      </c>
      <c r="H29" s="21" t="s">
        <v>71</v>
      </c>
      <c r="I29" s="21">
        <f>'MERCADO TUSD'!$U$26</f>
        <v>0</v>
      </c>
      <c r="J29" s="17"/>
      <c r="L29" s="19">
        <v>0</v>
      </c>
      <c r="M29" s="19">
        <f>IF(AND((+$I$17+$I$18+$I$19+$I$20+$I$21+$I$22+$I$23+$I$24+$I$25+$I$26+$I$27+$I$28+$I$29+$I$30+$I$31+$I$32+$I$33+$I$34+$I$35+$I$36+$I$37+$I$38+$I$39+$I$40+$I$41+$I$42+$I$43+$I$44+$I$45+$I$46+$I$47+$I$48+$I$49+$I$50+$I$51)&lt;&gt;0,SUMPRODUCT($I$5:$I$51,$AC$5:$AC$51,$AP$5:$AP$51)&lt;&gt;0),$M$56*SUMPRODUCT($I$17:$I$51,$AC$17:$AC$51,$AP$17:$AP$51)/SUMPRODUCT($I$5:$I$51,$AC$5:$AC$51,$AP$5:$AP$51)/(+$I$17+$I$18+$I$19+$I$20+$I$21+$I$22+$I$23+$I$24+$I$25+$I$26+$I$27+$I$28+$I$29+$I$30+$I$31+$I$32+$I$33+$I$34+$I$35+$I$36+$I$37+$I$38+$I$39+$I$40+$I$41+$I$42+$I$43+$I$44+$I$45+$I$46+$I$47+$I$48+$I$49+$I$50+$I$51),0)*(1 - CUSTOS!$M$27)</f>
        <v>2.9857979531516223</v>
      </c>
      <c r="N29" s="19">
        <f ca="1">(+M29+O29+R29+U29+V29+W29+X29+Y29+Z29+AA29+AC29+AH29+AI29+AJ29+AK29)*CUSTOS!$M$5</f>
        <v>3.1579540044032369E-12</v>
      </c>
      <c r="O29" s="19">
        <f>1 - CUSTOS!$M$27</f>
        <v>1</v>
      </c>
      <c r="P29" s="19">
        <v>0</v>
      </c>
      <c r="Q29" s="19">
        <v>0</v>
      </c>
      <c r="R29" s="19">
        <v>0</v>
      </c>
      <c r="S29" s="19">
        <f>1 - CUSTOS!$M$27</f>
        <v>1</v>
      </c>
      <c r="T29" s="19"/>
      <c r="U29" s="19">
        <f>TRANSICAO!$U$29*CUSTOS!$T$3</f>
        <v>0</v>
      </c>
      <c r="V29" s="19">
        <f>TRANSICAO!$V$29*CUSTOS!$T$3</f>
        <v>0</v>
      </c>
      <c r="W29" s="19">
        <f>TRANSICAO!$W$29*CUSTOS!$T$3</f>
        <v>0</v>
      </c>
      <c r="X29" s="19">
        <f>TRANSICAO!$X$29*CUSTOS!$T$3</f>
        <v>0</v>
      </c>
      <c r="Y29" s="19">
        <f>TRANSICAO!$Y$29*CUSTOS!$T$3</f>
        <v>17.609100000000002</v>
      </c>
      <c r="Z29" s="19">
        <f>TRANSICAO!$Z$29*CUSTOS!$T$3</f>
        <v>0</v>
      </c>
      <c r="AA29" s="19">
        <f>TRANSICAO!$AA$29*CUSTOS!$T$3</f>
        <v>0</v>
      </c>
      <c r="AB29" s="19">
        <f>TRANSICAO!$AB$29*CUSTOS!$T$3</f>
        <v>0</v>
      </c>
      <c r="AC29" s="19">
        <f>TRANSICAO!$AC$29*CUSTOS!$T$3</f>
        <v>249.29849999999999</v>
      </c>
      <c r="AD29" s="19">
        <f>TRANSICAO!$AD$29*CUSTOS!$T$3</f>
        <v>0</v>
      </c>
      <c r="AE29" s="19">
        <v>0</v>
      </c>
      <c r="AF29" s="19">
        <v>0</v>
      </c>
      <c r="AG29" s="19"/>
      <c r="AH29" s="19">
        <f>(1 - CUSTOS!$M$27)*38.5532</f>
        <v>38.553199999999997</v>
      </c>
      <c r="AI29" s="19">
        <v>0</v>
      </c>
      <c r="AJ29" s="19">
        <f ca="1">$N$64*(1-CUSTOS!$M$27)</f>
        <v>3.1744012435860509</v>
      </c>
      <c r="AK29" s="19">
        <f t="shared" ca="1" si="0"/>
        <v>3.1744012435860509</v>
      </c>
      <c r="AL29" s="19"/>
      <c r="AM29" s="19"/>
      <c r="AP29" s="19">
        <f>IF((1 - CUSTOS!$M$27)&lt;&gt;0,1/(1 - CUSTOS!$M$27),1)</f>
        <v>1</v>
      </c>
    </row>
    <row r="30" spans="1:42" ht="11.25" customHeight="1" x14ac:dyDescent="0.25">
      <c r="A30" s="134" t="s">
        <v>43</v>
      </c>
      <c r="B30" s="134" t="s">
        <v>37</v>
      </c>
      <c r="C30" s="134" t="s">
        <v>44</v>
      </c>
      <c r="D30" s="134" t="s">
        <v>25</v>
      </c>
      <c r="E30" s="134" t="s">
        <v>25</v>
      </c>
      <c r="F30" s="134" t="s">
        <v>25</v>
      </c>
      <c r="G30" s="21" t="s">
        <v>72</v>
      </c>
      <c r="H30" s="21" t="s">
        <v>71</v>
      </c>
      <c r="I30" s="21">
        <f>'MERCADO TUSD'!$U$27</f>
        <v>0</v>
      </c>
      <c r="J30" s="17"/>
      <c r="L30" s="19">
        <f>1*(1 - CUSTOS!$M$28)</f>
        <v>1</v>
      </c>
      <c r="M30" s="19">
        <f>IF(AND((+$I$17+$I$18+$I$19+$I$20+$I$21+$I$22+$I$23+$I$24+$I$25+$I$26+$I$27+$I$28+$I$29+$I$30+$I$31+$I$32+$I$33+$I$34+$I$35+$I$36+$I$37+$I$38+$I$39+$I$40+$I$41+$I$42+$I$43+$I$44+$I$45+$I$46+$I$47+$I$48+$I$49+$I$50+$I$51)&lt;&gt;0,SUMPRODUCT($I$5:$I$51,$AC$5:$AC$51,$AP$5:$AP$51)&lt;&gt;0),$M$56*SUMPRODUCT($I$17:$I$51,$AC$17:$AC$51,$AP$17:$AP$51)/SUMPRODUCT($I$5:$I$51,$AC$5:$AC$51,$AP$5:$AP$51)/(+$I$17+$I$18+$I$19+$I$20+$I$21+$I$22+$I$23+$I$24+$I$25+$I$26+$I$27+$I$28+$I$29+$I$30+$I$31+$I$32+$I$33+$I$34+$I$35+$I$36+$I$37+$I$38+$I$39+$I$40+$I$41+$I$42+$I$43+$I$44+$I$45+$I$46+$I$47+$I$48+$I$49+$I$50+$I$51),0)*(1 - CUSTOS!$M$28)</f>
        <v>2.9857979531516223</v>
      </c>
      <c r="N30" s="19">
        <f ca="1">(+M30+O30+R30+U30+V30+W30+X30+Y30+Z30+AA30+AC30+AH30+AI30+AJ30+AK30)*CUSTOS!$M$5</f>
        <v>7.4384740044032361E-12</v>
      </c>
      <c r="O30" s="19">
        <f>1 - CUSTOS!$M$28</f>
        <v>1</v>
      </c>
      <c r="P30" s="19">
        <f>1 - CUSTOS!$M$28</f>
        <v>1</v>
      </c>
      <c r="Q30" s="19">
        <f>1*(1 - CUSTOS!$M$28)</f>
        <v>1</v>
      </c>
      <c r="R30" s="19">
        <f>1 - CUSTOS!$M$28</f>
        <v>1</v>
      </c>
      <c r="S30" s="19">
        <f>1 - CUSTOS!$M$28</f>
        <v>1</v>
      </c>
      <c r="T30" s="19"/>
      <c r="U30" s="19">
        <f>TRANSICAO!$U$30*CUSTOS!$T$3</f>
        <v>0</v>
      </c>
      <c r="V30" s="19">
        <f>TRANSICAO!$V$30*CUSTOS!$T$3</f>
        <v>0</v>
      </c>
      <c r="W30" s="19">
        <f>TRANSICAO!$W$30*CUSTOS!$T$3</f>
        <v>0</v>
      </c>
      <c r="X30" s="19">
        <f>TRANSICAO!$X$30*CUSTOS!$T$3</f>
        <v>0</v>
      </c>
      <c r="Y30" s="19">
        <f>TRANSICAO!$Y$30*CUSTOS!$T$3</f>
        <v>45.783700000000003</v>
      </c>
      <c r="Z30" s="19">
        <f>TRANSICAO!$Z$30*CUSTOS!$T$3</f>
        <v>0</v>
      </c>
      <c r="AA30" s="19">
        <f>TRANSICAO!$AA$30*CUSTOS!$T$3</f>
        <v>0</v>
      </c>
      <c r="AB30" s="19">
        <f>TRANSICAO!$AB$30*CUSTOS!$T$3</f>
        <v>0</v>
      </c>
      <c r="AC30" s="19">
        <f>TRANSICAO!$AC$30*CUSTOS!$T$3</f>
        <v>648.17589999999996</v>
      </c>
      <c r="AD30" s="19">
        <f>TRANSICAO!$AD$30*CUSTOS!$T$3</f>
        <v>0</v>
      </c>
      <c r="AE30" s="19">
        <v>0</v>
      </c>
      <c r="AF30" s="19">
        <v>0</v>
      </c>
      <c r="AG30" s="19"/>
      <c r="AH30" s="19">
        <f>(1 - CUSTOS!$M$28)*38.5532</f>
        <v>38.553199999999997</v>
      </c>
      <c r="AI30" s="19">
        <v>0</v>
      </c>
      <c r="AJ30" s="19">
        <f ca="1">$N$64*(1-CUSTOS!$M$28)</f>
        <v>3.1744012435860509</v>
      </c>
      <c r="AK30" s="19">
        <f t="shared" ca="1" si="0"/>
        <v>3.1744012435860509</v>
      </c>
      <c r="AL30" s="19"/>
      <c r="AM30" s="19"/>
      <c r="AP30" s="19">
        <f>IF((1 - CUSTOS!$M$28)&lt;&gt;0,1/(1 - CUSTOS!$M$28),1)</f>
        <v>1</v>
      </c>
    </row>
    <row r="31" spans="1:42" ht="11.25" customHeight="1" x14ac:dyDescent="0.25">
      <c r="A31" s="134"/>
      <c r="B31" s="134"/>
      <c r="C31" s="134"/>
      <c r="D31" s="134"/>
      <c r="E31" s="134"/>
      <c r="F31" s="134"/>
      <c r="G31" s="21" t="s">
        <v>84</v>
      </c>
      <c r="H31" s="21" t="s">
        <v>71</v>
      </c>
      <c r="I31" s="21">
        <f>'MERCADO TUSD'!$U$28</f>
        <v>0</v>
      </c>
      <c r="J31" s="17"/>
      <c r="L31" s="19">
        <f>1*(1 - CUSTOS!$M$28)</f>
        <v>1</v>
      </c>
      <c r="M31" s="19">
        <f>IF(AND((+$I$17+$I$18+$I$19+$I$20+$I$21+$I$22+$I$23+$I$24+$I$25+$I$26+$I$27+$I$28+$I$29+$I$30+$I$31+$I$32+$I$33+$I$34+$I$35+$I$36+$I$37+$I$38+$I$39+$I$40+$I$41+$I$42+$I$43+$I$44+$I$45+$I$46+$I$47+$I$48+$I$49+$I$50+$I$51)&lt;&gt;0,SUMPRODUCT($I$5:$I$51,$AC$5:$AC$51,$AP$5:$AP$51)&lt;&gt;0),$M$56*SUMPRODUCT($I$17:$I$51,$AC$17:$AC$51,$AP$17:$AP$51)/SUMPRODUCT($I$5:$I$51,$AC$5:$AC$51,$AP$5:$AP$51)/(+$I$17+$I$18+$I$19+$I$20+$I$21+$I$22+$I$23+$I$24+$I$25+$I$26+$I$27+$I$28+$I$29+$I$30+$I$31+$I$32+$I$33+$I$34+$I$35+$I$36+$I$37+$I$38+$I$39+$I$40+$I$41+$I$42+$I$43+$I$44+$I$45+$I$46+$I$47+$I$48+$I$49+$I$50+$I$51),0)*(1 - CUSTOS!$M$28)</f>
        <v>2.9857979531516223</v>
      </c>
      <c r="N31" s="19">
        <f ca="1">(+M31+O31+R31+U31+V31+W31+X31+Y31+Z31+AA31+AC31+AH31+AI31+AJ31+AK31)*CUSTOS!$M$5</f>
        <v>4.6626360044032364E-12</v>
      </c>
      <c r="O31" s="19">
        <f>1 - CUSTOS!$M$28</f>
        <v>1</v>
      </c>
      <c r="P31" s="19">
        <f>1 - CUSTOS!$M$28</f>
        <v>1</v>
      </c>
      <c r="Q31" s="19">
        <f>1*(1 - CUSTOS!$M$28)</f>
        <v>1</v>
      </c>
      <c r="R31" s="19">
        <f>1 - CUSTOS!$M$28</f>
        <v>1</v>
      </c>
      <c r="S31" s="19">
        <f>1 - CUSTOS!$M$28</f>
        <v>1</v>
      </c>
      <c r="T31" s="19"/>
      <c r="U31" s="19">
        <f>TRANSICAO!$U$31*CUSTOS!$T$3</f>
        <v>0</v>
      </c>
      <c r="V31" s="19">
        <f>TRANSICAO!$V$31*CUSTOS!$T$3</f>
        <v>0</v>
      </c>
      <c r="W31" s="19">
        <f>TRANSICAO!$W$31*CUSTOS!$T$3</f>
        <v>0</v>
      </c>
      <c r="X31" s="19">
        <f>TRANSICAO!$X$31*CUSTOS!$T$3</f>
        <v>0</v>
      </c>
      <c r="Y31" s="19">
        <f>TRANSICAO!$Y$31*CUSTOS!$T$3</f>
        <v>27.470199999999998</v>
      </c>
      <c r="Z31" s="19">
        <f>TRANSICAO!$Z$31*CUSTOS!$T$3</f>
        <v>0</v>
      </c>
      <c r="AA31" s="19">
        <f>TRANSICAO!$AA$31*CUSTOS!$T$3</f>
        <v>0</v>
      </c>
      <c r="AB31" s="19">
        <f>TRANSICAO!$AB$31*CUSTOS!$T$3</f>
        <v>0</v>
      </c>
      <c r="AC31" s="19">
        <f>TRANSICAO!$AC$31*CUSTOS!$T$3</f>
        <v>388.90559999999999</v>
      </c>
      <c r="AD31" s="19">
        <f>TRANSICAO!$AD$31*CUSTOS!$T$3</f>
        <v>0</v>
      </c>
      <c r="AE31" s="19">
        <v>0</v>
      </c>
      <c r="AF31" s="19">
        <v>0</v>
      </c>
      <c r="AG31" s="19"/>
      <c r="AH31" s="19">
        <f>(1 - CUSTOS!$M$28)*38.5532</f>
        <v>38.553199999999997</v>
      </c>
      <c r="AI31" s="19">
        <v>0</v>
      </c>
      <c r="AJ31" s="19">
        <f ca="1">$N$64*(1-CUSTOS!$M$28)</f>
        <v>3.1744012435860509</v>
      </c>
      <c r="AK31" s="19">
        <f t="shared" ca="1" si="0"/>
        <v>3.1744012435860509</v>
      </c>
      <c r="AL31" s="19"/>
      <c r="AM31" s="19"/>
      <c r="AP31" s="19">
        <f>IF((1 - CUSTOS!$M$28)&lt;&gt;0,1/(1 - CUSTOS!$M$28),1)</f>
        <v>1</v>
      </c>
    </row>
    <row r="32" spans="1:42" ht="11.25" customHeight="1" x14ac:dyDescent="0.25">
      <c r="A32" s="134"/>
      <c r="B32" s="134"/>
      <c r="C32" s="134"/>
      <c r="D32" s="134"/>
      <c r="E32" s="134"/>
      <c r="F32" s="134"/>
      <c r="G32" s="21" t="s">
        <v>73</v>
      </c>
      <c r="H32" s="21" t="s">
        <v>71</v>
      </c>
      <c r="I32" s="21">
        <f>'MERCADO TUSD'!$U$29</f>
        <v>0</v>
      </c>
      <c r="J32" s="17"/>
      <c r="L32" s="19">
        <f>1*(1 - CUSTOS!$M$28)</f>
        <v>1</v>
      </c>
      <c r="M32" s="19">
        <f>IF(AND((+$I$17+$I$18+$I$19+$I$20+$I$21+$I$22+$I$23+$I$24+$I$25+$I$26+$I$27+$I$28+$I$29+$I$30+$I$31+$I$32+$I$33+$I$34+$I$35+$I$36+$I$37+$I$38+$I$39+$I$40+$I$41+$I$42+$I$43+$I$44+$I$45+$I$46+$I$47+$I$48+$I$49+$I$50+$I$51)&lt;&gt;0,SUMPRODUCT($I$5:$I$51,$AC$5:$AC$51,$AP$5:$AP$51)&lt;&gt;0),$M$56*SUMPRODUCT($I$17:$I$51,$AC$17:$AC$51,$AP$17:$AP$51)/SUMPRODUCT($I$5:$I$51,$AC$5:$AC$51,$AP$5:$AP$51)/(+$I$17+$I$18+$I$19+$I$20+$I$21+$I$22+$I$23+$I$24+$I$25+$I$26+$I$27+$I$28+$I$29+$I$30+$I$31+$I$32+$I$33+$I$34+$I$35+$I$36+$I$37+$I$38+$I$39+$I$40+$I$41+$I$42+$I$43+$I$44+$I$45+$I$46+$I$47+$I$48+$I$49+$I$50+$I$51),0)*(1 - CUSTOS!$M$28)</f>
        <v>2.9857979531516223</v>
      </c>
      <c r="N32" s="19">
        <f ca="1">(+M32+O32+R32+U32+V32+W32+X32+Y32+Z32+AA32+AC32+AH32+AI32+AJ32+AK32)*CUSTOS!$M$5</f>
        <v>1.8867970044032374E-12</v>
      </c>
      <c r="O32" s="19">
        <f>1 - CUSTOS!$M$28</f>
        <v>1</v>
      </c>
      <c r="P32" s="19">
        <f>1 - CUSTOS!$M$28</f>
        <v>1</v>
      </c>
      <c r="Q32" s="19">
        <f>1*(1 - CUSTOS!$M$28)</f>
        <v>1</v>
      </c>
      <c r="R32" s="19">
        <f>1 - CUSTOS!$M$28</f>
        <v>1</v>
      </c>
      <c r="S32" s="19">
        <f>1 - CUSTOS!$M$28</f>
        <v>1</v>
      </c>
      <c r="T32" s="19"/>
      <c r="U32" s="19">
        <f>TRANSICAO!$U$32*CUSTOS!$T$3</f>
        <v>0</v>
      </c>
      <c r="V32" s="19">
        <f>TRANSICAO!$V$32*CUSTOS!$T$3</f>
        <v>0</v>
      </c>
      <c r="W32" s="19">
        <f>TRANSICAO!$W$32*CUSTOS!$T$3</f>
        <v>0</v>
      </c>
      <c r="X32" s="19">
        <f>TRANSICAO!$X$32*CUSTOS!$T$3</f>
        <v>0</v>
      </c>
      <c r="Y32" s="19">
        <f>TRANSICAO!$Y$32*CUSTOS!$T$3</f>
        <v>9.1567000000000007</v>
      </c>
      <c r="Z32" s="19">
        <f>TRANSICAO!$Z$32*CUSTOS!$T$3</f>
        <v>0</v>
      </c>
      <c r="AA32" s="19">
        <f>TRANSICAO!$AA$32*CUSTOS!$T$3</f>
        <v>0</v>
      </c>
      <c r="AB32" s="19">
        <f>TRANSICAO!$AB$32*CUSTOS!$T$3</f>
        <v>0</v>
      </c>
      <c r="AC32" s="19">
        <f>TRANSICAO!$AC$32*CUSTOS!$T$3</f>
        <v>129.6352</v>
      </c>
      <c r="AD32" s="19">
        <f>TRANSICAO!$AD$32*CUSTOS!$T$3</f>
        <v>0</v>
      </c>
      <c r="AE32" s="19">
        <v>0</v>
      </c>
      <c r="AF32" s="19">
        <v>0</v>
      </c>
      <c r="AG32" s="19"/>
      <c r="AH32" s="19">
        <f>(1 - CUSTOS!$M$28)*38.5532</f>
        <v>38.553199999999997</v>
      </c>
      <c r="AI32" s="19">
        <v>0</v>
      </c>
      <c r="AJ32" s="19">
        <f ca="1">$N$64*(1-CUSTOS!$M$28)</f>
        <v>3.1744012435860509</v>
      </c>
      <c r="AK32" s="19">
        <f t="shared" ca="1" si="0"/>
        <v>3.1744012435860509</v>
      </c>
      <c r="AL32" s="19"/>
      <c r="AM32" s="19"/>
      <c r="AP32" s="19">
        <f>IF((1 - CUSTOS!$M$28)&lt;&gt;0,1/(1 - CUSTOS!$M$28),1)</f>
        <v>1</v>
      </c>
    </row>
    <row r="33" spans="1:42" ht="11.25" customHeight="1" x14ac:dyDescent="0.25">
      <c r="A33" s="134"/>
      <c r="B33" s="22" t="s">
        <v>23</v>
      </c>
      <c r="C33" s="22" t="s">
        <v>44</v>
      </c>
      <c r="D33" s="22" t="s">
        <v>25</v>
      </c>
      <c r="E33" s="22" t="s">
        <v>25</v>
      </c>
      <c r="F33" s="22" t="s">
        <v>25</v>
      </c>
      <c r="G33" s="21" t="s">
        <v>75</v>
      </c>
      <c r="H33" s="21" t="s">
        <v>71</v>
      </c>
      <c r="I33" s="21">
        <f>'MERCADO TUSD'!$U$30</f>
        <v>3313.4050000000002</v>
      </c>
      <c r="J33" s="17"/>
      <c r="L33" s="19">
        <f>1*(1 - CUSTOS!$M$28)</f>
        <v>1</v>
      </c>
      <c r="M33" s="19">
        <f>IF(AND((+$I$17+$I$18+$I$19+$I$20+$I$21+$I$22+$I$23+$I$24+$I$25+$I$26+$I$27+$I$28+$I$29+$I$30+$I$31+$I$32+$I$33+$I$34+$I$35+$I$36+$I$37+$I$38+$I$39+$I$40+$I$41+$I$42+$I$43+$I$44+$I$45+$I$46+$I$47+$I$48+$I$49+$I$50+$I$51)&lt;&gt;0,SUMPRODUCT($I$5:$I$51,$AC$5:$AC$51,$AP$5:$AP$51)&lt;&gt;0),$M$56*SUMPRODUCT($I$17:$I$51,$AC$17:$AC$51,$AP$17:$AP$51)/SUMPRODUCT($I$5:$I$51,$AC$5:$AC$51,$AP$5:$AP$51)/(+$I$17+$I$18+$I$19+$I$20+$I$21+$I$22+$I$23+$I$24+$I$25+$I$26+$I$27+$I$28+$I$29+$I$30+$I$31+$I$32+$I$33+$I$34+$I$35+$I$36+$I$37+$I$38+$I$39+$I$40+$I$41+$I$42+$I$43+$I$44+$I$45+$I$46+$I$47+$I$48+$I$49+$I$50+$I$51),0)*(1 - CUSTOS!$M$28)</f>
        <v>2.9857979531516223</v>
      </c>
      <c r="N33" s="19">
        <f ca="1">(+M33+O33+R33+U33+V33+W33+X33+Y33+Z33+AA33+AC33+AH33+AI33+AJ33+AK33)*CUSTOS!$M$5</f>
        <v>3.167954004403237E-12</v>
      </c>
      <c r="O33" s="19">
        <f>1 - CUSTOS!$M$28</f>
        <v>1</v>
      </c>
      <c r="P33" s="19">
        <f>1 - CUSTOS!$M$28</f>
        <v>1</v>
      </c>
      <c r="Q33" s="19">
        <f>1*(1 - CUSTOS!$M$28)</f>
        <v>1</v>
      </c>
      <c r="R33" s="19">
        <f>1 - CUSTOS!$M$28</f>
        <v>1</v>
      </c>
      <c r="S33" s="19">
        <f>1 - CUSTOS!$M$28</f>
        <v>1</v>
      </c>
      <c r="T33" s="19"/>
      <c r="U33" s="19">
        <f>TRANSICAO!$U$33*CUSTOS!$T$3</f>
        <v>0</v>
      </c>
      <c r="V33" s="19">
        <f>TRANSICAO!$V$33*CUSTOS!$T$3</f>
        <v>0</v>
      </c>
      <c r="W33" s="19">
        <f>TRANSICAO!$W$33*CUSTOS!$T$3</f>
        <v>0</v>
      </c>
      <c r="X33" s="19">
        <f>TRANSICAO!$X$33*CUSTOS!$T$3</f>
        <v>0</v>
      </c>
      <c r="Y33" s="19">
        <f>TRANSICAO!$Y$33*CUSTOS!$T$3</f>
        <v>17.609100000000002</v>
      </c>
      <c r="Z33" s="19">
        <f>TRANSICAO!$Z$33*CUSTOS!$T$3</f>
        <v>0</v>
      </c>
      <c r="AA33" s="19">
        <f>TRANSICAO!$AA$33*CUSTOS!$T$3</f>
        <v>0</v>
      </c>
      <c r="AB33" s="19">
        <f>TRANSICAO!$AB$33*CUSTOS!$T$3</f>
        <v>0</v>
      </c>
      <c r="AC33" s="19">
        <f>TRANSICAO!$AC$33*CUSTOS!$T$3</f>
        <v>249.29849999999999</v>
      </c>
      <c r="AD33" s="19">
        <f>TRANSICAO!$AD$33*CUSTOS!$T$3</f>
        <v>0</v>
      </c>
      <c r="AE33" s="19">
        <v>0</v>
      </c>
      <c r="AF33" s="19">
        <v>0</v>
      </c>
      <c r="AG33" s="19"/>
      <c r="AH33" s="19">
        <f>(1 - CUSTOS!$M$28)*38.5532</f>
        <v>38.553199999999997</v>
      </c>
      <c r="AI33" s="19">
        <v>0</v>
      </c>
      <c r="AJ33" s="19">
        <f ca="1">$N$64*(1-CUSTOS!$M$28)</f>
        <v>3.1744012435860509</v>
      </c>
      <c r="AK33" s="19">
        <f t="shared" ca="1" si="0"/>
        <v>3.1744012435860509</v>
      </c>
      <c r="AL33" s="19"/>
      <c r="AM33" s="19"/>
      <c r="AP33" s="19">
        <f>IF((1 - CUSTOS!$M$28)&lt;&gt;0,1/(1 - CUSTOS!$M$28),1)</f>
        <v>1</v>
      </c>
    </row>
    <row r="34" spans="1:42" ht="11.25" customHeight="1" x14ac:dyDescent="0.25">
      <c r="A34" s="134"/>
      <c r="B34" s="134" t="s">
        <v>37</v>
      </c>
      <c r="C34" s="134" t="s">
        <v>44</v>
      </c>
      <c r="D34" s="134" t="s">
        <v>87</v>
      </c>
      <c r="E34" s="134" t="s">
        <v>25</v>
      </c>
      <c r="F34" s="134" t="s">
        <v>25</v>
      </c>
      <c r="G34" s="21" t="s">
        <v>72</v>
      </c>
      <c r="H34" s="21" t="s">
        <v>71</v>
      </c>
      <c r="I34" s="21">
        <f>'MERCADO TUSD'!$U$31</f>
        <v>0</v>
      </c>
      <c r="J34" s="17"/>
      <c r="L34" s="19">
        <f>1*(1 - CUSTOS!$M$29)</f>
        <v>1</v>
      </c>
      <c r="M34" s="19">
        <f>IF(AND((+$I$17+$I$18+$I$19+$I$20+$I$21+$I$22+$I$23+$I$24+$I$25+$I$26+$I$27+$I$28+$I$29+$I$30+$I$31+$I$32+$I$33+$I$34+$I$35+$I$36+$I$37+$I$38+$I$39+$I$40+$I$41+$I$42+$I$43+$I$44+$I$45+$I$46+$I$47+$I$48+$I$49+$I$50+$I$51)&lt;&gt;0,SUMPRODUCT($I$5:$I$51,$AC$5:$AC$51,$AP$5:$AP$51)&lt;&gt;0),$M$56*SUMPRODUCT($I$17:$I$51,$AC$17:$AC$51,$AP$17:$AP$51)/SUMPRODUCT($I$5:$I$51,$AC$5:$AC$51,$AP$5:$AP$51)/(+$I$17+$I$18+$I$19+$I$20+$I$21+$I$22+$I$23+$I$24+$I$25+$I$26+$I$27+$I$28+$I$29+$I$30+$I$31+$I$32+$I$33+$I$34+$I$35+$I$36+$I$37+$I$38+$I$39+$I$40+$I$41+$I$42+$I$43+$I$44+$I$45+$I$46+$I$47+$I$48+$I$49+$I$50+$I$51),0)*(1 - CUSTOS!$M$29)</f>
        <v>2.9857979531516223</v>
      </c>
      <c r="N34" s="19">
        <f ca="1">(+M34+O34+R34+U34+V34+W34+X34+Y34+Z34+AA34+AC34+AH34+AI34+AJ34+AK34)*CUSTOS!$M$5</f>
        <v>7.4384740044032361E-12</v>
      </c>
      <c r="O34" s="19">
        <f>1 - CUSTOS!$M$29</f>
        <v>1</v>
      </c>
      <c r="P34" s="19">
        <f>1 - CUSTOS!$M$29</f>
        <v>1</v>
      </c>
      <c r="Q34" s="19">
        <f>1*(1 - CUSTOS!$M$29)</f>
        <v>1</v>
      </c>
      <c r="R34" s="19">
        <f>1 - CUSTOS!$M$29</f>
        <v>1</v>
      </c>
      <c r="S34" s="19">
        <f>1 - CUSTOS!$M$29</f>
        <v>1</v>
      </c>
      <c r="T34" s="19"/>
      <c r="U34" s="19">
        <f>TRANSICAO!$U$34*CUSTOS!$T$3</f>
        <v>0</v>
      </c>
      <c r="V34" s="19">
        <f>TRANSICAO!$V$34*CUSTOS!$T$3</f>
        <v>0</v>
      </c>
      <c r="W34" s="19">
        <f>TRANSICAO!$W$34*CUSTOS!$T$3</f>
        <v>0</v>
      </c>
      <c r="X34" s="19">
        <f>TRANSICAO!$X$34*CUSTOS!$T$3</f>
        <v>0</v>
      </c>
      <c r="Y34" s="19">
        <f>TRANSICAO!$Y$34*CUSTOS!$T$3</f>
        <v>45.783700000000003</v>
      </c>
      <c r="Z34" s="19">
        <f>TRANSICAO!$Z$34*CUSTOS!$T$3</f>
        <v>0</v>
      </c>
      <c r="AA34" s="19">
        <f>TRANSICAO!$AA$34*CUSTOS!$T$3</f>
        <v>0</v>
      </c>
      <c r="AB34" s="19">
        <f>TRANSICAO!$AB$34*CUSTOS!$T$3</f>
        <v>0</v>
      </c>
      <c r="AC34" s="19">
        <f>TRANSICAO!$AC$34*CUSTOS!$T$3</f>
        <v>648.17589999999996</v>
      </c>
      <c r="AD34" s="19">
        <f>TRANSICAO!$AD$34*CUSTOS!$T$3</f>
        <v>0</v>
      </c>
      <c r="AE34" s="19">
        <v>0</v>
      </c>
      <c r="AF34" s="19">
        <v>0</v>
      </c>
      <c r="AG34" s="19"/>
      <c r="AH34" s="19">
        <f>(1 - CUSTOS!$M$29)*38.5532</f>
        <v>38.553199999999997</v>
      </c>
      <c r="AI34" s="19">
        <v>0</v>
      </c>
      <c r="AJ34" s="19">
        <f ca="1">$N$64*(1-CUSTOS!$M$29)</f>
        <v>3.1744012435860509</v>
      </c>
      <c r="AK34" s="19">
        <f t="shared" ca="1" si="0"/>
        <v>3.1744012435860509</v>
      </c>
      <c r="AL34" s="19"/>
      <c r="AM34" s="19"/>
      <c r="AP34" s="19">
        <f>IF((1 - CUSTOS!$M$29)&lt;&gt;0,1/(1 - CUSTOS!$M$29),1)</f>
        <v>1</v>
      </c>
    </row>
    <row r="35" spans="1:42" ht="11.25" customHeight="1" x14ac:dyDescent="0.25">
      <c r="A35" s="134"/>
      <c r="B35" s="134"/>
      <c r="C35" s="134"/>
      <c r="D35" s="134"/>
      <c r="E35" s="134"/>
      <c r="F35" s="134"/>
      <c r="G35" s="21" t="s">
        <v>84</v>
      </c>
      <c r="H35" s="21" t="s">
        <v>71</v>
      </c>
      <c r="I35" s="21">
        <f>'MERCADO TUSD'!$U$32</f>
        <v>0</v>
      </c>
      <c r="J35" s="17"/>
      <c r="L35" s="19">
        <f>1*(1 - CUSTOS!$M$29)</f>
        <v>1</v>
      </c>
      <c r="M35" s="19">
        <f>IF(AND((+$I$17+$I$18+$I$19+$I$20+$I$21+$I$22+$I$23+$I$24+$I$25+$I$26+$I$27+$I$28+$I$29+$I$30+$I$31+$I$32+$I$33+$I$34+$I$35+$I$36+$I$37+$I$38+$I$39+$I$40+$I$41+$I$42+$I$43+$I$44+$I$45+$I$46+$I$47+$I$48+$I$49+$I$50+$I$51)&lt;&gt;0,SUMPRODUCT($I$5:$I$51,$AC$5:$AC$51,$AP$5:$AP$51)&lt;&gt;0),$M$56*SUMPRODUCT($I$17:$I$51,$AC$17:$AC$51,$AP$17:$AP$51)/SUMPRODUCT($I$5:$I$51,$AC$5:$AC$51,$AP$5:$AP$51)/(+$I$17+$I$18+$I$19+$I$20+$I$21+$I$22+$I$23+$I$24+$I$25+$I$26+$I$27+$I$28+$I$29+$I$30+$I$31+$I$32+$I$33+$I$34+$I$35+$I$36+$I$37+$I$38+$I$39+$I$40+$I$41+$I$42+$I$43+$I$44+$I$45+$I$46+$I$47+$I$48+$I$49+$I$50+$I$51),0)*(1 - CUSTOS!$M$29)</f>
        <v>2.9857979531516223</v>
      </c>
      <c r="N35" s="19">
        <f ca="1">(+M35+O35+R35+U35+V35+W35+X35+Y35+Z35+AA35+AC35+AH35+AI35+AJ35+AK35)*CUSTOS!$M$5</f>
        <v>4.6626360044032364E-12</v>
      </c>
      <c r="O35" s="19">
        <f>1 - CUSTOS!$M$29</f>
        <v>1</v>
      </c>
      <c r="P35" s="19">
        <f>1 - CUSTOS!$M$29</f>
        <v>1</v>
      </c>
      <c r="Q35" s="19">
        <f>1*(1 - CUSTOS!$M$29)</f>
        <v>1</v>
      </c>
      <c r="R35" s="19">
        <f>1 - CUSTOS!$M$29</f>
        <v>1</v>
      </c>
      <c r="S35" s="19">
        <f>1 - CUSTOS!$M$29</f>
        <v>1</v>
      </c>
      <c r="T35" s="19"/>
      <c r="U35" s="19">
        <f>TRANSICAO!$U$35*CUSTOS!$T$3</f>
        <v>0</v>
      </c>
      <c r="V35" s="19">
        <f>TRANSICAO!$V$35*CUSTOS!$T$3</f>
        <v>0</v>
      </c>
      <c r="W35" s="19">
        <f>TRANSICAO!$W$35*CUSTOS!$T$3</f>
        <v>0</v>
      </c>
      <c r="X35" s="19">
        <f>TRANSICAO!$X$35*CUSTOS!$T$3</f>
        <v>0</v>
      </c>
      <c r="Y35" s="19">
        <f>TRANSICAO!$Y$35*CUSTOS!$T$3</f>
        <v>27.470199999999998</v>
      </c>
      <c r="Z35" s="19">
        <f>TRANSICAO!$Z$35*CUSTOS!$T$3</f>
        <v>0</v>
      </c>
      <c r="AA35" s="19">
        <f>TRANSICAO!$AA$35*CUSTOS!$T$3</f>
        <v>0</v>
      </c>
      <c r="AB35" s="19">
        <f>TRANSICAO!$AB$35*CUSTOS!$T$3</f>
        <v>0</v>
      </c>
      <c r="AC35" s="19">
        <f>TRANSICAO!$AC$35*CUSTOS!$T$3</f>
        <v>388.90559999999999</v>
      </c>
      <c r="AD35" s="19">
        <f>TRANSICAO!$AD$35*CUSTOS!$T$3</f>
        <v>0</v>
      </c>
      <c r="AE35" s="19">
        <v>0</v>
      </c>
      <c r="AF35" s="19">
        <v>0</v>
      </c>
      <c r="AG35" s="19"/>
      <c r="AH35" s="19">
        <f>(1 - CUSTOS!$M$29)*38.5532</f>
        <v>38.553199999999997</v>
      </c>
      <c r="AI35" s="19">
        <v>0</v>
      </c>
      <c r="AJ35" s="19">
        <f ca="1">$N$64*(1-CUSTOS!$M$29)</f>
        <v>3.1744012435860509</v>
      </c>
      <c r="AK35" s="19">
        <f t="shared" ca="1" si="0"/>
        <v>3.1744012435860509</v>
      </c>
      <c r="AL35" s="19"/>
      <c r="AM35" s="19"/>
      <c r="AP35" s="19">
        <f>IF((1 - CUSTOS!$M$29)&lt;&gt;0,1/(1 - CUSTOS!$M$29),1)</f>
        <v>1</v>
      </c>
    </row>
    <row r="36" spans="1:42" ht="11.25" customHeight="1" x14ac:dyDescent="0.25">
      <c r="A36" s="134"/>
      <c r="B36" s="134"/>
      <c r="C36" s="134"/>
      <c r="D36" s="134"/>
      <c r="E36" s="134"/>
      <c r="F36" s="134"/>
      <c r="G36" s="21" t="s">
        <v>73</v>
      </c>
      <c r="H36" s="21" t="s">
        <v>71</v>
      </c>
      <c r="I36" s="21">
        <f>'MERCADO TUSD'!$U$33</f>
        <v>0</v>
      </c>
      <c r="J36" s="17"/>
      <c r="L36" s="19">
        <f>1*(1 - CUSTOS!$M$29)</f>
        <v>1</v>
      </c>
      <c r="M36" s="19">
        <f>IF(AND((+$I$17+$I$18+$I$19+$I$20+$I$21+$I$22+$I$23+$I$24+$I$25+$I$26+$I$27+$I$28+$I$29+$I$30+$I$31+$I$32+$I$33+$I$34+$I$35+$I$36+$I$37+$I$38+$I$39+$I$40+$I$41+$I$42+$I$43+$I$44+$I$45+$I$46+$I$47+$I$48+$I$49+$I$50+$I$51)&lt;&gt;0,SUMPRODUCT($I$5:$I$51,$AC$5:$AC$51,$AP$5:$AP$51)&lt;&gt;0),$M$56*SUMPRODUCT($I$17:$I$51,$AC$17:$AC$51,$AP$17:$AP$51)/SUMPRODUCT($I$5:$I$51,$AC$5:$AC$51,$AP$5:$AP$51)/(+$I$17+$I$18+$I$19+$I$20+$I$21+$I$22+$I$23+$I$24+$I$25+$I$26+$I$27+$I$28+$I$29+$I$30+$I$31+$I$32+$I$33+$I$34+$I$35+$I$36+$I$37+$I$38+$I$39+$I$40+$I$41+$I$42+$I$43+$I$44+$I$45+$I$46+$I$47+$I$48+$I$49+$I$50+$I$51),0)*(1 - CUSTOS!$M$29)</f>
        <v>2.9857979531516223</v>
      </c>
      <c r="N36" s="19">
        <f ca="1">(+M36+O36+R36+U36+V36+W36+X36+Y36+Z36+AA36+AC36+AH36+AI36+AJ36+AK36)*CUSTOS!$M$5</f>
        <v>1.8867970044032374E-12</v>
      </c>
      <c r="O36" s="19">
        <f>1 - CUSTOS!$M$29</f>
        <v>1</v>
      </c>
      <c r="P36" s="19">
        <f>1 - CUSTOS!$M$29</f>
        <v>1</v>
      </c>
      <c r="Q36" s="19">
        <f>1*(1 - CUSTOS!$M$29)</f>
        <v>1</v>
      </c>
      <c r="R36" s="19">
        <f>1 - CUSTOS!$M$29</f>
        <v>1</v>
      </c>
      <c r="S36" s="19">
        <f>1 - CUSTOS!$M$29</f>
        <v>1</v>
      </c>
      <c r="T36" s="19"/>
      <c r="U36" s="19">
        <f>TRANSICAO!$U$36*CUSTOS!$T$3</f>
        <v>0</v>
      </c>
      <c r="V36" s="19">
        <f>TRANSICAO!$V$36*CUSTOS!$T$3</f>
        <v>0</v>
      </c>
      <c r="W36" s="19">
        <f>TRANSICAO!$W$36*CUSTOS!$T$3</f>
        <v>0</v>
      </c>
      <c r="X36" s="19">
        <f>TRANSICAO!$X$36*CUSTOS!$T$3</f>
        <v>0</v>
      </c>
      <c r="Y36" s="19">
        <f>TRANSICAO!$Y$36*CUSTOS!$T$3</f>
        <v>9.1567000000000007</v>
      </c>
      <c r="Z36" s="19">
        <f>TRANSICAO!$Z$36*CUSTOS!$T$3</f>
        <v>0</v>
      </c>
      <c r="AA36" s="19">
        <f>TRANSICAO!$AA$36*CUSTOS!$T$3</f>
        <v>0</v>
      </c>
      <c r="AB36" s="19">
        <f>TRANSICAO!$AB$36*CUSTOS!$T$3</f>
        <v>0</v>
      </c>
      <c r="AC36" s="19">
        <f>TRANSICAO!$AC$36*CUSTOS!$T$3</f>
        <v>129.6352</v>
      </c>
      <c r="AD36" s="19">
        <f>TRANSICAO!$AD$36*CUSTOS!$T$3</f>
        <v>0</v>
      </c>
      <c r="AE36" s="19">
        <v>0</v>
      </c>
      <c r="AF36" s="19">
        <v>0</v>
      </c>
      <c r="AG36" s="19"/>
      <c r="AH36" s="19">
        <f>(1 - CUSTOS!$M$29)*38.5532</f>
        <v>38.553199999999997</v>
      </c>
      <c r="AI36" s="19">
        <v>0</v>
      </c>
      <c r="AJ36" s="19">
        <f ca="1">$N$64*(1-CUSTOS!$M$29)</f>
        <v>3.1744012435860509</v>
      </c>
      <c r="AK36" s="19">
        <f t="shared" ca="1" si="0"/>
        <v>3.1744012435860509</v>
      </c>
      <c r="AL36" s="19"/>
      <c r="AM36" s="19"/>
      <c r="AP36" s="19">
        <f>IF((1 - CUSTOS!$M$29)&lt;&gt;0,1/(1 - CUSTOS!$M$29),1)</f>
        <v>1</v>
      </c>
    </row>
    <row r="37" spans="1:42" ht="11.25" customHeight="1" x14ac:dyDescent="0.25">
      <c r="A37" s="134"/>
      <c r="B37" s="22" t="s">
        <v>23</v>
      </c>
      <c r="C37" s="22" t="s">
        <v>44</v>
      </c>
      <c r="D37" s="22" t="s">
        <v>87</v>
      </c>
      <c r="E37" s="22" t="s">
        <v>25</v>
      </c>
      <c r="F37" s="22" t="s">
        <v>25</v>
      </c>
      <c r="G37" s="21" t="s">
        <v>75</v>
      </c>
      <c r="H37" s="21" t="s">
        <v>71</v>
      </c>
      <c r="I37" s="21">
        <f>'MERCADO TUSD'!$U$34</f>
        <v>0</v>
      </c>
      <c r="J37" s="17"/>
      <c r="L37" s="19">
        <f>1*(1 - CUSTOS!$M$29)</f>
        <v>1</v>
      </c>
      <c r="M37" s="19">
        <f>IF(AND((+$I$17+$I$18+$I$19+$I$20+$I$21+$I$22+$I$23+$I$24+$I$25+$I$26+$I$27+$I$28+$I$29+$I$30+$I$31+$I$32+$I$33+$I$34+$I$35+$I$36+$I$37+$I$38+$I$39+$I$40+$I$41+$I$42+$I$43+$I$44+$I$45+$I$46+$I$47+$I$48+$I$49+$I$50+$I$51)&lt;&gt;0,SUMPRODUCT($I$5:$I$51,$AC$5:$AC$51,$AP$5:$AP$51)&lt;&gt;0),$M$56*SUMPRODUCT($I$17:$I$51,$AC$17:$AC$51,$AP$17:$AP$51)/SUMPRODUCT($I$5:$I$51,$AC$5:$AC$51,$AP$5:$AP$51)/(+$I$17+$I$18+$I$19+$I$20+$I$21+$I$22+$I$23+$I$24+$I$25+$I$26+$I$27+$I$28+$I$29+$I$30+$I$31+$I$32+$I$33+$I$34+$I$35+$I$36+$I$37+$I$38+$I$39+$I$40+$I$41+$I$42+$I$43+$I$44+$I$45+$I$46+$I$47+$I$48+$I$49+$I$50+$I$51),0)*(1 - CUSTOS!$M$29)</f>
        <v>2.9857979531516223</v>
      </c>
      <c r="N37" s="19">
        <f ca="1">(+M37+O37+R37+U37+V37+W37+X37+Y37+Z37+AA37+AC37+AH37+AI37+AJ37+AK37)*CUSTOS!$M$5</f>
        <v>3.167954004403237E-12</v>
      </c>
      <c r="O37" s="19">
        <f>1 - CUSTOS!$M$29</f>
        <v>1</v>
      </c>
      <c r="P37" s="19">
        <f>1 - CUSTOS!$M$29</f>
        <v>1</v>
      </c>
      <c r="Q37" s="19">
        <f>1*(1 - CUSTOS!$M$29)</f>
        <v>1</v>
      </c>
      <c r="R37" s="19">
        <f>1 - CUSTOS!$M$29</f>
        <v>1</v>
      </c>
      <c r="S37" s="19">
        <f>1 - CUSTOS!$M$29</f>
        <v>1</v>
      </c>
      <c r="T37" s="19"/>
      <c r="U37" s="19">
        <f>TRANSICAO!$U$37*CUSTOS!$T$3</f>
        <v>0</v>
      </c>
      <c r="V37" s="19">
        <f>TRANSICAO!$V$37*CUSTOS!$T$3</f>
        <v>0</v>
      </c>
      <c r="W37" s="19">
        <f>TRANSICAO!$W$37*CUSTOS!$T$3</f>
        <v>0</v>
      </c>
      <c r="X37" s="19">
        <f>TRANSICAO!$X$37*CUSTOS!$T$3</f>
        <v>0</v>
      </c>
      <c r="Y37" s="19">
        <f>TRANSICAO!$Y$37*CUSTOS!$T$3</f>
        <v>17.609100000000002</v>
      </c>
      <c r="Z37" s="19">
        <f>TRANSICAO!$Z$37*CUSTOS!$T$3</f>
        <v>0</v>
      </c>
      <c r="AA37" s="19">
        <f>TRANSICAO!$AA$37*CUSTOS!$T$3</f>
        <v>0</v>
      </c>
      <c r="AB37" s="19">
        <f>TRANSICAO!$AB$37*CUSTOS!$T$3</f>
        <v>0</v>
      </c>
      <c r="AC37" s="19">
        <f>TRANSICAO!$AC$37*CUSTOS!$T$3</f>
        <v>249.29849999999999</v>
      </c>
      <c r="AD37" s="19">
        <f>TRANSICAO!$AD$37*CUSTOS!$T$3</f>
        <v>0</v>
      </c>
      <c r="AE37" s="19">
        <v>0</v>
      </c>
      <c r="AF37" s="19">
        <v>0</v>
      </c>
      <c r="AG37" s="19"/>
      <c r="AH37" s="19">
        <f>(1 - CUSTOS!$M$29)*38.5532</f>
        <v>38.553199999999997</v>
      </c>
      <c r="AI37" s="19">
        <v>0</v>
      </c>
      <c r="AJ37" s="19">
        <f ca="1">$N$64*(1-CUSTOS!$M$29)</f>
        <v>3.1744012435860509</v>
      </c>
      <c r="AK37" s="19">
        <f t="shared" ca="1" si="0"/>
        <v>3.1744012435860509</v>
      </c>
      <c r="AL37" s="19"/>
      <c r="AM37" s="19"/>
      <c r="AP37" s="19">
        <f>IF((1 - CUSTOS!$M$29)&lt;&gt;0,1/(1 - CUSTOS!$M$29),1)</f>
        <v>1</v>
      </c>
    </row>
    <row r="38" spans="1:42" ht="11.25" customHeight="1" x14ac:dyDescent="0.25">
      <c r="A38" s="134"/>
      <c r="B38" s="134" t="s">
        <v>37</v>
      </c>
      <c r="C38" s="134" t="s">
        <v>44</v>
      </c>
      <c r="D38" s="134" t="s">
        <v>88</v>
      </c>
      <c r="E38" s="134" t="s">
        <v>25</v>
      </c>
      <c r="F38" s="134" t="s">
        <v>25</v>
      </c>
      <c r="G38" s="21" t="s">
        <v>72</v>
      </c>
      <c r="H38" s="21" t="s">
        <v>71</v>
      </c>
      <c r="I38" s="21">
        <f>'MERCADO TUSD'!$U$35</f>
        <v>0</v>
      </c>
      <c r="J38" s="17"/>
      <c r="L38" s="19">
        <f>1*(1 - CUSTOS!$M$30)</f>
        <v>1</v>
      </c>
      <c r="M38" s="19">
        <f>IF(AND((+$I$17+$I$18+$I$19+$I$20+$I$21+$I$22+$I$23+$I$24+$I$25+$I$26+$I$27+$I$28+$I$29+$I$30+$I$31+$I$32+$I$33+$I$34+$I$35+$I$36+$I$37+$I$38+$I$39+$I$40+$I$41+$I$42+$I$43+$I$44+$I$45+$I$46+$I$47+$I$48+$I$49+$I$50+$I$51)&lt;&gt;0,SUMPRODUCT($I$5:$I$51,$AC$5:$AC$51,$AP$5:$AP$51)&lt;&gt;0),$M$56*SUMPRODUCT($I$17:$I$51,$AC$17:$AC$51,$AP$17:$AP$51)/SUMPRODUCT($I$5:$I$51,$AC$5:$AC$51,$AP$5:$AP$51)/(+$I$17+$I$18+$I$19+$I$20+$I$21+$I$22+$I$23+$I$24+$I$25+$I$26+$I$27+$I$28+$I$29+$I$30+$I$31+$I$32+$I$33+$I$34+$I$35+$I$36+$I$37+$I$38+$I$39+$I$40+$I$41+$I$42+$I$43+$I$44+$I$45+$I$46+$I$47+$I$48+$I$49+$I$50+$I$51),0)*(1 - CUSTOS!$M$30)</f>
        <v>2.9857979531516223</v>
      </c>
      <c r="N38" s="19">
        <f ca="1">(+M38+O38+R38+U38+V38+W38+X38+Y38+Z38+AA38+AC38+AH38+AI38+AJ38+AK38)*CUSTOS!$M$5</f>
        <v>7.4384740044032361E-12</v>
      </c>
      <c r="O38" s="19">
        <f>1 - CUSTOS!$M$30</f>
        <v>1</v>
      </c>
      <c r="P38" s="19">
        <f>1 - CUSTOS!$M$30</f>
        <v>1</v>
      </c>
      <c r="Q38" s="19">
        <f>1*(1 - CUSTOS!$M$30)</f>
        <v>1</v>
      </c>
      <c r="R38" s="19">
        <f>1 - CUSTOS!$M$30</f>
        <v>1</v>
      </c>
      <c r="S38" s="19">
        <f>1 - CUSTOS!$M$30</f>
        <v>1</v>
      </c>
      <c r="T38" s="19"/>
      <c r="U38" s="19">
        <f>TRANSICAO!$U$38*CUSTOS!$T$3</f>
        <v>0</v>
      </c>
      <c r="V38" s="19">
        <f>TRANSICAO!$V$38*CUSTOS!$T$3</f>
        <v>0</v>
      </c>
      <c r="W38" s="19">
        <f>TRANSICAO!$W$38*CUSTOS!$T$3</f>
        <v>0</v>
      </c>
      <c r="X38" s="19">
        <f>TRANSICAO!$X$38*CUSTOS!$T$3</f>
        <v>0</v>
      </c>
      <c r="Y38" s="19">
        <f>TRANSICAO!$Y$38*CUSTOS!$T$3</f>
        <v>45.783700000000003</v>
      </c>
      <c r="Z38" s="19">
        <f>TRANSICAO!$Z$38*CUSTOS!$T$3</f>
        <v>0</v>
      </c>
      <c r="AA38" s="19">
        <f>TRANSICAO!$AA$38*CUSTOS!$T$3</f>
        <v>0</v>
      </c>
      <c r="AB38" s="19">
        <f>TRANSICAO!$AB$38*CUSTOS!$T$3</f>
        <v>0</v>
      </c>
      <c r="AC38" s="19">
        <f>TRANSICAO!$AC$38*CUSTOS!$T$3</f>
        <v>648.17589999999996</v>
      </c>
      <c r="AD38" s="19">
        <f>TRANSICAO!$AD$38*CUSTOS!$T$3</f>
        <v>0</v>
      </c>
      <c r="AE38" s="19">
        <v>0</v>
      </c>
      <c r="AF38" s="19">
        <v>0</v>
      </c>
      <c r="AG38" s="19"/>
      <c r="AH38" s="19">
        <f>(1 - CUSTOS!$M$30)*38.5532</f>
        <v>38.553199999999997</v>
      </c>
      <c r="AI38" s="19">
        <v>0</v>
      </c>
      <c r="AJ38" s="19">
        <f ca="1">$N$64*(1-CUSTOS!$M$30)</f>
        <v>3.1744012435860509</v>
      </c>
      <c r="AK38" s="19">
        <f t="shared" ca="1" si="0"/>
        <v>3.1744012435860509</v>
      </c>
      <c r="AL38" s="19"/>
      <c r="AM38" s="19"/>
      <c r="AP38" s="19">
        <f>IF((1 - CUSTOS!$M$30)&lt;&gt;0,1/(1 - CUSTOS!$M$30),1)</f>
        <v>1</v>
      </c>
    </row>
    <row r="39" spans="1:42" ht="11.25" customHeight="1" x14ac:dyDescent="0.25">
      <c r="A39" s="134"/>
      <c r="B39" s="134"/>
      <c r="C39" s="134"/>
      <c r="D39" s="134"/>
      <c r="E39" s="134"/>
      <c r="F39" s="134"/>
      <c r="G39" s="21" t="s">
        <v>84</v>
      </c>
      <c r="H39" s="21" t="s">
        <v>71</v>
      </c>
      <c r="I39" s="21">
        <f>'MERCADO TUSD'!$U$36</f>
        <v>0</v>
      </c>
      <c r="J39" s="17"/>
      <c r="L39" s="19">
        <f>1*(1 - CUSTOS!$M$30)</f>
        <v>1</v>
      </c>
      <c r="M39" s="19">
        <f>IF(AND((+$I$17+$I$18+$I$19+$I$20+$I$21+$I$22+$I$23+$I$24+$I$25+$I$26+$I$27+$I$28+$I$29+$I$30+$I$31+$I$32+$I$33+$I$34+$I$35+$I$36+$I$37+$I$38+$I$39+$I$40+$I$41+$I$42+$I$43+$I$44+$I$45+$I$46+$I$47+$I$48+$I$49+$I$50+$I$51)&lt;&gt;0,SUMPRODUCT($I$5:$I$51,$AC$5:$AC$51,$AP$5:$AP$51)&lt;&gt;0),$M$56*SUMPRODUCT($I$17:$I$51,$AC$17:$AC$51,$AP$17:$AP$51)/SUMPRODUCT($I$5:$I$51,$AC$5:$AC$51,$AP$5:$AP$51)/(+$I$17+$I$18+$I$19+$I$20+$I$21+$I$22+$I$23+$I$24+$I$25+$I$26+$I$27+$I$28+$I$29+$I$30+$I$31+$I$32+$I$33+$I$34+$I$35+$I$36+$I$37+$I$38+$I$39+$I$40+$I$41+$I$42+$I$43+$I$44+$I$45+$I$46+$I$47+$I$48+$I$49+$I$50+$I$51),0)*(1 - CUSTOS!$M$30)</f>
        <v>2.9857979531516223</v>
      </c>
      <c r="N39" s="19">
        <f ca="1">(+M39+O39+R39+U39+V39+W39+X39+Y39+Z39+AA39+AC39+AH39+AI39+AJ39+AK39)*CUSTOS!$M$5</f>
        <v>4.6626360044032364E-12</v>
      </c>
      <c r="O39" s="19">
        <f>1 - CUSTOS!$M$30</f>
        <v>1</v>
      </c>
      <c r="P39" s="19">
        <f>1 - CUSTOS!$M$30</f>
        <v>1</v>
      </c>
      <c r="Q39" s="19">
        <f>1*(1 - CUSTOS!$M$30)</f>
        <v>1</v>
      </c>
      <c r="R39" s="19">
        <f>1 - CUSTOS!$M$30</f>
        <v>1</v>
      </c>
      <c r="S39" s="19">
        <f>1 - CUSTOS!$M$30</f>
        <v>1</v>
      </c>
      <c r="T39" s="19"/>
      <c r="U39" s="19">
        <f>TRANSICAO!$U$39*CUSTOS!$T$3</f>
        <v>0</v>
      </c>
      <c r="V39" s="19">
        <f>TRANSICAO!$V$39*CUSTOS!$T$3</f>
        <v>0</v>
      </c>
      <c r="W39" s="19">
        <f>TRANSICAO!$W$39*CUSTOS!$T$3</f>
        <v>0</v>
      </c>
      <c r="X39" s="19">
        <f>TRANSICAO!$X$39*CUSTOS!$T$3</f>
        <v>0</v>
      </c>
      <c r="Y39" s="19">
        <f>TRANSICAO!$Y$39*CUSTOS!$T$3</f>
        <v>27.470199999999998</v>
      </c>
      <c r="Z39" s="19">
        <f>TRANSICAO!$Z$39*CUSTOS!$T$3</f>
        <v>0</v>
      </c>
      <c r="AA39" s="19">
        <f>TRANSICAO!$AA$39*CUSTOS!$T$3</f>
        <v>0</v>
      </c>
      <c r="AB39" s="19">
        <f>TRANSICAO!$AB$39*CUSTOS!$T$3</f>
        <v>0</v>
      </c>
      <c r="AC39" s="19">
        <f>TRANSICAO!$AC$39*CUSTOS!$T$3</f>
        <v>388.90559999999999</v>
      </c>
      <c r="AD39" s="19">
        <f>TRANSICAO!$AD$39*CUSTOS!$T$3</f>
        <v>0</v>
      </c>
      <c r="AE39" s="19">
        <v>0</v>
      </c>
      <c r="AF39" s="19">
        <v>0</v>
      </c>
      <c r="AG39" s="19"/>
      <c r="AH39" s="19">
        <f>(1 - CUSTOS!$M$30)*38.5532</f>
        <v>38.553199999999997</v>
      </c>
      <c r="AI39" s="19">
        <v>0</v>
      </c>
      <c r="AJ39" s="19">
        <f ca="1">$N$64*(1-CUSTOS!$M$30)</f>
        <v>3.1744012435860509</v>
      </c>
      <c r="AK39" s="19">
        <f t="shared" ca="1" si="0"/>
        <v>3.1744012435860509</v>
      </c>
      <c r="AL39" s="19"/>
      <c r="AM39" s="19"/>
      <c r="AP39" s="19">
        <f>IF((1 - CUSTOS!$M$30)&lt;&gt;0,1/(1 - CUSTOS!$M$30),1)</f>
        <v>1</v>
      </c>
    </row>
    <row r="40" spans="1:42" ht="11.25" customHeight="1" x14ac:dyDescent="0.25">
      <c r="A40" s="134"/>
      <c r="B40" s="134"/>
      <c r="C40" s="134"/>
      <c r="D40" s="134"/>
      <c r="E40" s="134"/>
      <c r="F40" s="134"/>
      <c r="G40" s="21" t="s">
        <v>73</v>
      </c>
      <c r="H40" s="21" t="s">
        <v>71</v>
      </c>
      <c r="I40" s="21">
        <f>'MERCADO TUSD'!$U$37</f>
        <v>0</v>
      </c>
      <c r="J40" s="17"/>
      <c r="L40" s="19">
        <f>1*(1 - CUSTOS!$M$30)</f>
        <v>1</v>
      </c>
      <c r="M40" s="19">
        <f>IF(AND((+$I$17+$I$18+$I$19+$I$20+$I$21+$I$22+$I$23+$I$24+$I$25+$I$26+$I$27+$I$28+$I$29+$I$30+$I$31+$I$32+$I$33+$I$34+$I$35+$I$36+$I$37+$I$38+$I$39+$I$40+$I$41+$I$42+$I$43+$I$44+$I$45+$I$46+$I$47+$I$48+$I$49+$I$50+$I$51)&lt;&gt;0,SUMPRODUCT($I$5:$I$51,$AC$5:$AC$51,$AP$5:$AP$51)&lt;&gt;0),$M$56*SUMPRODUCT($I$17:$I$51,$AC$17:$AC$51,$AP$17:$AP$51)/SUMPRODUCT($I$5:$I$51,$AC$5:$AC$51,$AP$5:$AP$51)/(+$I$17+$I$18+$I$19+$I$20+$I$21+$I$22+$I$23+$I$24+$I$25+$I$26+$I$27+$I$28+$I$29+$I$30+$I$31+$I$32+$I$33+$I$34+$I$35+$I$36+$I$37+$I$38+$I$39+$I$40+$I$41+$I$42+$I$43+$I$44+$I$45+$I$46+$I$47+$I$48+$I$49+$I$50+$I$51),0)*(1 - CUSTOS!$M$30)</f>
        <v>2.9857979531516223</v>
      </c>
      <c r="N40" s="19">
        <f ca="1">(+M40+O40+R40+U40+V40+W40+X40+Y40+Z40+AA40+AC40+AH40+AI40+AJ40+AK40)*CUSTOS!$M$5</f>
        <v>1.8867970044032374E-12</v>
      </c>
      <c r="O40" s="19">
        <f>1 - CUSTOS!$M$30</f>
        <v>1</v>
      </c>
      <c r="P40" s="19">
        <f>1 - CUSTOS!$M$30</f>
        <v>1</v>
      </c>
      <c r="Q40" s="19">
        <f>1*(1 - CUSTOS!$M$30)</f>
        <v>1</v>
      </c>
      <c r="R40" s="19">
        <f>1 - CUSTOS!$M$30</f>
        <v>1</v>
      </c>
      <c r="S40" s="19">
        <f>1 - CUSTOS!$M$30</f>
        <v>1</v>
      </c>
      <c r="T40" s="19"/>
      <c r="U40" s="19">
        <f>TRANSICAO!$U$40*CUSTOS!$T$3</f>
        <v>0</v>
      </c>
      <c r="V40" s="19">
        <f>TRANSICAO!$V$40*CUSTOS!$T$3</f>
        <v>0</v>
      </c>
      <c r="W40" s="19">
        <f>TRANSICAO!$W$40*CUSTOS!$T$3</f>
        <v>0</v>
      </c>
      <c r="X40" s="19">
        <f>TRANSICAO!$X$40*CUSTOS!$T$3</f>
        <v>0</v>
      </c>
      <c r="Y40" s="19">
        <f>TRANSICAO!$Y$40*CUSTOS!$T$3</f>
        <v>9.1567000000000007</v>
      </c>
      <c r="Z40" s="19">
        <f>TRANSICAO!$Z$40*CUSTOS!$T$3</f>
        <v>0</v>
      </c>
      <c r="AA40" s="19">
        <f>TRANSICAO!$AA$40*CUSTOS!$T$3</f>
        <v>0</v>
      </c>
      <c r="AB40" s="19">
        <f>TRANSICAO!$AB$40*CUSTOS!$T$3</f>
        <v>0</v>
      </c>
      <c r="AC40" s="19">
        <f>TRANSICAO!$AC$40*CUSTOS!$T$3</f>
        <v>129.6352</v>
      </c>
      <c r="AD40" s="19">
        <f>TRANSICAO!$AD$40*CUSTOS!$T$3</f>
        <v>0</v>
      </c>
      <c r="AE40" s="19">
        <v>0</v>
      </c>
      <c r="AF40" s="19">
        <v>0</v>
      </c>
      <c r="AG40" s="19"/>
      <c r="AH40" s="19">
        <f>(1 - CUSTOS!$M$30)*38.5532</f>
        <v>38.553199999999997</v>
      </c>
      <c r="AI40" s="19">
        <v>0</v>
      </c>
      <c r="AJ40" s="19">
        <f ca="1">$N$64*(1-CUSTOS!$M$30)</f>
        <v>3.1744012435860509</v>
      </c>
      <c r="AK40" s="19">
        <f t="shared" ca="1" si="0"/>
        <v>3.1744012435860509</v>
      </c>
      <c r="AL40" s="19"/>
      <c r="AM40" s="19"/>
      <c r="AP40" s="19">
        <f>IF((1 - CUSTOS!$M$30)&lt;&gt;0,1/(1 - CUSTOS!$M$30),1)</f>
        <v>1</v>
      </c>
    </row>
    <row r="41" spans="1:42" ht="11.25" customHeight="1" x14ac:dyDescent="0.25">
      <c r="A41" s="134"/>
      <c r="B41" s="22" t="s">
        <v>23</v>
      </c>
      <c r="C41" s="22" t="s">
        <v>44</v>
      </c>
      <c r="D41" s="22" t="s">
        <v>88</v>
      </c>
      <c r="E41" s="22" t="s">
        <v>25</v>
      </c>
      <c r="F41" s="22" t="s">
        <v>25</v>
      </c>
      <c r="G41" s="21" t="s">
        <v>75</v>
      </c>
      <c r="H41" s="21" t="s">
        <v>71</v>
      </c>
      <c r="I41" s="21">
        <f>'MERCADO TUSD'!$U$38</f>
        <v>0</v>
      </c>
      <c r="J41" s="17"/>
      <c r="L41" s="19">
        <f>1*(1 - CUSTOS!$M$30)</f>
        <v>1</v>
      </c>
      <c r="M41" s="19">
        <f>IF(AND((+$I$17+$I$18+$I$19+$I$20+$I$21+$I$22+$I$23+$I$24+$I$25+$I$26+$I$27+$I$28+$I$29+$I$30+$I$31+$I$32+$I$33+$I$34+$I$35+$I$36+$I$37+$I$38+$I$39+$I$40+$I$41+$I$42+$I$43+$I$44+$I$45+$I$46+$I$47+$I$48+$I$49+$I$50+$I$51)&lt;&gt;0,SUMPRODUCT($I$5:$I$51,$AC$5:$AC$51,$AP$5:$AP$51)&lt;&gt;0),$M$56*SUMPRODUCT($I$17:$I$51,$AC$17:$AC$51,$AP$17:$AP$51)/SUMPRODUCT($I$5:$I$51,$AC$5:$AC$51,$AP$5:$AP$51)/(+$I$17+$I$18+$I$19+$I$20+$I$21+$I$22+$I$23+$I$24+$I$25+$I$26+$I$27+$I$28+$I$29+$I$30+$I$31+$I$32+$I$33+$I$34+$I$35+$I$36+$I$37+$I$38+$I$39+$I$40+$I$41+$I$42+$I$43+$I$44+$I$45+$I$46+$I$47+$I$48+$I$49+$I$50+$I$51),0)*(1 - CUSTOS!$M$30)</f>
        <v>2.9857979531516223</v>
      </c>
      <c r="N41" s="19">
        <f ca="1">(+M41+O41+R41+U41+V41+W41+X41+Y41+Z41+AA41+AC41+AH41+AI41+AJ41+AK41)*CUSTOS!$M$5</f>
        <v>3.167954004403237E-12</v>
      </c>
      <c r="O41" s="19">
        <f>1 - CUSTOS!$M$30</f>
        <v>1</v>
      </c>
      <c r="P41" s="19">
        <f>1 - CUSTOS!$M$30</f>
        <v>1</v>
      </c>
      <c r="Q41" s="19">
        <f>1*(1 - CUSTOS!$M$30)</f>
        <v>1</v>
      </c>
      <c r="R41" s="19">
        <f>1 - CUSTOS!$M$30</f>
        <v>1</v>
      </c>
      <c r="S41" s="19">
        <f>1 - CUSTOS!$M$30</f>
        <v>1</v>
      </c>
      <c r="T41" s="19"/>
      <c r="U41" s="19">
        <f>TRANSICAO!$U$41*CUSTOS!$T$3</f>
        <v>0</v>
      </c>
      <c r="V41" s="19">
        <f>TRANSICAO!$V$41*CUSTOS!$T$3</f>
        <v>0</v>
      </c>
      <c r="W41" s="19">
        <f>TRANSICAO!$W$41*CUSTOS!$T$3</f>
        <v>0</v>
      </c>
      <c r="X41" s="19">
        <f>TRANSICAO!$X$41*CUSTOS!$T$3</f>
        <v>0</v>
      </c>
      <c r="Y41" s="19">
        <f>TRANSICAO!$Y$41*CUSTOS!$T$3</f>
        <v>17.609100000000002</v>
      </c>
      <c r="Z41" s="19">
        <f>TRANSICAO!$Z$41*CUSTOS!$T$3</f>
        <v>0</v>
      </c>
      <c r="AA41" s="19">
        <f>TRANSICAO!$AA$41*CUSTOS!$T$3</f>
        <v>0</v>
      </c>
      <c r="AB41" s="19">
        <f>TRANSICAO!$AB$41*CUSTOS!$T$3</f>
        <v>0</v>
      </c>
      <c r="AC41" s="19">
        <f>TRANSICAO!$AC$41*CUSTOS!$T$3</f>
        <v>249.29849999999999</v>
      </c>
      <c r="AD41" s="19">
        <f>TRANSICAO!$AD$41*CUSTOS!$T$3</f>
        <v>0</v>
      </c>
      <c r="AE41" s="19">
        <v>0</v>
      </c>
      <c r="AF41" s="19">
        <v>0</v>
      </c>
      <c r="AG41" s="19"/>
      <c r="AH41" s="19">
        <f>(1 - CUSTOS!$M$30)*38.5532</f>
        <v>38.553199999999997</v>
      </c>
      <c r="AI41" s="19">
        <v>0</v>
      </c>
      <c r="AJ41" s="19">
        <f ca="1">$N$64*(1-CUSTOS!$M$30)</f>
        <v>3.1744012435860509</v>
      </c>
      <c r="AK41" s="19">
        <f t="shared" ca="1" si="0"/>
        <v>3.1744012435860509</v>
      </c>
      <c r="AL41" s="19"/>
      <c r="AM41" s="19"/>
      <c r="AP41" s="19">
        <f>IF((1 - CUSTOS!$M$30)&lt;&gt;0,1/(1 - CUSTOS!$M$30),1)</f>
        <v>1</v>
      </c>
    </row>
    <row r="42" spans="1:42" ht="11.25" customHeight="1" x14ac:dyDescent="0.25">
      <c r="A42" s="134"/>
      <c r="B42" s="134" t="s">
        <v>86</v>
      </c>
      <c r="C42" s="134" t="s">
        <v>44</v>
      </c>
      <c r="D42" s="22" t="s">
        <v>25</v>
      </c>
      <c r="E42" s="22" t="s">
        <v>25</v>
      </c>
      <c r="F42" s="22" t="s">
        <v>25</v>
      </c>
      <c r="G42" s="21" t="s">
        <v>75</v>
      </c>
      <c r="H42" s="21" t="s">
        <v>71</v>
      </c>
      <c r="I42" s="21">
        <f>'MERCADO TUSD'!$U$39</f>
        <v>0</v>
      </c>
      <c r="J42" s="17"/>
      <c r="L42" s="19">
        <f>1*(1 - CUSTOS!$M$28)</f>
        <v>1</v>
      </c>
      <c r="M42" s="19">
        <f>IF(AND((+$I$17+$I$18+$I$19+$I$20+$I$21+$I$22+$I$23+$I$24+$I$25+$I$26+$I$27+$I$28+$I$29+$I$30+$I$31+$I$32+$I$33+$I$34+$I$35+$I$36+$I$37+$I$38+$I$39+$I$40+$I$41+$I$42+$I$43+$I$44+$I$45+$I$46+$I$47+$I$48+$I$49+$I$50+$I$51)&lt;&gt;0,SUMPRODUCT($I$5:$I$51,$AC$5:$AC$51,$AP$5:$AP$51)&lt;&gt;0),$M$56*SUMPRODUCT($I$17:$I$51,$AC$17:$AC$51,$AP$17:$AP$51)/SUMPRODUCT($I$5:$I$51,$AC$5:$AC$51,$AP$5:$AP$51)/(+$I$17+$I$18+$I$19+$I$20+$I$21+$I$22+$I$23+$I$24+$I$25+$I$26+$I$27+$I$28+$I$29+$I$30+$I$31+$I$32+$I$33+$I$34+$I$35+$I$36+$I$37+$I$38+$I$39+$I$40+$I$41+$I$42+$I$43+$I$44+$I$45+$I$46+$I$47+$I$48+$I$49+$I$50+$I$51),0)*(1 - CUSTOS!$M$28)</f>
        <v>2.9857979531516223</v>
      </c>
      <c r="N42" s="19">
        <f ca="1">(+M42+O42+R42+U42+V42+W42+X42+Y42+Z42+AA42+AC42+AH42+AI42+AJ42+AK42)*CUSTOS!$M$5</f>
        <v>3.167954004403237E-12</v>
      </c>
      <c r="O42" s="19">
        <f>1 - CUSTOS!$M$28</f>
        <v>1</v>
      </c>
      <c r="P42" s="19">
        <f>1 - CUSTOS!$M$28</f>
        <v>1</v>
      </c>
      <c r="Q42" s="19">
        <f>1*(1 - CUSTOS!$M$28)</f>
        <v>1</v>
      </c>
      <c r="R42" s="19">
        <f>1 - CUSTOS!$M$28</f>
        <v>1</v>
      </c>
      <c r="S42" s="19">
        <f>1 - CUSTOS!$M$28</f>
        <v>1</v>
      </c>
      <c r="T42" s="19"/>
      <c r="U42" s="19">
        <f>TRANSICAO!$U$42*CUSTOS!$T$3</f>
        <v>0</v>
      </c>
      <c r="V42" s="19">
        <f>TRANSICAO!$V$42*CUSTOS!$T$3</f>
        <v>0</v>
      </c>
      <c r="W42" s="19">
        <f>TRANSICAO!$W$42*CUSTOS!$T$3</f>
        <v>0</v>
      </c>
      <c r="X42" s="19">
        <f>TRANSICAO!$X$42*CUSTOS!$T$3</f>
        <v>0</v>
      </c>
      <c r="Y42" s="19">
        <f>TRANSICAO!$Y$42*CUSTOS!$T$3</f>
        <v>17.609100000000002</v>
      </c>
      <c r="Z42" s="19">
        <f>TRANSICAO!$Z$42*CUSTOS!$T$3</f>
        <v>0</v>
      </c>
      <c r="AA42" s="19">
        <f>TRANSICAO!$AA$42*CUSTOS!$T$3</f>
        <v>0</v>
      </c>
      <c r="AB42" s="19">
        <f>TRANSICAO!$AB$42*CUSTOS!$T$3</f>
        <v>0</v>
      </c>
      <c r="AC42" s="19">
        <f>TRANSICAO!$AC$42*CUSTOS!$T$3</f>
        <v>249.29849999999999</v>
      </c>
      <c r="AD42" s="19">
        <f>TRANSICAO!$AD$42*CUSTOS!$T$3</f>
        <v>0</v>
      </c>
      <c r="AE42" s="19">
        <v>0</v>
      </c>
      <c r="AF42" s="19">
        <v>0</v>
      </c>
      <c r="AG42" s="19"/>
      <c r="AH42" s="19">
        <f>(1 - CUSTOS!$M$28)*38.5532</f>
        <v>38.553199999999997</v>
      </c>
      <c r="AI42" s="19">
        <v>0</v>
      </c>
      <c r="AJ42" s="19">
        <f ca="1">$N$64*(1-CUSTOS!$M$28)</f>
        <v>3.1744012435860509</v>
      </c>
      <c r="AK42" s="19">
        <f t="shared" ca="1" si="0"/>
        <v>3.1744012435860509</v>
      </c>
      <c r="AL42" s="19"/>
      <c r="AM42" s="19"/>
      <c r="AP42" s="19">
        <f>IF((1 - CUSTOS!$M$28)&lt;&gt;0,1/(1 - CUSTOS!$M$28),1)</f>
        <v>1</v>
      </c>
    </row>
    <row r="43" spans="1:42" ht="11.25" customHeight="1" x14ac:dyDescent="0.25">
      <c r="A43" s="134"/>
      <c r="B43" s="134"/>
      <c r="C43" s="134"/>
      <c r="D43" s="22" t="s">
        <v>87</v>
      </c>
      <c r="E43" s="22" t="s">
        <v>25</v>
      </c>
      <c r="F43" s="22" t="s">
        <v>25</v>
      </c>
      <c r="G43" s="21" t="s">
        <v>75</v>
      </c>
      <c r="H43" s="21" t="s">
        <v>71</v>
      </c>
      <c r="I43" s="21">
        <f>'MERCADO TUSD'!$U$40</f>
        <v>0</v>
      </c>
      <c r="J43" s="17"/>
      <c r="L43" s="19">
        <f>1*(1 - CUSTOS!$M$29)</f>
        <v>1</v>
      </c>
      <c r="M43" s="19">
        <f>IF(AND((+$I$17+$I$18+$I$19+$I$20+$I$21+$I$22+$I$23+$I$24+$I$25+$I$26+$I$27+$I$28+$I$29+$I$30+$I$31+$I$32+$I$33+$I$34+$I$35+$I$36+$I$37+$I$38+$I$39+$I$40+$I$41+$I$42+$I$43+$I$44+$I$45+$I$46+$I$47+$I$48+$I$49+$I$50+$I$51)&lt;&gt;0,SUMPRODUCT($I$5:$I$51,$AC$5:$AC$51,$AP$5:$AP$51)&lt;&gt;0),$M$56*SUMPRODUCT($I$17:$I$51,$AC$17:$AC$51,$AP$17:$AP$51)/SUMPRODUCT($I$5:$I$51,$AC$5:$AC$51,$AP$5:$AP$51)/(+$I$17+$I$18+$I$19+$I$20+$I$21+$I$22+$I$23+$I$24+$I$25+$I$26+$I$27+$I$28+$I$29+$I$30+$I$31+$I$32+$I$33+$I$34+$I$35+$I$36+$I$37+$I$38+$I$39+$I$40+$I$41+$I$42+$I$43+$I$44+$I$45+$I$46+$I$47+$I$48+$I$49+$I$50+$I$51),0)*(1 - CUSTOS!$M$29)</f>
        <v>2.9857979531516223</v>
      </c>
      <c r="N43" s="19">
        <f ca="1">(+M43+O43+R43+U43+V43+W43+X43+Y43+Z43+AA43+AC43+AH43+AI43+AJ43+AK43)*CUSTOS!$M$5</f>
        <v>3.167954004403237E-12</v>
      </c>
      <c r="O43" s="19">
        <f>1 - CUSTOS!$M$29</f>
        <v>1</v>
      </c>
      <c r="P43" s="19">
        <f>1 - CUSTOS!$M$29</f>
        <v>1</v>
      </c>
      <c r="Q43" s="19">
        <f>1*(1 - CUSTOS!$M$29)</f>
        <v>1</v>
      </c>
      <c r="R43" s="19">
        <f>1 - CUSTOS!$M$29</f>
        <v>1</v>
      </c>
      <c r="S43" s="19">
        <f>1 - CUSTOS!$M$29</f>
        <v>1</v>
      </c>
      <c r="T43" s="19"/>
      <c r="U43" s="19">
        <f>TRANSICAO!$U$43*CUSTOS!$T$3</f>
        <v>0</v>
      </c>
      <c r="V43" s="19">
        <f>TRANSICAO!$V$43*CUSTOS!$T$3</f>
        <v>0</v>
      </c>
      <c r="W43" s="19">
        <f>TRANSICAO!$W$43*CUSTOS!$T$3</f>
        <v>0</v>
      </c>
      <c r="X43" s="19">
        <f>TRANSICAO!$X$43*CUSTOS!$T$3</f>
        <v>0</v>
      </c>
      <c r="Y43" s="19">
        <f>TRANSICAO!$Y$43*CUSTOS!$T$3</f>
        <v>17.609100000000002</v>
      </c>
      <c r="Z43" s="19">
        <f>TRANSICAO!$Z$43*CUSTOS!$T$3</f>
        <v>0</v>
      </c>
      <c r="AA43" s="19">
        <f>TRANSICAO!$AA$43*CUSTOS!$T$3</f>
        <v>0</v>
      </c>
      <c r="AB43" s="19">
        <f>TRANSICAO!$AB$43*CUSTOS!$T$3</f>
        <v>0</v>
      </c>
      <c r="AC43" s="19">
        <f>TRANSICAO!$AC$43*CUSTOS!$T$3</f>
        <v>249.29849999999999</v>
      </c>
      <c r="AD43" s="19">
        <f>TRANSICAO!$AD$43*CUSTOS!$T$3</f>
        <v>0</v>
      </c>
      <c r="AE43" s="19">
        <v>0</v>
      </c>
      <c r="AF43" s="19">
        <v>0</v>
      </c>
      <c r="AG43" s="19"/>
      <c r="AH43" s="19">
        <f>(1 - CUSTOS!$M$29)*38.5532</f>
        <v>38.553199999999997</v>
      </c>
      <c r="AI43" s="19">
        <v>0</v>
      </c>
      <c r="AJ43" s="19">
        <f ca="1">$N$64*(1-CUSTOS!$M$29)</f>
        <v>3.1744012435860509</v>
      </c>
      <c r="AK43" s="19">
        <f t="shared" ca="1" si="0"/>
        <v>3.1744012435860509</v>
      </c>
      <c r="AL43" s="19"/>
      <c r="AM43" s="19"/>
      <c r="AP43" s="19">
        <f>IF((1 - CUSTOS!$M$29)&lt;&gt;0,1/(1 - CUSTOS!$M$29),1)</f>
        <v>1</v>
      </c>
    </row>
    <row r="44" spans="1:42" ht="11.25" customHeight="1" x14ac:dyDescent="0.25">
      <c r="A44" s="134"/>
      <c r="B44" s="134"/>
      <c r="C44" s="134"/>
      <c r="D44" s="22" t="s">
        <v>88</v>
      </c>
      <c r="E44" s="22" t="s">
        <v>25</v>
      </c>
      <c r="F44" s="22" t="s">
        <v>25</v>
      </c>
      <c r="G44" s="21" t="s">
        <v>75</v>
      </c>
      <c r="H44" s="21" t="s">
        <v>71</v>
      </c>
      <c r="I44" s="21">
        <f>'MERCADO TUSD'!$U$41</f>
        <v>0</v>
      </c>
      <c r="J44" s="17"/>
      <c r="L44" s="19">
        <f>1*(1 - CUSTOS!$M$30)</f>
        <v>1</v>
      </c>
      <c r="M44" s="19">
        <f>IF(AND((+$I$17+$I$18+$I$19+$I$20+$I$21+$I$22+$I$23+$I$24+$I$25+$I$26+$I$27+$I$28+$I$29+$I$30+$I$31+$I$32+$I$33+$I$34+$I$35+$I$36+$I$37+$I$38+$I$39+$I$40+$I$41+$I$42+$I$43+$I$44+$I$45+$I$46+$I$47+$I$48+$I$49+$I$50+$I$51)&lt;&gt;0,SUMPRODUCT($I$5:$I$51,$AC$5:$AC$51,$AP$5:$AP$51)&lt;&gt;0),$M$56*SUMPRODUCT($I$17:$I$51,$AC$17:$AC$51,$AP$17:$AP$51)/SUMPRODUCT($I$5:$I$51,$AC$5:$AC$51,$AP$5:$AP$51)/(+$I$17+$I$18+$I$19+$I$20+$I$21+$I$22+$I$23+$I$24+$I$25+$I$26+$I$27+$I$28+$I$29+$I$30+$I$31+$I$32+$I$33+$I$34+$I$35+$I$36+$I$37+$I$38+$I$39+$I$40+$I$41+$I$42+$I$43+$I$44+$I$45+$I$46+$I$47+$I$48+$I$49+$I$50+$I$51),0)*(1 - CUSTOS!$M$30)</f>
        <v>2.9857979531516223</v>
      </c>
      <c r="N44" s="19">
        <f ca="1">(+M44+O44+R44+U44+V44+W44+X44+Y44+Z44+AA44+AC44+AH44+AI44+AJ44+AK44)*CUSTOS!$M$5</f>
        <v>3.167954004403237E-12</v>
      </c>
      <c r="O44" s="19">
        <f>1 - CUSTOS!$M$30</f>
        <v>1</v>
      </c>
      <c r="P44" s="19">
        <f>1 - CUSTOS!$M$30</f>
        <v>1</v>
      </c>
      <c r="Q44" s="19">
        <f>1*(1 - CUSTOS!$M$30)</f>
        <v>1</v>
      </c>
      <c r="R44" s="19">
        <f>1 - CUSTOS!$M$30</f>
        <v>1</v>
      </c>
      <c r="S44" s="19">
        <f>1 - CUSTOS!$M$30</f>
        <v>1</v>
      </c>
      <c r="T44" s="19"/>
      <c r="U44" s="19">
        <f>TRANSICAO!$U$44*CUSTOS!$T$3</f>
        <v>0</v>
      </c>
      <c r="V44" s="19">
        <f>TRANSICAO!$V$44*CUSTOS!$T$3</f>
        <v>0</v>
      </c>
      <c r="W44" s="19">
        <f>TRANSICAO!$W$44*CUSTOS!$T$3</f>
        <v>0</v>
      </c>
      <c r="X44" s="19">
        <f>TRANSICAO!$X$44*CUSTOS!$T$3</f>
        <v>0</v>
      </c>
      <c r="Y44" s="19">
        <f>TRANSICAO!$Y$44*CUSTOS!$T$3</f>
        <v>17.609100000000002</v>
      </c>
      <c r="Z44" s="19">
        <f>TRANSICAO!$Z$44*CUSTOS!$T$3</f>
        <v>0</v>
      </c>
      <c r="AA44" s="19">
        <f>TRANSICAO!$AA$44*CUSTOS!$T$3</f>
        <v>0</v>
      </c>
      <c r="AB44" s="19">
        <f>TRANSICAO!$AB$44*CUSTOS!$T$3</f>
        <v>0</v>
      </c>
      <c r="AC44" s="19">
        <f>TRANSICAO!$AC$44*CUSTOS!$T$3</f>
        <v>249.29849999999999</v>
      </c>
      <c r="AD44" s="19">
        <f>TRANSICAO!$AD$44*CUSTOS!$T$3</f>
        <v>0</v>
      </c>
      <c r="AE44" s="19">
        <v>0</v>
      </c>
      <c r="AF44" s="19">
        <v>0</v>
      </c>
      <c r="AG44" s="19"/>
      <c r="AH44" s="19">
        <f>(1 - CUSTOS!$M$30)*38.5532</f>
        <v>38.553199999999997</v>
      </c>
      <c r="AI44" s="19">
        <v>0</v>
      </c>
      <c r="AJ44" s="19">
        <f ca="1">$N$64*(1-CUSTOS!$M$30)</f>
        <v>3.1744012435860509</v>
      </c>
      <c r="AK44" s="19">
        <f t="shared" ca="1" si="0"/>
        <v>3.1744012435860509</v>
      </c>
      <c r="AL44" s="19"/>
      <c r="AM44" s="19"/>
      <c r="AP44" s="19">
        <f>IF((1 - CUSTOS!$M$30)&lt;&gt;0,1/(1 - CUSTOS!$M$30),1)</f>
        <v>1</v>
      </c>
    </row>
    <row r="45" spans="1:42" ht="11.25" customHeight="1" x14ac:dyDescent="0.25">
      <c r="A45" s="134" t="s">
        <v>39</v>
      </c>
      <c r="B45" s="134" t="s">
        <v>37</v>
      </c>
      <c r="C45" s="134" t="s">
        <v>25</v>
      </c>
      <c r="D45" s="134" t="s">
        <v>25</v>
      </c>
      <c r="E45" s="134" t="s">
        <v>25</v>
      </c>
      <c r="F45" s="134" t="s">
        <v>25</v>
      </c>
      <c r="G45" s="21" t="s">
        <v>72</v>
      </c>
      <c r="H45" s="21" t="s">
        <v>71</v>
      </c>
      <c r="I45" s="21">
        <f>'MERCADO TUSD'!$U$42</f>
        <v>0</v>
      </c>
      <c r="J45" s="17"/>
      <c r="L45" s="19">
        <f>1*(1 - CUSTOS!$M$31)</f>
        <v>1</v>
      </c>
      <c r="M45" s="19">
        <f>IF(AND((+$I$17+$I$18+$I$19+$I$20+$I$21+$I$22+$I$23+$I$24+$I$25+$I$26+$I$27+$I$28+$I$29+$I$30+$I$31+$I$32+$I$33+$I$34+$I$35+$I$36+$I$37+$I$38+$I$39+$I$40+$I$41+$I$42+$I$43+$I$44+$I$45+$I$46+$I$47+$I$48+$I$49+$I$50+$I$51)&lt;&gt;0,SUMPRODUCT($I$5:$I$51,$AC$5:$AC$51,$AP$5:$AP$51)&lt;&gt;0),$M$56*SUMPRODUCT($I$17:$I$51,$AC$17:$AC$51,$AP$17:$AP$51)/SUMPRODUCT($I$5:$I$51,$AC$5:$AC$51,$AP$5:$AP$51)/(+$I$17+$I$18+$I$19+$I$20+$I$21+$I$22+$I$23+$I$24+$I$25+$I$26+$I$27+$I$28+$I$29+$I$30+$I$31+$I$32+$I$33+$I$34+$I$35+$I$36+$I$37+$I$38+$I$39+$I$40+$I$41+$I$42+$I$43+$I$44+$I$45+$I$46+$I$47+$I$48+$I$49+$I$50+$I$51),0)*(1 - CUSTOS!$M$31)</f>
        <v>2.9857979531516223</v>
      </c>
      <c r="N45" s="19">
        <f ca="1">(+M45+O45+R45+U45+V45+W45+X45+Y45+Z45+AA45+AC45+AH45+AI45+AJ45+AK45)*CUSTOS!$M$5</f>
        <v>8.6395570044032374E-12</v>
      </c>
      <c r="O45" s="19">
        <f>1 - CUSTOS!$M$31</f>
        <v>1</v>
      </c>
      <c r="P45" s="19">
        <f>1 - CUSTOS!$M$31</f>
        <v>1</v>
      </c>
      <c r="Q45" s="19">
        <f>1*(1 - CUSTOS!$M$31)</f>
        <v>1</v>
      </c>
      <c r="R45" s="19">
        <f>1 - CUSTOS!$M$31</f>
        <v>1</v>
      </c>
      <c r="S45" s="19">
        <f>1 - CUSTOS!$M$31</f>
        <v>1</v>
      </c>
      <c r="T45" s="19"/>
      <c r="U45" s="19">
        <f>TRANSICAO!$U$45*CUSTOS!$T$3</f>
        <v>0</v>
      </c>
      <c r="V45" s="19">
        <f>TRANSICAO!$V$45*CUSTOS!$T$3</f>
        <v>0</v>
      </c>
      <c r="W45" s="19">
        <f>TRANSICAO!$W$45*CUSTOS!$T$3</f>
        <v>0</v>
      </c>
      <c r="X45" s="19">
        <f>TRANSICAO!$X$45*CUSTOS!$T$3</f>
        <v>0</v>
      </c>
      <c r="Y45" s="19">
        <f>TRANSICAO!$Y$45*CUSTOS!$T$3</f>
        <v>53.707799999999999</v>
      </c>
      <c r="Z45" s="19">
        <f>TRANSICAO!$Z$45*CUSTOS!$T$3</f>
        <v>0</v>
      </c>
      <c r="AA45" s="19">
        <f>TRANSICAO!$AA$45*CUSTOS!$T$3</f>
        <v>0</v>
      </c>
      <c r="AB45" s="19">
        <f>TRANSICAO!$AB$45*CUSTOS!$T$3</f>
        <v>0</v>
      </c>
      <c r="AC45" s="19">
        <f>TRANSICAO!$AC$45*CUSTOS!$T$3</f>
        <v>760.36009999999999</v>
      </c>
      <c r="AD45" s="19">
        <f>TRANSICAO!$AD$45*CUSTOS!$T$3</f>
        <v>0</v>
      </c>
      <c r="AE45" s="19">
        <v>0</v>
      </c>
      <c r="AF45" s="19">
        <v>0</v>
      </c>
      <c r="AG45" s="19"/>
      <c r="AH45" s="19">
        <f>(1 - CUSTOS!$M$31)*38.5532</f>
        <v>38.553199999999997</v>
      </c>
      <c r="AI45" s="19">
        <v>0</v>
      </c>
      <c r="AJ45" s="19">
        <f ca="1">$N$64*(1-CUSTOS!$M$31)</f>
        <v>3.1744012435860509</v>
      </c>
      <c r="AK45" s="19">
        <f t="shared" ca="1" si="0"/>
        <v>3.1744012435860509</v>
      </c>
      <c r="AL45" s="19"/>
      <c r="AM45" s="19"/>
      <c r="AP45" s="19">
        <f>IF((1 - CUSTOS!$M$31)&lt;&gt;0,1/(1 - CUSTOS!$M$31),1)</f>
        <v>1</v>
      </c>
    </row>
    <row r="46" spans="1:42" ht="11.25" customHeight="1" x14ac:dyDescent="0.25">
      <c r="A46" s="134"/>
      <c r="B46" s="134"/>
      <c r="C46" s="134"/>
      <c r="D46" s="134"/>
      <c r="E46" s="134"/>
      <c r="F46" s="134"/>
      <c r="G46" s="21" t="s">
        <v>84</v>
      </c>
      <c r="H46" s="21" t="s">
        <v>71</v>
      </c>
      <c r="I46" s="21">
        <f>'MERCADO TUSD'!$U$43</f>
        <v>0</v>
      </c>
      <c r="J46" s="17"/>
      <c r="L46" s="19">
        <f>1*(1 - CUSTOS!$M$31)</f>
        <v>1</v>
      </c>
      <c r="M46" s="19">
        <f>IF(AND((+$I$17+$I$18+$I$19+$I$20+$I$21+$I$22+$I$23+$I$24+$I$25+$I$26+$I$27+$I$28+$I$29+$I$30+$I$31+$I$32+$I$33+$I$34+$I$35+$I$36+$I$37+$I$38+$I$39+$I$40+$I$41+$I$42+$I$43+$I$44+$I$45+$I$46+$I$47+$I$48+$I$49+$I$50+$I$51)&lt;&gt;0,SUMPRODUCT($I$5:$I$51,$AC$5:$AC$51,$AP$5:$AP$51)&lt;&gt;0),$M$56*SUMPRODUCT($I$17:$I$51,$AC$17:$AC$51,$AP$17:$AP$51)/SUMPRODUCT($I$5:$I$51,$AC$5:$AC$51,$AP$5:$AP$51)/(+$I$17+$I$18+$I$19+$I$20+$I$21+$I$22+$I$23+$I$24+$I$25+$I$26+$I$27+$I$28+$I$29+$I$30+$I$31+$I$32+$I$33+$I$34+$I$35+$I$36+$I$37+$I$38+$I$39+$I$40+$I$41+$I$42+$I$43+$I$44+$I$45+$I$46+$I$47+$I$48+$I$49+$I$50+$I$51),0)*(1 - CUSTOS!$M$31)</f>
        <v>2.9857979531516223</v>
      </c>
      <c r="N46" s="19">
        <f ca="1">(+M46+O46+R46+U46+V46+W46+X46+Y46+Z46+AA46+AC46+AH46+AI46+AJ46+AK46)*CUSTOS!$M$5</f>
        <v>5.383286004403237E-12</v>
      </c>
      <c r="O46" s="19">
        <f>1 - CUSTOS!$M$31</f>
        <v>1</v>
      </c>
      <c r="P46" s="19">
        <f>1 - CUSTOS!$M$31</f>
        <v>1</v>
      </c>
      <c r="Q46" s="19">
        <f>1*(1 - CUSTOS!$M$31)</f>
        <v>1</v>
      </c>
      <c r="R46" s="19">
        <f>1 - CUSTOS!$M$31</f>
        <v>1</v>
      </c>
      <c r="S46" s="19">
        <f>1 - CUSTOS!$M$31</f>
        <v>1</v>
      </c>
      <c r="T46" s="19"/>
      <c r="U46" s="19">
        <f>TRANSICAO!$U$46*CUSTOS!$T$3</f>
        <v>0</v>
      </c>
      <c r="V46" s="19">
        <f>TRANSICAO!$V$46*CUSTOS!$T$3</f>
        <v>0</v>
      </c>
      <c r="W46" s="19">
        <f>TRANSICAO!$W$46*CUSTOS!$T$3</f>
        <v>0</v>
      </c>
      <c r="X46" s="19">
        <f>TRANSICAO!$X$46*CUSTOS!$T$3</f>
        <v>0</v>
      </c>
      <c r="Y46" s="19">
        <f>TRANSICAO!$Y$46*CUSTOS!$T$3</f>
        <v>32.224699999999999</v>
      </c>
      <c r="Z46" s="19">
        <f>TRANSICAO!$Z$46*CUSTOS!$T$3</f>
        <v>0</v>
      </c>
      <c r="AA46" s="19">
        <f>TRANSICAO!$AA$46*CUSTOS!$T$3</f>
        <v>0</v>
      </c>
      <c r="AB46" s="19">
        <f>TRANSICAO!$AB$46*CUSTOS!$T$3</f>
        <v>0</v>
      </c>
      <c r="AC46" s="19">
        <f>TRANSICAO!$AC$46*CUSTOS!$T$3</f>
        <v>456.21609999999998</v>
      </c>
      <c r="AD46" s="19">
        <f>TRANSICAO!$AD$46*CUSTOS!$T$3</f>
        <v>0</v>
      </c>
      <c r="AE46" s="19">
        <v>0</v>
      </c>
      <c r="AF46" s="19">
        <v>0</v>
      </c>
      <c r="AG46" s="19"/>
      <c r="AH46" s="19">
        <f>(1 - CUSTOS!$M$31)*38.5532</f>
        <v>38.553199999999997</v>
      </c>
      <c r="AI46" s="19">
        <v>0</v>
      </c>
      <c r="AJ46" s="19">
        <f ca="1">$N$64*(1-CUSTOS!$M$31)</f>
        <v>3.1744012435860509</v>
      </c>
      <c r="AK46" s="19">
        <f t="shared" ca="1" si="0"/>
        <v>3.1744012435860509</v>
      </c>
      <c r="AL46" s="19"/>
      <c r="AM46" s="19"/>
      <c r="AP46" s="19">
        <f>IF((1 - CUSTOS!$M$31)&lt;&gt;0,1/(1 - CUSTOS!$M$31),1)</f>
        <v>1</v>
      </c>
    </row>
    <row r="47" spans="1:42" ht="11.25" customHeight="1" x14ac:dyDescent="0.25">
      <c r="A47" s="134"/>
      <c r="B47" s="134"/>
      <c r="C47" s="134"/>
      <c r="D47" s="134"/>
      <c r="E47" s="134"/>
      <c r="F47" s="134"/>
      <c r="G47" s="21" t="s">
        <v>73</v>
      </c>
      <c r="H47" s="21" t="s">
        <v>71</v>
      </c>
      <c r="I47" s="21">
        <f>'MERCADO TUSD'!$U$44</f>
        <v>0</v>
      </c>
      <c r="J47" s="17"/>
      <c r="L47" s="19">
        <f>1*(1 - CUSTOS!$M$31)</f>
        <v>1</v>
      </c>
      <c r="M47" s="19">
        <f>IF(AND((+$I$17+$I$18+$I$19+$I$20+$I$21+$I$22+$I$23+$I$24+$I$25+$I$26+$I$27+$I$28+$I$29+$I$30+$I$31+$I$32+$I$33+$I$34+$I$35+$I$36+$I$37+$I$38+$I$39+$I$40+$I$41+$I$42+$I$43+$I$44+$I$45+$I$46+$I$47+$I$48+$I$49+$I$50+$I$51)&lt;&gt;0,SUMPRODUCT($I$5:$I$51,$AC$5:$AC$51,$AP$5:$AP$51)&lt;&gt;0),$M$56*SUMPRODUCT($I$17:$I$51,$AC$17:$AC$51,$AP$17:$AP$51)/SUMPRODUCT($I$5:$I$51,$AC$5:$AC$51,$AP$5:$AP$51)/(+$I$17+$I$18+$I$19+$I$20+$I$21+$I$22+$I$23+$I$24+$I$25+$I$26+$I$27+$I$28+$I$29+$I$30+$I$31+$I$32+$I$33+$I$34+$I$35+$I$36+$I$37+$I$38+$I$39+$I$40+$I$41+$I$42+$I$43+$I$44+$I$45+$I$46+$I$47+$I$48+$I$49+$I$50+$I$51),0)*(1 - CUSTOS!$M$31)</f>
        <v>2.9857979531516223</v>
      </c>
      <c r="N47" s="19">
        <f ca="1">(+M47+O47+R47+U47+V47+W47+X47+Y47+Z47+AA47+AC47+AH47+AI47+AJ47+AK47)*CUSTOS!$M$5</f>
        <v>2.1270140044032376E-12</v>
      </c>
      <c r="O47" s="19">
        <f>1 - CUSTOS!$M$31</f>
        <v>1</v>
      </c>
      <c r="P47" s="19">
        <f>1 - CUSTOS!$M$31</f>
        <v>1</v>
      </c>
      <c r="Q47" s="19">
        <f>1*(1 - CUSTOS!$M$31)</f>
        <v>1</v>
      </c>
      <c r="R47" s="19">
        <f>1 - CUSTOS!$M$31</f>
        <v>1</v>
      </c>
      <c r="S47" s="19">
        <f>1 - CUSTOS!$M$31</f>
        <v>1</v>
      </c>
      <c r="T47" s="19"/>
      <c r="U47" s="19">
        <f>TRANSICAO!$U$47*CUSTOS!$T$3</f>
        <v>0</v>
      </c>
      <c r="V47" s="19">
        <f>TRANSICAO!$V$47*CUSTOS!$T$3</f>
        <v>0</v>
      </c>
      <c r="W47" s="19">
        <f>TRANSICAO!$W$47*CUSTOS!$T$3</f>
        <v>0</v>
      </c>
      <c r="X47" s="19">
        <f>TRANSICAO!$X$47*CUSTOS!$T$3</f>
        <v>0</v>
      </c>
      <c r="Y47" s="19">
        <f>TRANSICAO!$Y$47*CUSTOS!$T$3</f>
        <v>10.7416</v>
      </c>
      <c r="Z47" s="19">
        <f>TRANSICAO!$Z$47*CUSTOS!$T$3</f>
        <v>0</v>
      </c>
      <c r="AA47" s="19">
        <f>TRANSICAO!$AA$47*CUSTOS!$T$3</f>
        <v>0</v>
      </c>
      <c r="AB47" s="19">
        <f>TRANSICAO!$AB$47*CUSTOS!$T$3</f>
        <v>0</v>
      </c>
      <c r="AC47" s="19">
        <f>TRANSICAO!$AC$47*CUSTOS!$T$3</f>
        <v>152.072</v>
      </c>
      <c r="AD47" s="19">
        <f>TRANSICAO!$AD$47*CUSTOS!$T$3</f>
        <v>0</v>
      </c>
      <c r="AE47" s="19">
        <v>0</v>
      </c>
      <c r="AF47" s="19">
        <v>0</v>
      </c>
      <c r="AG47" s="19"/>
      <c r="AH47" s="19">
        <f>(1 - CUSTOS!$M$31)*38.5532</f>
        <v>38.553199999999997</v>
      </c>
      <c r="AI47" s="19">
        <v>0</v>
      </c>
      <c r="AJ47" s="19">
        <f ca="1">$N$64*(1-CUSTOS!$M$31)</f>
        <v>3.1744012435860509</v>
      </c>
      <c r="AK47" s="19">
        <f t="shared" ca="1" si="0"/>
        <v>3.1744012435860509</v>
      </c>
      <c r="AL47" s="19"/>
      <c r="AM47" s="19"/>
      <c r="AP47" s="19">
        <f>IF((1 - CUSTOS!$M$31)&lt;&gt;0,1/(1 - CUSTOS!$M$31),1)</f>
        <v>1</v>
      </c>
    </row>
    <row r="48" spans="1:42" ht="11.25" customHeight="1" x14ac:dyDescent="0.25">
      <c r="A48" s="134"/>
      <c r="B48" s="22" t="s">
        <v>23</v>
      </c>
      <c r="C48" s="22" t="s">
        <v>25</v>
      </c>
      <c r="D48" s="22" t="s">
        <v>25</v>
      </c>
      <c r="E48" s="22" t="s">
        <v>25</v>
      </c>
      <c r="F48" s="22" t="s">
        <v>25</v>
      </c>
      <c r="G48" s="21" t="s">
        <v>75</v>
      </c>
      <c r="H48" s="21" t="s">
        <v>71</v>
      </c>
      <c r="I48" s="21">
        <f>'MERCADO TUSD'!$U$45</f>
        <v>4622.2640000000001</v>
      </c>
      <c r="J48" s="17"/>
      <c r="L48" s="19">
        <f>1*(1 - CUSTOS!$M$31)</f>
        <v>1</v>
      </c>
      <c r="M48" s="19">
        <f>IF(AND((+$I$17+$I$18+$I$19+$I$20+$I$21+$I$22+$I$23+$I$24+$I$25+$I$26+$I$27+$I$28+$I$29+$I$30+$I$31+$I$32+$I$33+$I$34+$I$35+$I$36+$I$37+$I$38+$I$39+$I$40+$I$41+$I$42+$I$43+$I$44+$I$45+$I$46+$I$47+$I$48+$I$49+$I$50+$I$51)&lt;&gt;0,SUMPRODUCT($I$5:$I$51,$AC$5:$AC$51,$AP$5:$AP$51)&lt;&gt;0),$M$56*SUMPRODUCT($I$17:$I$51,$AC$17:$AC$51,$AP$17:$AP$51)/SUMPRODUCT($I$5:$I$51,$AC$5:$AC$51,$AP$5:$AP$51)/(+$I$17+$I$18+$I$19+$I$20+$I$21+$I$22+$I$23+$I$24+$I$25+$I$26+$I$27+$I$28+$I$29+$I$30+$I$31+$I$32+$I$33+$I$34+$I$35+$I$36+$I$37+$I$38+$I$39+$I$40+$I$41+$I$42+$I$43+$I$44+$I$45+$I$46+$I$47+$I$48+$I$49+$I$50+$I$51),0)*(1 - CUSTOS!$M$31)</f>
        <v>2.9857979531516223</v>
      </c>
      <c r="N48" s="19">
        <f ca="1">(+M48+O48+R48+U48+V48+W48+X48+Y48+Z48+AA48+AC48+AH48+AI48+AJ48+AK48)*CUSTOS!$M$5</f>
        <v>3.167954004403237E-12</v>
      </c>
      <c r="O48" s="19">
        <f>1 - CUSTOS!$M$31</f>
        <v>1</v>
      </c>
      <c r="P48" s="19">
        <f>1 - CUSTOS!$M$31</f>
        <v>1</v>
      </c>
      <c r="Q48" s="19">
        <f>1*(1 - CUSTOS!$M$31)</f>
        <v>1</v>
      </c>
      <c r="R48" s="19">
        <f>1 - CUSTOS!$M$31</f>
        <v>1</v>
      </c>
      <c r="S48" s="19">
        <f>1 - CUSTOS!$M$31</f>
        <v>1</v>
      </c>
      <c r="T48" s="19"/>
      <c r="U48" s="19">
        <f>TRANSICAO!$U$48*CUSTOS!$T$3</f>
        <v>0</v>
      </c>
      <c r="V48" s="19">
        <f>TRANSICAO!$V$48*CUSTOS!$T$3</f>
        <v>0</v>
      </c>
      <c r="W48" s="19">
        <f>TRANSICAO!$W$48*CUSTOS!$T$3</f>
        <v>0</v>
      </c>
      <c r="X48" s="19">
        <f>TRANSICAO!$X$48*CUSTOS!$T$3</f>
        <v>0</v>
      </c>
      <c r="Y48" s="19">
        <f>TRANSICAO!$Y$48*CUSTOS!$T$3</f>
        <v>17.609100000000002</v>
      </c>
      <c r="Z48" s="19">
        <f>TRANSICAO!$Z$48*CUSTOS!$T$3</f>
        <v>0</v>
      </c>
      <c r="AA48" s="19">
        <f>TRANSICAO!$AA$48*CUSTOS!$T$3</f>
        <v>0</v>
      </c>
      <c r="AB48" s="19">
        <f>TRANSICAO!$AB$48*CUSTOS!$T$3</f>
        <v>0</v>
      </c>
      <c r="AC48" s="19">
        <f>TRANSICAO!$AC$48*CUSTOS!$T$3</f>
        <v>249.29849999999999</v>
      </c>
      <c r="AD48" s="19">
        <f>TRANSICAO!$AD$48*CUSTOS!$T$3</f>
        <v>0</v>
      </c>
      <c r="AE48" s="19">
        <v>0</v>
      </c>
      <c r="AF48" s="19">
        <v>0</v>
      </c>
      <c r="AG48" s="19"/>
      <c r="AH48" s="19">
        <f>(1 - CUSTOS!$M$31)*38.5532</f>
        <v>38.553199999999997</v>
      </c>
      <c r="AI48" s="19">
        <v>0</v>
      </c>
      <c r="AJ48" s="19">
        <f ca="1">$N$64*(1-CUSTOS!$M$31)</f>
        <v>3.1744012435860509</v>
      </c>
      <c r="AK48" s="19">
        <f t="shared" ca="1" si="0"/>
        <v>3.1744012435860509</v>
      </c>
      <c r="AL48" s="19"/>
      <c r="AM48" s="19"/>
      <c r="AP48" s="19">
        <f>IF((1 - CUSTOS!$M$31)&lt;&gt;0,1/(1 - CUSTOS!$M$31),1)</f>
        <v>1</v>
      </c>
    </row>
    <row r="49" spans="1:42" ht="11.25" customHeight="1" x14ac:dyDescent="0.25">
      <c r="A49" s="134"/>
      <c r="B49" s="22" t="s">
        <v>86</v>
      </c>
      <c r="C49" s="22" t="s">
        <v>25</v>
      </c>
      <c r="D49" s="22" t="s">
        <v>25</v>
      </c>
      <c r="E49" s="22" t="s">
        <v>25</v>
      </c>
      <c r="F49" s="22" t="s">
        <v>25</v>
      </c>
      <c r="G49" s="21" t="s">
        <v>75</v>
      </c>
      <c r="H49" s="21" t="s">
        <v>71</v>
      </c>
      <c r="I49" s="21">
        <f>'MERCADO TUSD'!$U$46</f>
        <v>0</v>
      </c>
      <c r="J49" s="17"/>
      <c r="L49" s="19">
        <f>1*(1 - CUSTOS!$M$31)</f>
        <v>1</v>
      </c>
      <c r="M49" s="19">
        <f>IF(AND((+$I$17+$I$18+$I$19+$I$20+$I$21+$I$22+$I$23+$I$24+$I$25+$I$26+$I$27+$I$28+$I$29+$I$30+$I$31+$I$32+$I$33+$I$34+$I$35+$I$36+$I$37+$I$38+$I$39+$I$40+$I$41+$I$42+$I$43+$I$44+$I$45+$I$46+$I$47+$I$48+$I$49+$I$50+$I$51)&lt;&gt;0,SUMPRODUCT($I$5:$I$51,$AC$5:$AC$51,$AP$5:$AP$51)&lt;&gt;0),$M$56*SUMPRODUCT($I$17:$I$51,$AC$17:$AC$51,$AP$17:$AP$51)/SUMPRODUCT($I$5:$I$51,$AC$5:$AC$51,$AP$5:$AP$51)/(+$I$17+$I$18+$I$19+$I$20+$I$21+$I$22+$I$23+$I$24+$I$25+$I$26+$I$27+$I$28+$I$29+$I$30+$I$31+$I$32+$I$33+$I$34+$I$35+$I$36+$I$37+$I$38+$I$39+$I$40+$I$41+$I$42+$I$43+$I$44+$I$45+$I$46+$I$47+$I$48+$I$49+$I$50+$I$51),0)*(1 - CUSTOS!$M$31)</f>
        <v>2.9857979531516223</v>
      </c>
      <c r="N49" s="19">
        <f ca="1">(+M49+O49+R49+U49+V49+W49+X49+Y49+Z49+AA49+AC49+AH49+AI49+AJ49+AK49)*CUSTOS!$M$5</f>
        <v>3.167954004403237E-12</v>
      </c>
      <c r="O49" s="19">
        <f>1 - CUSTOS!$M$31</f>
        <v>1</v>
      </c>
      <c r="P49" s="19">
        <f>1 - CUSTOS!$M$31</f>
        <v>1</v>
      </c>
      <c r="Q49" s="19">
        <f>1*(1 - CUSTOS!$M$31)</f>
        <v>1</v>
      </c>
      <c r="R49" s="19">
        <f>1 - CUSTOS!$M$31</f>
        <v>1</v>
      </c>
      <c r="S49" s="19">
        <f>1 - CUSTOS!$M$31</f>
        <v>1</v>
      </c>
      <c r="T49" s="19"/>
      <c r="U49" s="19">
        <f>TRANSICAO!$U$49*CUSTOS!$T$3</f>
        <v>0</v>
      </c>
      <c r="V49" s="19">
        <f>TRANSICAO!$V$49*CUSTOS!$T$3</f>
        <v>0</v>
      </c>
      <c r="W49" s="19">
        <f>TRANSICAO!$W$49*CUSTOS!$T$3</f>
        <v>0</v>
      </c>
      <c r="X49" s="19">
        <f>TRANSICAO!$X$49*CUSTOS!$T$3</f>
        <v>0</v>
      </c>
      <c r="Y49" s="19">
        <f>TRANSICAO!$Y$49*CUSTOS!$T$3</f>
        <v>17.609100000000002</v>
      </c>
      <c r="Z49" s="19">
        <f>TRANSICAO!$Z$49*CUSTOS!$T$3</f>
        <v>0</v>
      </c>
      <c r="AA49" s="19">
        <f>TRANSICAO!$AA$49*CUSTOS!$T$3</f>
        <v>0</v>
      </c>
      <c r="AB49" s="19">
        <f>TRANSICAO!$AB$49*CUSTOS!$T$3</f>
        <v>0</v>
      </c>
      <c r="AC49" s="19">
        <f>TRANSICAO!$AC$49*CUSTOS!$T$3</f>
        <v>249.29849999999999</v>
      </c>
      <c r="AD49" s="19">
        <f>TRANSICAO!$AD$49*CUSTOS!$T$3</f>
        <v>0</v>
      </c>
      <c r="AE49" s="19">
        <v>0</v>
      </c>
      <c r="AF49" s="19">
        <v>0</v>
      </c>
      <c r="AG49" s="19"/>
      <c r="AH49" s="19">
        <f>(1 - CUSTOS!$M$31)*38.5532</f>
        <v>38.553199999999997</v>
      </c>
      <c r="AI49" s="19">
        <v>0</v>
      </c>
      <c r="AJ49" s="19">
        <f ca="1">$N$64*(1-CUSTOS!$M$31)</f>
        <v>3.1744012435860509</v>
      </c>
      <c r="AK49" s="19">
        <f t="shared" ca="1" si="0"/>
        <v>3.1744012435860509</v>
      </c>
      <c r="AL49" s="19"/>
      <c r="AM49" s="19"/>
      <c r="AP49" s="19">
        <f>IF((1 - CUSTOS!$M$31)&lt;&gt;0,1/(1 - CUSTOS!$M$31),1)</f>
        <v>1</v>
      </c>
    </row>
    <row r="50" spans="1:42" ht="11.25" customHeight="1" x14ac:dyDescent="0.25">
      <c r="A50" s="134" t="s">
        <v>46</v>
      </c>
      <c r="B50" s="134" t="s">
        <v>23</v>
      </c>
      <c r="C50" s="134" t="s">
        <v>47</v>
      </c>
      <c r="D50" s="22" t="s">
        <v>48</v>
      </c>
      <c r="E50" s="22" t="s">
        <v>25</v>
      </c>
      <c r="F50" s="22" t="s">
        <v>25</v>
      </c>
      <c r="G50" s="21" t="s">
        <v>75</v>
      </c>
      <c r="H50" s="21" t="s">
        <v>71</v>
      </c>
      <c r="I50" s="21">
        <f>'MERCADO TUSD'!$U$47</f>
        <v>3347.1679999999992</v>
      </c>
      <c r="J50" s="17"/>
      <c r="L50" s="19">
        <f>1*(1 - CUSTOS!$M$32)</f>
        <v>0.55000000000000004</v>
      </c>
      <c r="M50" s="19">
        <f>IF(AND((+$I$17+$I$18+$I$19+$I$20+$I$21+$I$22+$I$23+$I$24+$I$25+$I$26+$I$27+$I$28+$I$29+$I$30+$I$31+$I$32+$I$33+$I$34+$I$35+$I$36+$I$37+$I$38+$I$39+$I$40+$I$41+$I$42+$I$43+$I$44+$I$45+$I$46+$I$47+$I$48+$I$49+$I$50+$I$51)&lt;&gt;0,SUMPRODUCT($I$5:$I$51,$AC$5:$AC$51,$AP$5:$AP$51)&lt;&gt;0),$M$56*SUMPRODUCT($I$17:$I$51,$AC$17:$AC$51,$AP$17:$AP$51)/SUMPRODUCT($I$5:$I$51,$AC$5:$AC$51,$AP$5:$AP$51)/(+$I$17+$I$18+$I$19+$I$20+$I$21+$I$22+$I$23+$I$24+$I$25+$I$26+$I$27+$I$28+$I$29+$I$30+$I$31+$I$32+$I$33+$I$34+$I$35+$I$36+$I$37+$I$38+$I$39+$I$40+$I$41+$I$42+$I$43+$I$44+$I$45+$I$46+$I$47+$I$48+$I$49+$I$50+$I$51),0)*(1 - CUSTOS!$M$32)</f>
        <v>1.6421888742333923</v>
      </c>
      <c r="N50" s="19">
        <f ca="1">(+M50+O50+R50+U50+V50+W50+X50+Y50+Z50+AA50+AC50+AH50+AI50+AJ50+AK50)*CUSTOS!$M$5</f>
        <v>1.7423747024217803E-12</v>
      </c>
      <c r="O50" s="19">
        <f>1 - CUSTOS!$M$32</f>
        <v>0.55000000000000004</v>
      </c>
      <c r="P50" s="19">
        <f>1 - CUSTOS!$M$32</f>
        <v>0.55000000000000004</v>
      </c>
      <c r="Q50" s="19">
        <f>1*(1 - CUSTOS!$M$32)</f>
        <v>0.55000000000000004</v>
      </c>
      <c r="R50" s="19">
        <f>1 - CUSTOS!$M$32</f>
        <v>0.55000000000000004</v>
      </c>
      <c r="S50" s="19">
        <f>1 - CUSTOS!$M$32</f>
        <v>0.55000000000000004</v>
      </c>
      <c r="T50" s="19"/>
      <c r="U50" s="19">
        <f>TRANSICAO!$U$50*CUSTOS!$T$3</f>
        <v>0</v>
      </c>
      <c r="V50" s="19">
        <f>TRANSICAO!$V$50*CUSTOS!$T$3</f>
        <v>0</v>
      </c>
      <c r="W50" s="19">
        <f>TRANSICAO!$W$50*CUSTOS!$T$3</f>
        <v>0</v>
      </c>
      <c r="X50" s="19">
        <f>TRANSICAO!$X$50*CUSTOS!$T$3</f>
        <v>0</v>
      </c>
      <c r="Y50" s="19">
        <f>TRANSICAO!$Y$50*CUSTOS!$T$3</f>
        <v>9.6850050000000021</v>
      </c>
      <c r="Z50" s="19">
        <f>TRANSICAO!$Z$50*CUSTOS!$T$3</f>
        <v>0</v>
      </c>
      <c r="AA50" s="19">
        <f>TRANSICAO!$AA$50*CUSTOS!$T$3</f>
        <v>0</v>
      </c>
      <c r="AB50" s="19">
        <f>TRANSICAO!$AB$50*CUSTOS!$T$3</f>
        <v>0</v>
      </c>
      <c r="AC50" s="19">
        <f>TRANSICAO!$AC$50*CUSTOS!$T$3</f>
        <v>137.11417500000002</v>
      </c>
      <c r="AD50" s="19">
        <f>TRANSICAO!$AD$50*CUSTOS!$T$3</f>
        <v>0</v>
      </c>
      <c r="AE50" s="19">
        <v>0</v>
      </c>
      <c r="AF50" s="19">
        <v>0</v>
      </c>
      <c r="AG50" s="19"/>
      <c r="AH50" s="19">
        <f>(1 - CUSTOS!$M$32)*38.5532</f>
        <v>21.204260000000001</v>
      </c>
      <c r="AI50" s="19">
        <v>0</v>
      </c>
      <c r="AJ50" s="19">
        <f ca="1">$N$64*(1-CUSTOS!$M$32)</f>
        <v>1.7459206839723282</v>
      </c>
      <c r="AK50" s="19">
        <f t="shared" ca="1" si="0"/>
        <v>1.7459206839723282</v>
      </c>
      <c r="AL50" s="19"/>
      <c r="AM50" s="19"/>
      <c r="AP50" s="19">
        <f>IF((1 - CUSTOS!$M$32)&lt;&gt;0,1/(1 - CUSTOS!$M$32),1)</f>
        <v>1.8181818181818181</v>
      </c>
    </row>
    <row r="51" spans="1:42" ht="11.25" customHeight="1" x14ac:dyDescent="0.25">
      <c r="A51" s="134"/>
      <c r="B51" s="134"/>
      <c r="C51" s="134"/>
      <c r="D51" s="21" t="s">
        <v>89</v>
      </c>
      <c r="E51" s="21" t="s">
        <v>25</v>
      </c>
      <c r="F51" s="21" t="s">
        <v>25</v>
      </c>
      <c r="G51" s="21" t="s">
        <v>75</v>
      </c>
      <c r="H51" s="21" t="s">
        <v>71</v>
      </c>
      <c r="I51" s="21">
        <f>'MERCADO TUSD'!$U$48</f>
        <v>0</v>
      </c>
      <c r="J51" s="17"/>
      <c r="L51" s="19">
        <f>1*(1 - CUSTOS!$M$33)</f>
        <v>0.6</v>
      </c>
      <c r="M51" s="19">
        <f>IF(AND((+$I$17+$I$18+$I$19+$I$20+$I$21+$I$22+$I$23+$I$24+$I$25+$I$26+$I$27+$I$28+$I$29+$I$30+$I$31+$I$32+$I$33+$I$34+$I$35+$I$36+$I$37+$I$38+$I$39+$I$40+$I$41+$I$42+$I$43+$I$44+$I$45+$I$46+$I$47+$I$48+$I$49+$I$50+$I$51)&lt;&gt;0,SUMPRODUCT($I$5:$I$51,$AC$5:$AC$51,$AP$5:$AP$51)&lt;&gt;0),$M$56*SUMPRODUCT($I$17:$I$51,$AC$17:$AC$51,$AP$17:$AP$51)/SUMPRODUCT($I$5:$I$51,$AC$5:$AC$51,$AP$5:$AP$51)/(+$I$17+$I$18+$I$19+$I$20+$I$21+$I$22+$I$23+$I$24+$I$25+$I$26+$I$27+$I$28+$I$29+$I$30+$I$31+$I$32+$I$33+$I$34+$I$35+$I$36+$I$37+$I$38+$I$39+$I$40+$I$41+$I$42+$I$43+$I$44+$I$45+$I$46+$I$47+$I$48+$I$49+$I$50+$I$51),0)*(1 - CUSTOS!$M$33)</f>
        <v>1.7914787718909733</v>
      </c>
      <c r="N51" s="19">
        <f ca="1">(+M51+O51+R51+U51+V51+W51+X51+Y51+Z51+AA51+AC51+AH51+AI51+AJ51+AK51)*CUSTOS!$M$5</f>
        <v>1.9007724026419425E-12</v>
      </c>
      <c r="O51" s="19">
        <f>1 - CUSTOS!$M$33</f>
        <v>0.6</v>
      </c>
      <c r="P51" s="19">
        <f>1 - CUSTOS!$M$33</f>
        <v>0.6</v>
      </c>
      <c r="Q51" s="19">
        <f>1*(1 - CUSTOS!$M$33)</f>
        <v>0.6</v>
      </c>
      <c r="R51" s="19">
        <f>1 - CUSTOS!$M$33</f>
        <v>0.6</v>
      </c>
      <c r="S51" s="19">
        <f>1 - CUSTOS!$M$33</f>
        <v>0.6</v>
      </c>
      <c r="T51" s="19"/>
      <c r="U51" s="19">
        <f>TRANSICAO!$U$51*CUSTOS!$T$3</f>
        <v>0</v>
      </c>
      <c r="V51" s="19">
        <f>TRANSICAO!$V$51*CUSTOS!$T$3</f>
        <v>0</v>
      </c>
      <c r="W51" s="19">
        <f>TRANSICAO!$W$51*CUSTOS!$T$3</f>
        <v>0</v>
      </c>
      <c r="X51" s="19">
        <f>TRANSICAO!$X$51*CUSTOS!$T$3</f>
        <v>0</v>
      </c>
      <c r="Y51" s="19">
        <f>TRANSICAO!$Y$51*CUSTOS!$T$3</f>
        <v>10.56546</v>
      </c>
      <c r="Z51" s="19">
        <f>TRANSICAO!$Z$51*CUSTOS!$T$3</f>
        <v>0</v>
      </c>
      <c r="AA51" s="19">
        <f>TRANSICAO!$AA$51*CUSTOS!$T$3</f>
        <v>0</v>
      </c>
      <c r="AB51" s="19">
        <f>TRANSICAO!$AB$51*CUSTOS!$T$3</f>
        <v>0</v>
      </c>
      <c r="AC51" s="19">
        <f>TRANSICAO!$AC$51*CUSTOS!$T$3</f>
        <v>149.57909999999998</v>
      </c>
      <c r="AD51" s="19">
        <f>TRANSICAO!$AD$51*CUSTOS!$T$3</f>
        <v>0</v>
      </c>
      <c r="AE51" s="19">
        <v>0</v>
      </c>
      <c r="AF51" s="19">
        <v>0</v>
      </c>
      <c r="AG51" s="19"/>
      <c r="AH51" s="19">
        <f>(1 - CUSTOS!$M$33)*38.5532</f>
        <v>23.131919999999997</v>
      </c>
      <c r="AI51" s="19">
        <v>0</v>
      </c>
      <c r="AJ51" s="19">
        <f ca="1">$N$64*(1-CUSTOS!$M$33)</f>
        <v>1.9046407461516304</v>
      </c>
      <c r="AK51" s="19">
        <f t="shared" ca="1" si="0"/>
        <v>1.9046407461516304</v>
      </c>
      <c r="AL51" s="19"/>
      <c r="AM51" s="19"/>
      <c r="AP51" s="19">
        <f>IF((1 - CUSTOS!$M$33)&lt;&gt;0,1/(1 - CUSTOS!$M$33),1)</f>
        <v>1.6666666666666667</v>
      </c>
    </row>
    <row r="53" spans="1:42" ht="11.25" customHeight="1" x14ac:dyDescent="0.25">
      <c r="K53" s="18" t="s">
        <v>548</v>
      </c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M53" s="19"/>
    </row>
    <row r="54" spans="1:42" ht="11.25" customHeight="1" x14ac:dyDescent="0.25">
      <c r="K54" s="18" t="s">
        <v>549</v>
      </c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19"/>
    </row>
    <row r="55" spans="1:42" ht="11.25" customHeight="1" x14ac:dyDescent="0.25">
      <c r="K55" s="18" t="s">
        <v>550</v>
      </c>
      <c r="L55" s="19">
        <f>IF(ISERROR(+SUMPRODUCT($L$5:$L$8,$I$5:$I$8)+SUMPRODUCT($L$9:$L$9,$I$9:$I$9)+SUMPRODUCT($L$10:$L$14,$I$10:$I$14)+SUMPRODUCT($L$15:$L$16,$I$15:$I$16)+SUMPRODUCT($L$17:$L$19,$I$17:$I$19)+SUMPRODUCT($L$20:$L$24,$I$20:$I$24)+SUMPRODUCT($L$25:$L$29,$I$25:$I$29)+SUMPRODUCT($L$30:$L$32,$I$30:$I$32)+SUMPRODUCT($L$33:$L$33,$I$33:$I$33)+SUMPRODUCT($L$34:$L$36,$I$34:$I$36)+SUMPRODUCT($L$37:$L$37,$I$37:$I$37)+SUMPRODUCT($L$38:$L$40,$I$38:$I$40)+SUMPRODUCT($L$41:$L$41,$I$41:$I$41)+SUMPRODUCT($L$42:$L$44,$I$42:$I$44)+SUMPRODUCT($L$45:$L$47,$I$45:$I$47)+SUMPRODUCT($L$48:$L$48,$I$48:$I$48)+SUMPRODUCT($L$49:$L$49,$I$49:$I$49)+SUMPRODUCT($L$50:$L$51,$I$50:$I$51)),0,+SUMPRODUCT($L$5:$L$8,$I$5:$I$8)+SUMPRODUCT($L$9:$L$9,$I$9:$I$9)+SUMPRODUCT($L$10:$L$14,$I$10:$I$14)+SUMPRODUCT($L$15:$L$16,$I$15:$I$16)+SUMPRODUCT($L$17:$L$19,$I$17:$I$19)+SUMPRODUCT($L$20:$L$24,$I$20:$I$24)+SUMPRODUCT($L$25:$L$29,$I$25:$I$29)+SUMPRODUCT($L$30:$L$32,$I$30:$I$32)+SUMPRODUCT($L$33:$L$33,$I$33:$I$33)+SUMPRODUCT($L$34:$L$36,$I$34:$I$36)+SUMPRODUCT($L$37:$L$37,$I$37:$I$37)+SUMPRODUCT($L$38:$L$40,$I$38:$I$40)+SUMPRODUCT($L$41:$L$41,$I$41:$I$41)+SUMPRODUCT($L$42:$L$44,$I$42:$I$44)+SUMPRODUCT($L$45:$L$47,$I$45:$I$47)+SUMPRODUCT($L$48:$L$48,$I$48:$I$48)+SUMPRODUCT($L$49:$L$49,$I$49:$I$49)+SUMPRODUCT($L$50:$L$51,$I$50:$I$51))</f>
        <v>39684.072800000002</v>
      </c>
      <c r="M55" s="19">
        <f>IF(ISERROR(+SUMPRODUCT($M$5:$M$8,$I$5:$I$8)+SUMPRODUCT($M$9:$M$9,$I$9:$I$9)+SUMPRODUCT($M$10:$M$14,$I$10:$I$14)+SUMPRODUCT($M$15:$M$16,$I$15:$I$16)+SUMPRODUCT($M$17:$M$19,$I$17:$I$19)+SUMPRODUCT($M$20:$M$24,$I$20:$I$24)+SUMPRODUCT($M$25:$M$29,$I$25:$I$29)+SUMPRODUCT($M$30:$M$32,$I$30:$I$32)+SUMPRODUCT($M$33:$M$33,$I$33:$I$33)+SUMPRODUCT($M$34:$M$36,$I$34:$I$36)+SUMPRODUCT($M$37:$M$37,$I$37:$I$37)+SUMPRODUCT($M$38:$M$40,$I$38:$I$40)+SUMPRODUCT($M$41:$M$41,$I$41:$I$41)+SUMPRODUCT($M$42:$M$44,$I$42:$I$44)+SUMPRODUCT($M$45:$M$47,$I$45:$I$47)+SUMPRODUCT($M$48:$M$48,$I$48:$I$48)+SUMPRODUCT($M$49:$M$49,$I$49:$I$49)+SUMPRODUCT($M$50:$M$51,$I$50:$I$51)),0,+SUMPRODUCT($M$5:$M$8,$I$5:$I$8)+SUMPRODUCT($M$9:$M$9,$I$9:$I$9)+SUMPRODUCT($M$10:$M$14,$I$10:$I$14)+SUMPRODUCT($M$15:$M$16,$I$15:$I$16)+SUMPRODUCT($M$17:$M$19,$I$17:$I$19)+SUMPRODUCT($M$20:$M$24,$I$20:$I$24)+SUMPRODUCT($M$25:$M$29,$I$25:$I$29)+SUMPRODUCT($M$30:$M$32,$I$30:$I$32)+SUMPRODUCT($M$33:$M$33,$I$33:$I$33)+SUMPRODUCT($M$34:$M$36,$I$34:$I$36)+SUMPRODUCT($M$37:$M$37,$I$37:$I$37)+SUMPRODUCT($M$38:$M$40,$I$38:$I$40)+SUMPRODUCT($M$41:$M$41,$I$41:$I$41)+SUMPRODUCT($M$42:$M$44,$I$42:$I$44)+SUMPRODUCT($M$45:$M$47,$I$45:$I$47)+SUMPRODUCT($M$48:$M$48,$I$48:$I$48)+SUMPRODUCT($M$49:$M$49,$I$49:$I$49)+SUMPRODUCT($M$50:$M$51,$I$50:$I$51))</f>
        <v>118013.46397918182</v>
      </c>
      <c r="N55" s="19">
        <f ca="1">IF(ISERROR(+SUMPRODUCT($N$5:$N$8,$I$5:$I$8)+SUMPRODUCT($N$9:$N$9,$I$9:$I$9)+SUMPRODUCT($N$10:$N$14,$I$10:$I$14)+SUMPRODUCT($N$15:$N$16,$I$15:$I$16)+SUMPRODUCT($N$17:$N$19,$I$17:$I$19)+SUMPRODUCT($N$20:$N$24,$I$20:$I$24)+SUMPRODUCT($N$25:$N$29,$I$25:$I$29)+SUMPRODUCT($N$30:$N$32,$I$30:$I$32)+SUMPRODUCT($N$33:$N$33,$I$33:$I$33)+SUMPRODUCT($N$34:$N$36,$I$34:$I$36)+SUMPRODUCT($N$37:$N$37,$I$37:$I$37)+SUMPRODUCT($N$38:$N$40,$I$38:$I$40)+SUMPRODUCT($N$41:$N$41,$I$41:$I$41)+SUMPRODUCT($N$42:$N$44,$I$42:$I$44)+SUMPRODUCT($N$45:$N$47,$I$45:$I$47)+SUMPRODUCT($N$48:$N$48,$I$48:$I$48)+SUMPRODUCT($N$49:$N$49,$I$49:$I$49)+SUMPRODUCT($N$50:$N$51,$I$50:$I$51)),0,+SUMPRODUCT($N$5:$N$8,$I$5:$I$8)+SUMPRODUCT($N$9:$N$9,$I$9:$I$9)+SUMPRODUCT($N$10:$N$14,$I$10:$I$14)+SUMPRODUCT($N$15:$N$16,$I$15:$I$16)+SUMPRODUCT($N$17:$N$19,$I$17:$I$19)+SUMPRODUCT($N$20:$N$24,$I$20:$I$24)+SUMPRODUCT($N$25:$N$29,$I$25:$I$29)+SUMPRODUCT($N$30:$N$32,$I$30:$I$32)+SUMPRODUCT($N$33:$N$33,$I$33:$I$33)+SUMPRODUCT($N$34:$N$36,$I$34:$I$36)+SUMPRODUCT($N$37:$N$37,$I$37:$I$37)+SUMPRODUCT($N$38:$N$40,$I$38:$I$40)+SUMPRODUCT($N$41:$N$41,$I$41:$I$41)+SUMPRODUCT($N$42:$N$44,$I$42:$I$44)+SUMPRODUCT($N$45:$N$47,$I$45:$I$47)+SUMPRODUCT($N$48:$N$48,$I$48:$I$48)+SUMPRODUCT($N$49:$N$49,$I$49:$I$49)+SUMPRODUCT($N$50:$N$51,$I$50:$I$51))</f>
        <v>1.2174341590101465E-7</v>
      </c>
      <c r="O55" s="19">
        <f>IF(ISERROR(+SUMPRODUCT($O$5:$O$8,$I$5:$I$8)+SUMPRODUCT($O$9:$O$9,$I$9:$I$9)+SUMPRODUCT($O$10:$O$14,$I$10:$I$14)+SUMPRODUCT($O$15:$O$16,$I$15:$I$16)+SUMPRODUCT($O$17:$O$19,$I$17:$I$19)+SUMPRODUCT($O$20:$O$24,$I$20:$I$24)+SUMPRODUCT($O$25:$O$29,$I$25:$I$29)+SUMPRODUCT($O$30:$O$32,$I$30:$I$32)+SUMPRODUCT($O$33:$O$33,$I$33:$I$33)+SUMPRODUCT($O$34:$O$36,$I$34:$I$36)+SUMPRODUCT($O$37:$O$37,$I$37:$I$37)+SUMPRODUCT($O$38:$O$40,$I$38:$I$40)+SUMPRODUCT($O$41:$O$41,$I$41:$I$41)+SUMPRODUCT($O$42:$O$44,$I$42:$I$44)+SUMPRODUCT($O$45:$O$47,$I$45:$I$47)+SUMPRODUCT($O$48:$O$48,$I$48:$I$48)+SUMPRODUCT($O$49:$O$49,$I$49:$I$49)+SUMPRODUCT($O$50:$O$51,$I$50:$I$51)),0,+SUMPRODUCT($O$5:$O$8,$I$5:$I$8)+SUMPRODUCT($O$9:$O$9,$I$9:$I$9)+SUMPRODUCT($O$10:$O$14,$I$10:$I$14)+SUMPRODUCT($O$15:$O$16,$I$15:$I$16)+SUMPRODUCT($O$17:$O$19,$I$17:$I$19)+SUMPRODUCT($O$20:$O$24,$I$20:$I$24)+SUMPRODUCT($O$25:$O$29,$I$25:$I$29)+SUMPRODUCT($O$30:$O$32,$I$30:$I$32)+SUMPRODUCT($O$33:$O$33,$I$33:$I$33)+SUMPRODUCT($O$34:$O$36,$I$34:$I$36)+SUMPRODUCT($O$37:$O$37,$I$37:$I$37)+SUMPRODUCT($O$38:$O$40,$I$38:$I$40)+SUMPRODUCT($O$41:$O$41,$I$41:$I$41)+SUMPRODUCT($O$42:$O$44,$I$42:$I$44)+SUMPRODUCT($O$45:$O$47,$I$45:$I$47)+SUMPRODUCT($O$48:$O$48,$I$48:$I$48)+SUMPRODUCT($O$49:$O$49,$I$49:$I$49)+SUMPRODUCT($O$50:$O$51,$I$50:$I$51))</f>
        <v>41457.3534</v>
      </c>
      <c r="P55" s="19">
        <f>IF(ISERROR(+SUMPRODUCT($P$5:$P$8,$I$5:$I$8)+SUMPRODUCT($P$9:$P$9,$I$9:$I$9)+SUMPRODUCT($P$10:$P$14,$I$10:$I$14)+SUMPRODUCT($P$15:$P$16,$I$15:$I$16)+SUMPRODUCT($P$17:$P$19,$I$17:$I$19)+SUMPRODUCT($P$20:$P$24,$I$20:$I$24)+SUMPRODUCT($P$25:$P$29,$I$25:$I$29)+SUMPRODUCT($P$30:$P$32,$I$30:$I$32)+SUMPRODUCT($P$33:$P$33,$I$33:$I$33)+SUMPRODUCT($P$34:$P$36,$I$34:$I$36)+SUMPRODUCT($P$37:$P$37,$I$37:$I$37)+SUMPRODUCT($P$38:$P$40,$I$38:$I$40)+SUMPRODUCT($P$41:$P$41,$I$41:$I$41)+SUMPRODUCT($P$42:$P$44,$I$42:$I$44)+SUMPRODUCT($P$45:$P$47,$I$45:$I$47)+SUMPRODUCT($P$48:$P$48,$I$48:$I$48)+SUMPRODUCT($P$49:$P$49,$I$49:$I$49)+SUMPRODUCT($P$50:$P$51,$I$50:$I$51)),0,+SUMPRODUCT($P$5:$P$8,$I$5:$I$8)+SUMPRODUCT($P$9:$P$9,$I$9:$I$9)+SUMPRODUCT($P$10:$P$14,$I$10:$I$14)+SUMPRODUCT($P$15:$P$16,$I$15:$I$16)+SUMPRODUCT($P$17:$P$19,$I$17:$I$19)+SUMPRODUCT($P$20:$P$24,$I$20:$I$24)+SUMPRODUCT($P$25:$P$29,$I$25:$I$29)+SUMPRODUCT($P$30:$P$32,$I$30:$I$32)+SUMPRODUCT($P$33:$P$33,$I$33:$I$33)+SUMPRODUCT($P$34:$P$36,$I$34:$I$36)+SUMPRODUCT($P$37:$P$37,$I$37:$I$37)+SUMPRODUCT($P$38:$P$40,$I$38:$I$40)+SUMPRODUCT($P$41:$P$41,$I$41:$I$41)+SUMPRODUCT($P$42:$P$44,$I$42:$I$44)+SUMPRODUCT($P$45:$P$47,$I$45:$I$47)+SUMPRODUCT($P$48:$P$48,$I$48:$I$48)+SUMPRODUCT($P$49:$P$49,$I$49:$I$49)+SUMPRODUCT($P$50:$P$51,$I$50:$I$51))</f>
        <v>40327.510400000006</v>
      </c>
      <c r="Q55" s="19">
        <f>IF(ISERROR(+SUMPRODUCT($Q$5:$Q$8,$I$5:$I$8)+SUMPRODUCT($Q$9:$Q$9,$I$9:$I$9)+SUMPRODUCT($Q$10:$Q$14,$I$10:$I$14)+SUMPRODUCT($Q$15:$Q$16,$I$15:$I$16)+SUMPRODUCT($Q$17:$Q$19,$I$17:$I$19)+SUMPRODUCT($Q$20:$Q$24,$I$20:$I$24)+SUMPRODUCT($Q$25:$Q$29,$I$25:$I$29)+SUMPRODUCT($Q$30:$Q$32,$I$30:$I$32)+SUMPRODUCT($Q$33:$Q$33,$I$33:$I$33)+SUMPRODUCT($Q$34:$Q$36,$I$34:$I$36)+SUMPRODUCT($Q$37:$Q$37,$I$37:$I$37)+SUMPRODUCT($Q$38:$Q$40,$I$38:$I$40)+SUMPRODUCT($Q$41:$Q$41,$I$41:$I$41)+SUMPRODUCT($Q$42:$Q$44,$I$42:$I$44)+SUMPRODUCT($Q$45:$Q$47,$I$45:$I$47)+SUMPRODUCT($Q$48:$Q$48,$I$48:$I$48)+SUMPRODUCT($Q$49:$Q$49,$I$49:$I$49)+SUMPRODUCT($Q$50:$Q$51,$I$50:$I$51)),0,+SUMPRODUCT($Q$5:$Q$8,$I$5:$I$8)+SUMPRODUCT($Q$9:$Q$9,$I$9:$I$9)+SUMPRODUCT($Q$10:$Q$14,$I$10:$I$14)+SUMPRODUCT($Q$15:$Q$16,$I$15:$I$16)+SUMPRODUCT($Q$17:$Q$19,$I$17:$I$19)+SUMPRODUCT($Q$20:$Q$24,$I$20:$I$24)+SUMPRODUCT($Q$25:$Q$29,$I$25:$I$29)+SUMPRODUCT($Q$30:$Q$32,$I$30:$I$32)+SUMPRODUCT($Q$33:$Q$33,$I$33:$I$33)+SUMPRODUCT($Q$34:$Q$36,$I$34:$I$36)+SUMPRODUCT($Q$37:$Q$37,$I$37:$I$37)+SUMPRODUCT($Q$38:$Q$40,$I$38:$I$40)+SUMPRODUCT($Q$41:$Q$41,$I$41:$I$41)+SUMPRODUCT($Q$42:$Q$44,$I$42:$I$44)+SUMPRODUCT($Q$45:$Q$47,$I$45:$I$47)+SUMPRODUCT($Q$48:$Q$48,$I$48:$I$48)+SUMPRODUCT($Q$49:$Q$49,$I$49:$I$49)+SUMPRODUCT($Q$50:$Q$51,$I$50:$I$51))</f>
        <v>39684.072800000002</v>
      </c>
      <c r="R55" s="19">
        <f>IF(ISERROR(+SUMPRODUCT($R$5:$R$8,$I$5:$I$8)+SUMPRODUCT($R$9:$R$9,$I$9:$I$9)+SUMPRODUCT($R$10:$R$14,$I$10:$I$14)+SUMPRODUCT($R$15:$R$16,$I$15:$I$16)+SUMPRODUCT($R$17:$R$19,$I$17:$I$19)+SUMPRODUCT($R$20:$R$24,$I$20:$I$24)+SUMPRODUCT($R$25:$R$29,$I$25:$I$29)+SUMPRODUCT($R$30:$R$32,$I$30:$I$32)+SUMPRODUCT($R$33:$R$33,$I$33:$I$33)+SUMPRODUCT($R$34:$R$36,$I$34:$I$36)+SUMPRODUCT($R$37:$R$37,$I$37:$I$37)+SUMPRODUCT($R$38:$R$40,$I$38:$I$40)+SUMPRODUCT($R$41:$R$41,$I$41:$I$41)+SUMPRODUCT($R$42:$R$44,$I$42:$I$44)+SUMPRODUCT($R$45:$R$47,$I$45:$I$47)+SUMPRODUCT($R$48:$R$48,$I$48:$I$48)+SUMPRODUCT($R$49:$R$49,$I$49:$I$49)+SUMPRODUCT($R$50:$R$51,$I$50:$I$51)),0,+SUMPRODUCT($R$5:$R$8,$I$5:$I$8)+SUMPRODUCT($R$9:$R$9,$I$9:$I$9)+SUMPRODUCT($R$10:$R$14,$I$10:$I$14)+SUMPRODUCT($R$15:$R$16,$I$15:$I$16)+SUMPRODUCT($R$17:$R$19,$I$17:$I$19)+SUMPRODUCT($R$20:$R$24,$I$20:$I$24)+SUMPRODUCT($R$25:$R$29,$I$25:$I$29)+SUMPRODUCT($R$30:$R$32,$I$30:$I$32)+SUMPRODUCT($R$33:$R$33,$I$33:$I$33)+SUMPRODUCT($R$34:$R$36,$I$34:$I$36)+SUMPRODUCT($R$37:$R$37,$I$37:$I$37)+SUMPRODUCT($R$38:$R$40,$I$38:$I$40)+SUMPRODUCT($R$41:$R$41,$I$41:$I$41)+SUMPRODUCT($R$42:$R$44,$I$42:$I$44)+SUMPRODUCT($R$45:$R$47,$I$45:$I$47)+SUMPRODUCT($R$48:$R$48,$I$48:$I$48)+SUMPRODUCT($R$49:$R$49,$I$49:$I$49)+SUMPRODUCT($R$50:$R$51,$I$50:$I$51))</f>
        <v>40327.510400000006</v>
      </c>
      <c r="S55" s="19">
        <f>IF(ISERROR(+SUMPRODUCT($S$5:$S$8,$I$5:$I$8)+SUMPRODUCT($S$9:$S$9,$I$9:$I$9)+SUMPRODUCT($S$10:$S$14,$I$10:$I$14)+SUMPRODUCT($S$15:$S$16,$I$15:$I$16)+SUMPRODUCT($S$17:$S$19,$I$17:$I$19)+SUMPRODUCT($S$20:$S$24,$I$20:$I$24)+SUMPRODUCT($S$25:$S$29,$I$25:$I$29)+SUMPRODUCT($S$30:$S$32,$I$30:$I$32)+SUMPRODUCT($S$33:$S$33,$I$33:$I$33)+SUMPRODUCT($S$34:$S$36,$I$34:$I$36)+SUMPRODUCT($S$37:$S$37,$I$37:$I$37)+SUMPRODUCT($S$38:$S$40,$I$38:$I$40)+SUMPRODUCT($S$41:$S$41,$I$41:$I$41)+SUMPRODUCT($S$42:$S$44,$I$42:$I$44)+SUMPRODUCT($S$45:$S$47,$I$45:$I$47)+SUMPRODUCT($S$48:$S$48,$I$48:$I$48)+SUMPRODUCT($S$49:$S$49,$I$49:$I$49)+SUMPRODUCT($S$50:$S$51,$I$50:$I$51)),0,+SUMPRODUCT($S$5:$S$8,$I$5:$I$8)+SUMPRODUCT($S$9:$S$9,$I$9:$I$9)+SUMPRODUCT($S$10:$S$14,$I$10:$I$14)+SUMPRODUCT($S$15:$S$16,$I$15:$I$16)+SUMPRODUCT($S$17:$S$19,$I$17:$I$19)+SUMPRODUCT($S$20:$S$24,$I$20:$I$24)+SUMPRODUCT($S$25:$S$29,$I$25:$I$29)+SUMPRODUCT($S$30:$S$32,$I$30:$I$32)+SUMPRODUCT($S$33:$S$33,$I$33:$I$33)+SUMPRODUCT($S$34:$S$36,$I$34:$I$36)+SUMPRODUCT($S$37:$S$37,$I$37:$I$37)+SUMPRODUCT($S$38:$S$40,$I$38:$I$40)+SUMPRODUCT($S$41:$S$41,$I$41:$I$41)+SUMPRODUCT($S$42:$S$44,$I$42:$I$44)+SUMPRODUCT($S$45:$S$47,$I$45:$I$47)+SUMPRODUCT($S$48:$S$48,$I$48:$I$48)+SUMPRODUCT($S$49:$S$49,$I$49:$I$49)+SUMPRODUCT($S$50:$S$51,$I$50:$I$51))</f>
        <v>41457.3534</v>
      </c>
      <c r="T55" s="19"/>
      <c r="U55" s="19">
        <f>IF(ISERROR(+SUMPRODUCT($U$5:$U$8,$I$5:$I$8)+SUMPRODUCT($U$9:$U$9,$I$9:$I$9)+SUMPRODUCT($U$10:$U$14,$I$10:$I$14)+SUMPRODUCT($U$15:$U$16,$I$15:$I$16)+SUMPRODUCT($U$17:$U$19,$I$17:$I$19)+SUMPRODUCT($U$20:$U$24,$I$20:$I$24)+SUMPRODUCT($U$25:$U$29,$I$25:$I$29)+SUMPRODUCT($U$30:$U$32,$I$30:$I$32)+SUMPRODUCT($U$33:$U$33,$I$33:$I$33)+SUMPRODUCT($U$34:$U$36,$I$34:$I$36)+SUMPRODUCT($U$37:$U$37,$I$37:$I$37)+SUMPRODUCT($U$38:$U$40,$I$38:$I$40)+SUMPRODUCT($U$41:$U$41,$I$41:$I$41)+SUMPRODUCT($U$42:$U$44,$I$42:$I$44)+SUMPRODUCT($U$45:$U$47,$I$45:$I$47)+SUMPRODUCT($U$48:$U$48,$I$48:$I$48)+SUMPRODUCT($U$49:$U$49,$I$49:$I$49)+SUMPRODUCT($U$50:$U$51,$I$50:$I$51)),0,+SUMPRODUCT($U$5:$U$8,$I$5:$I$8)+SUMPRODUCT($U$9:$U$9,$I$9:$I$9)+SUMPRODUCT($U$10:$U$14,$I$10:$I$14)+SUMPRODUCT($U$15:$U$16,$I$15:$I$16)+SUMPRODUCT($U$17:$U$19,$I$17:$I$19)+SUMPRODUCT($U$20:$U$24,$I$20:$I$24)+SUMPRODUCT($U$25:$U$29,$I$25:$I$29)+SUMPRODUCT($U$30:$U$32,$I$30:$I$32)+SUMPRODUCT($U$33:$U$33,$I$33:$I$33)+SUMPRODUCT($U$34:$U$36,$I$34:$I$36)+SUMPRODUCT($U$37:$U$37,$I$37:$I$37)+SUMPRODUCT($U$38:$U$40,$I$38:$I$40)+SUMPRODUCT($U$41:$U$41,$I$41:$I$41)+SUMPRODUCT($U$42:$U$44,$I$42:$I$44)+SUMPRODUCT($U$45:$U$47,$I$45:$I$47)+SUMPRODUCT($U$48:$U$48,$I$48:$I$48)+SUMPRODUCT($U$49:$U$49,$I$49:$I$49)+SUMPRODUCT($U$50:$U$51,$I$50:$I$51))</f>
        <v>0</v>
      </c>
      <c r="V55" s="19">
        <f>IF(ISERROR(+SUMPRODUCT($V$5:$V$8,$I$5:$I$8)+SUMPRODUCT($V$9:$V$9,$I$9:$I$9)+SUMPRODUCT($V$10:$V$14,$I$10:$I$14)+SUMPRODUCT($V$15:$V$16,$I$15:$I$16)+SUMPRODUCT($V$17:$V$19,$I$17:$I$19)+SUMPRODUCT($V$20:$V$24,$I$20:$I$24)+SUMPRODUCT($V$25:$V$29,$I$25:$I$29)+SUMPRODUCT($V$30:$V$32,$I$30:$I$32)+SUMPRODUCT($V$33:$V$33,$I$33:$I$33)+SUMPRODUCT($V$34:$V$36,$I$34:$I$36)+SUMPRODUCT($V$37:$V$37,$I$37:$I$37)+SUMPRODUCT($V$38:$V$40,$I$38:$I$40)+SUMPRODUCT($V$41:$V$41,$I$41:$I$41)+SUMPRODUCT($V$42:$V$44,$I$42:$I$44)+SUMPRODUCT($V$45:$V$47,$I$45:$I$47)+SUMPRODUCT($V$48:$V$48,$I$48:$I$48)+SUMPRODUCT($V$49:$V$49,$I$49:$I$49)+SUMPRODUCT($V$50:$V$51,$I$50:$I$51)),0,+SUMPRODUCT($V$5:$V$8,$I$5:$I$8)+SUMPRODUCT($V$9:$V$9,$I$9:$I$9)+SUMPRODUCT($V$10:$V$14,$I$10:$I$14)+SUMPRODUCT($V$15:$V$16,$I$15:$I$16)+SUMPRODUCT($V$17:$V$19,$I$17:$I$19)+SUMPRODUCT($V$20:$V$24,$I$20:$I$24)+SUMPRODUCT($V$25:$V$29,$I$25:$I$29)+SUMPRODUCT($V$30:$V$32,$I$30:$I$32)+SUMPRODUCT($V$33:$V$33,$I$33:$I$33)+SUMPRODUCT($V$34:$V$36,$I$34:$I$36)+SUMPRODUCT($V$37:$V$37,$I$37:$I$37)+SUMPRODUCT($V$38:$V$40,$I$38:$I$40)+SUMPRODUCT($V$41:$V$41,$I$41:$I$41)+SUMPRODUCT($V$42:$V$44,$I$42:$I$44)+SUMPRODUCT($V$45:$V$47,$I$45:$I$47)+SUMPRODUCT($V$48:$V$48,$I$48:$I$48)+SUMPRODUCT($V$49:$V$49,$I$49:$I$49)+SUMPRODUCT($V$50:$V$51,$I$50:$I$51))</f>
        <v>0</v>
      </c>
      <c r="W55" s="19">
        <f>IF(ISERROR(+SUMPRODUCT($W$5:$W$8,$I$5:$I$8)+SUMPRODUCT($W$9:$W$9,$I$9:$I$9)+SUMPRODUCT($W$10:$W$14,$I$10:$I$14)+SUMPRODUCT($W$15:$W$16,$I$15:$I$16)+SUMPRODUCT($W$17:$W$19,$I$17:$I$19)+SUMPRODUCT($W$20:$W$24,$I$20:$I$24)+SUMPRODUCT($W$25:$W$29,$I$25:$I$29)+SUMPRODUCT($W$30:$W$32,$I$30:$I$32)+SUMPRODUCT($W$33:$W$33,$I$33:$I$33)+SUMPRODUCT($W$34:$W$36,$I$34:$I$36)+SUMPRODUCT($W$37:$W$37,$I$37:$I$37)+SUMPRODUCT($W$38:$W$40,$I$38:$I$40)+SUMPRODUCT($W$41:$W$41,$I$41:$I$41)+SUMPRODUCT($W$42:$W$44,$I$42:$I$44)+SUMPRODUCT($W$45:$W$47,$I$45:$I$47)+SUMPRODUCT($W$48:$W$48,$I$48:$I$48)+SUMPRODUCT($W$49:$W$49,$I$49:$I$49)+SUMPRODUCT($W$50:$W$51,$I$50:$I$51)),0,+SUMPRODUCT($W$5:$W$8,$I$5:$I$8)+SUMPRODUCT($W$9:$W$9,$I$9:$I$9)+SUMPRODUCT($W$10:$W$14,$I$10:$I$14)+SUMPRODUCT($W$15:$W$16,$I$15:$I$16)+SUMPRODUCT($W$17:$W$19,$I$17:$I$19)+SUMPRODUCT($W$20:$W$24,$I$20:$I$24)+SUMPRODUCT($W$25:$W$29,$I$25:$I$29)+SUMPRODUCT($W$30:$W$32,$I$30:$I$32)+SUMPRODUCT($W$33:$W$33,$I$33:$I$33)+SUMPRODUCT($W$34:$W$36,$I$34:$I$36)+SUMPRODUCT($W$37:$W$37,$I$37:$I$37)+SUMPRODUCT($W$38:$W$40,$I$38:$I$40)+SUMPRODUCT($W$41:$W$41,$I$41:$I$41)+SUMPRODUCT($W$42:$W$44,$I$42:$I$44)+SUMPRODUCT($W$45:$W$47,$I$45:$I$47)+SUMPRODUCT($W$48:$W$48,$I$48:$I$48)+SUMPRODUCT($W$49:$W$49,$I$49:$I$49)+SUMPRODUCT($W$50:$W$51,$I$50:$I$51))</f>
        <v>0</v>
      </c>
      <c r="X55" s="19">
        <f>IF(ISERROR(+SUMPRODUCT($X$5:$X$8,$I$5:$I$8)+SUMPRODUCT($X$9:$X$9,$I$9:$I$9)+SUMPRODUCT($X$10:$X$14,$I$10:$I$14)+SUMPRODUCT($X$15:$X$16,$I$15:$I$16)+SUMPRODUCT($X$17:$X$19,$I$17:$I$19)+SUMPRODUCT($X$20:$X$24,$I$20:$I$24)+SUMPRODUCT($X$25:$X$29,$I$25:$I$29)+SUMPRODUCT($X$30:$X$32,$I$30:$I$32)+SUMPRODUCT($X$33:$X$33,$I$33:$I$33)+SUMPRODUCT($X$34:$X$36,$I$34:$I$36)+SUMPRODUCT($X$37:$X$37,$I$37:$I$37)+SUMPRODUCT($X$38:$X$40,$I$38:$I$40)+SUMPRODUCT($X$41:$X$41,$I$41:$I$41)+SUMPRODUCT($X$42:$X$44,$I$42:$I$44)+SUMPRODUCT($X$45:$X$47,$I$45:$I$47)+SUMPRODUCT($X$48:$X$48,$I$48:$I$48)+SUMPRODUCT($X$49:$X$49,$I$49:$I$49)+SUMPRODUCT($X$50:$X$51,$I$50:$I$51)),0,+SUMPRODUCT($X$5:$X$8,$I$5:$I$8)+SUMPRODUCT($X$9:$X$9,$I$9:$I$9)+SUMPRODUCT($X$10:$X$14,$I$10:$I$14)+SUMPRODUCT($X$15:$X$16,$I$15:$I$16)+SUMPRODUCT($X$17:$X$19,$I$17:$I$19)+SUMPRODUCT($X$20:$X$24,$I$20:$I$24)+SUMPRODUCT($X$25:$X$29,$I$25:$I$29)+SUMPRODUCT($X$30:$X$32,$I$30:$I$32)+SUMPRODUCT($X$33:$X$33,$I$33:$I$33)+SUMPRODUCT($X$34:$X$36,$I$34:$I$36)+SUMPRODUCT($X$37:$X$37,$I$37:$I$37)+SUMPRODUCT($X$38:$X$40,$I$38:$I$40)+SUMPRODUCT($X$41:$X$41,$I$41:$I$41)+SUMPRODUCT($X$42:$X$44,$I$42:$I$44)+SUMPRODUCT($X$45:$X$47,$I$45:$I$47)+SUMPRODUCT($X$48:$X$48,$I$48:$I$48)+SUMPRODUCT($X$49:$X$49,$I$49:$I$49)+SUMPRODUCT($X$50:$X$51,$I$50:$I$51))</f>
        <v>0</v>
      </c>
      <c r="Y55" s="19">
        <f>IF(ISERROR(+SUMPRODUCT($Y$5:$Y$8,$I$5:$I$8)+SUMPRODUCT($Y$9:$Y$9,$I$9:$I$9)+SUMPRODUCT($Y$10:$Y$14,$I$10:$I$14)+SUMPRODUCT($Y$15:$Y$16,$I$15:$I$16)+SUMPRODUCT($Y$17:$Y$19,$I$17:$I$19)+SUMPRODUCT($Y$20:$Y$24,$I$20:$I$24)+SUMPRODUCT($Y$25:$Y$29,$I$25:$I$29)+SUMPRODUCT($Y$30:$Y$32,$I$30:$I$32)+SUMPRODUCT($Y$33:$Y$33,$I$33:$I$33)+SUMPRODUCT($Y$34:$Y$36,$I$34:$I$36)+SUMPRODUCT($Y$37:$Y$37,$I$37:$I$37)+SUMPRODUCT($Y$38:$Y$40,$I$38:$I$40)+SUMPRODUCT($Y$41:$Y$41,$I$41:$I$41)+SUMPRODUCT($Y$42:$Y$44,$I$42:$I$44)+SUMPRODUCT($Y$45:$Y$47,$I$45:$I$47)+SUMPRODUCT($Y$48:$Y$48,$I$48:$I$48)+SUMPRODUCT($Y$49:$Y$49,$I$49:$I$49)+SUMPRODUCT($Y$50:$Y$51,$I$50:$I$51)),0,+SUMPRODUCT($Y$5:$Y$8,$I$5:$I$8)+SUMPRODUCT($Y$9:$Y$9,$I$9:$I$9)+SUMPRODUCT($Y$10:$Y$14,$I$10:$I$14)+SUMPRODUCT($Y$15:$Y$16,$I$15:$I$16)+SUMPRODUCT($Y$17:$Y$19,$I$17:$I$19)+SUMPRODUCT($Y$20:$Y$24,$I$20:$I$24)+SUMPRODUCT($Y$25:$Y$29,$I$25:$I$29)+SUMPRODUCT($Y$30:$Y$32,$I$30:$I$32)+SUMPRODUCT($Y$33:$Y$33,$I$33:$I$33)+SUMPRODUCT($Y$34:$Y$36,$I$34:$I$36)+SUMPRODUCT($Y$37:$Y$37,$I$37:$I$37)+SUMPRODUCT($Y$38:$Y$40,$I$38:$I$40)+SUMPRODUCT($Y$41:$Y$41,$I$41:$I$41)+SUMPRODUCT($Y$42:$Y$44,$I$42:$I$44)+SUMPRODUCT($Y$45:$Y$47,$I$45:$I$47)+SUMPRODUCT($Y$48:$Y$48,$I$48:$I$48)+SUMPRODUCT($Y$49:$Y$49,$I$49:$I$49)+SUMPRODUCT($Y$50:$Y$51,$I$50:$I$51))</f>
        <v>718945.44682743994</v>
      </c>
      <c r="Z55" s="19">
        <f>IF(ISERROR(+SUMPRODUCT($Z$5:$Z$8,$I$5:$I$8)+SUMPRODUCT($Z$9:$Z$9,$I$9:$I$9)+SUMPRODUCT($Z$10:$Z$14,$I$10:$I$14)+SUMPRODUCT($Z$15:$Z$16,$I$15:$I$16)+SUMPRODUCT($Z$17:$Z$19,$I$17:$I$19)+SUMPRODUCT($Z$20:$Z$24,$I$20:$I$24)+SUMPRODUCT($Z$25:$Z$29,$I$25:$I$29)+SUMPRODUCT($Z$30:$Z$32,$I$30:$I$32)+SUMPRODUCT($Z$33:$Z$33,$I$33:$I$33)+SUMPRODUCT($Z$34:$Z$36,$I$34:$I$36)+SUMPRODUCT($Z$37:$Z$37,$I$37:$I$37)+SUMPRODUCT($Z$38:$Z$40,$I$38:$I$40)+SUMPRODUCT($Z$41:$Z$41,$I$41:$I$41)+SUMPRODUCT($Z$42:$Z$44,$I$42:$I$44)+SUMPRODUCT($Z$45:$Z$47,$I$45:$I$47)+SUMPRODUCT($Z$48:$Z$48,$I$48:$I$48)+SUMPRODUCT($Z$49:$Z$49,$I$49:$I$49)+SUMPRODUCT($Z$50:$Z$51,$I$50:$I$51)),0,+SUMPRODUCT($Z$5:$Z$8,$I$5:$I$8)+SUMPRODUCT($Z$9:$Z$9,$I$9:$I$9)+SUMPRODUCT($Z$10:$Z$14,$I$10:$I$14)+SUMPRODUCT($Z$15:$Z$16,$I$15:$I$16)+SUMPRODUCT($Z$17:$Z$19,$I$17:$I$19)+SUMPRODUCT($Z$20:$Z$24,$I$20:$I$24)+SUMPRODUCT($Z$25:$Z$29,$I$25:$I$29)+SUMPRODUCT($Z$30:$Z$32,$I$30:$I$32)+SUMPRODUCT($Z$33:$Z$33,$I$33:$I$33)+SUMPRODUCT($Z$34:$Z$36,$I$34:$I$36)+SUMPRODUCT($Z$37:$Z$37,$I$37:$I$37)+SUMPRODUCT($Z$38:$Z$40,$I$38:$I$40)+SUMPRODUCT($Z$41:$Z$41,$I$41:$I$41)+SUMPRODUCT($Z$42:$Z$44,$I$42:$I$44)+SUMPRODUCT($Z$45:$Z$47,$I$45:$I$47)+SUMPRODUCT($Z$48:$Z$48,$I$48:$I$48)+SUMPRODUCT($Z$49:$Z$49,$I$49:$I$49)+SUMPRODUCT($Z$50:$Z$51,$I$50:$I$51))</f>
        <v>0</v>
      </c>
      <c r="AA55" s="19">
        <f>IF(ISERROR(+SUMPRODUCT($AA$5:$AA$8,$I$5:$I$8)+SUMPRODUCT($AA$9:$AA$9,$I$9:$I$9)+SUMPRODUCT($AA$10:$AA$14,$I$10:$I$14)+SUMPRODUCT($AA$15:$AA$16,$I$15:$I$16)+SUMPRODUCT($AA$17:$AA$19,$I$17:$I$19)+SUMPRODUCT($AA$20:$AA$24,$I$20:$I$24)+SUMPRODUCT($AA$25:$AA$29,$I$25:$I$29)+SUMPRODUCT($AA$30:$AA$32,$I$30:$I$32)+SUMPRODUCT($AA$33:$AA$33,$I$33:$I$33)+SUMPRODUCT($AA$34:$AA$36,$I$34:$I$36)+SUMPRODUCT($AA$37:$AA$37,$I$37:$I$37)+SUMPRODUCT($AA$38:$AA$40,$I$38:$I$40)+SUMPRODUCT($AA$41:$AA$41,$I$41:$I$41)+SUMPRODUCT($AA$42:$AA$44,$I$42:$I$44)+SUMPRODUCT($AA$45:$AA$47,$I$45:$I$47)+SUMPRODUCT($AA$48:$AA$48,$I$48:$I$48)+SUMPRODUCT($AA$49:$AA$49,$I$49:$I$49)+SUMPRODUCT($AA$50:$AA$51,$I$50:$I$51)),0,+SUMPRODUCT($AA$5:$AA$8,$I$5:$I$8)+SUMPRODUCT($AA$9:$AA$9,$I$9:$I$9)+SUMPRODUCT($AA$10:$AA$14,$I$10:$I$14)+SUMPRODUCT($AA$15:$AA$16,$I$15:$I$16)+SUMPRODUCT($AA$17:$AA$19,$I$17:$I$19)+SUMPRODUCT($AA$20:$AA$24,$I$20:$I$24)+SUMPRODUCT($AA$25:$AA$29,$I$25:$I$29)+SUMPRODUCT($AA$30:$AA$32,$I$30:$I$32)+SUMPRODUCT($AA$33:$AA$33,$I$33:$I$33)+SUMPRODUCT($AA$34:$AA$36,$I$34:$I$36)+SUMPRODUCT($AA$37:$AA$37,$I$37:$I$37)+SUMPRODUCT($AA$38:$AA$40,$I$38:$I$40)+SUMPRODUCT($AA$41:$AA$41,$I$41:$I$41)+SUMPRODUCT($AA$42:$AA$44,$I$42:$I$44)+SUMPRODUCT($AA$45:$AA$47,$I$45:$I$47)+SUMPRODUCT($AA$48:$AA$48,$I$48:$I$48)+SUMPRODUCT($AA$49:$AA$49,$I$49:$I$49)+SUMPRODUCT($AA$50:$AA$51,$I$50:$I$51))</f>
        <v>0</v>
      </c>
      <c r="AB55" s="19"/>
      <c r="AC55" s="19">
        <f>IF(ISERROR(+SUMPRODUCT($AC$5:$AC$8,$I$5:$I$8)+SUMPRODUCT($AC$9:$AC$9,$I$9:$I$9)+SUMPRODUCT($AC$10:$AC$14,$I$10:$I$14)+SUMPRODUCT($AC$15:$AC$16,$I$15:$I$16)+SUMPRODUCT($AC$17:$AC$19,$I$17:$I$19)+SUMPRODUCT($AC$20:$AC$24,$I$20:$I$24)+SUMPRODUCT($AC$25:$AC$29,$I$25:$I$29)+SUMPRODUCT($AC$30:$AC$32,$I$30:$I$32)+SUMPRODUCT($AC$33:$AC$33,$I$33:$I$33)+SUMPRODUCT($AC$34:$AC$36,$I$34:$I$36)+SUMPRODUCT($AC$37:$AC$37,$I$37:$I$37)+SUMPRODUCT($AC$38:$AC$40,$I$38:$I$40)+SUMPRODUCT($AC$41:$AC$41,$I$41:$I$41)+SUMPRODUCT($AC$42:$AC$44,$I$42:$I$44)+SUMPRODUCT($AC$45:$AC$47,$I$45:$I$47)+SUMPRODUCT($AC$48:$AC$48,$I$48:$I$48)+SUMPRODUCT($AC$49:$AC$49,$I$49:$I$49)+SUMPRODUCT($AC$50:$AC$51,$I$50:$I$51)),0,+SUMPRODUCT($AC$5:$AC$8,$I$5:$I$8)+SUMPRODUCT($AC$9:$AC$9,$I$9:$I$9)+SUMPRODUCT($AC$10:$AC$14,$I$10:$I$14)+SUMPRODUCT($AC$15:$AC$16,$I$15:$I$16)+SUMPRODUCT($AC$17:$AC$19,$I$17:$I$19)+SUMPRODUCT($AC$20:$AC$24,$I$20:$I$24)+SUMPRODUCT($AC$25:$AC$29,$I$25:$I$29)+SUMPRODUCT($AC$30:$AC$32,$I$30:$I$32)+SUMPRODUCT($AC$33:$AC$33,$I$33:$I$33)+SUMPRODUCT($AC$34:$AC$36,$I$34:$I$36)+SUMPRODUCT($AC$37:$AC$37,$I$37:$I$37)+SUMPRODUCT($AC$38:$AC$40,$I$38:$I$40)+SUMPRODUCT($AC$41:$AC$41,$I$41:$I$41)+SUMPRODUCT($AC$42:$AC$44,$I$42:$I$44)+SUMPRODUCT($AC$45:$AC$47,$I$45:$I$47)+SUMPRODUCT($AC$48:$AC$48,$I$48:$I$48)+SUMPRODUCT($AC$49:$AC$49,$I$49:$I$49)+SUMPRODUCT($AC$50:$AC$51,$I$50:$I$51))</f>
        <v>9852831.56513354</v>
      </c>
      <c r="AD55" s="19"/>
      <c r="AE55" s="19">
        <f>IF(ISERROR(+SUMPRODUCT($AE$5:$AE$8,$I$5:$I$8)+SUMPRODUCT($AE$9:$AE$9,$I$9:$I$9)+SUMPRODUCT($AE$10:$AE$14,$I$10:$I$14)+SUMPRODUCT($AE$15:$AE$16,$I$15:$I$16)+SUMPRODUCT($AE$17:$AE$19,$I$17:$I$19)+SUMPRODUCT($AE$20:$AE$24,$I$20:$I$24)+SUMPRODUCT($AE$25:$AE$29,$I$25:$I$29)+SUMPRODUCT($AE$30:$AE$32,$I$30:$I$32)+SUMPRODUCT($AE$33:$AE$33,$I$33:$I$33)+SUMPRODUCT($AE$34:$AE$36,$I$34:$I$36)+SUMPRODUCT($AE$37:$AE$37,$I$37:$I$37)+SUMPRODUCT($AE$38:$AE$40,$I$38:$I$40)+SUMPRODUCT($AE$41:$AE$41,$I$41:$I$41)+SUMPRODUCT($AE$42:$AE$44,$I$42:$I$44)+SUMPRODUCT($AE$45:$AE$47,$I$45:$I$47)+SUMPRODUCT($AE$48:$AE$48,$I$48:$I$48)+SUMPRODUCT($AE$49:$AE$49,$I$49:$I$49)+SUMPRODUCT($AE$50:$AE$51,$I$50:$I$51)),0,+SUMPRODUCT($AE$5:$AE$8,$I$5:$I$8)+SUMPRODUCT($AE$9:$AE$9,$I$9:$I$9)+SUMPRODUCT($AE$10:$AE$14,$I$10:$I$14)+SUMPRODUCT($AE$15:$AE$16,$I$15:$I$16)+SUMPRODUCT($AE$17:$AE$19,$I$17:$I$19)+SUMPRODUCT($AE$20:$AE$24,$I$20:$I$24)+SUMPRODUCT($AE$25:$AE$29,$I$25:$I$29)+SUMPRODUCT($AE$30:$AE$32,$I$30:$I$32)+SUMPRODUCT($AE$33:$AE$33,$I$33:$I$33)+SUMPRODUCT($AE$34:$AE$36,$I$34:$I$36)+SUMPRODUCT($AE$37:$AE$37,$I$37:$I$37)+SUMPRODUCT($AE$38:$AE$40,$I$38:$I$40)+SUMPRODUCT($AE$41:$AE$41,$I$41:$I$41)+SUMPRODUCT($AE$42:$AE$44,$I$42:$I$44)+SUMPRODUCT($AE$45:$AE$47,$I$45:$I$47)+SUMPRODUCT($AE$48:$AE$48,$I$48:$I$48)+SUMPRODUCT($AE$49:$AE$49,$I$49:$I$49)+SUMPRODUCT($AE$50:$AE$51,$I$50:$I$51))</f>
        <v>0</v>
      </c>
      <c r="AF55" s="19">
        <f>IF(ISERROR(+SUMPRODUCT($AF$5:$AF$8,$I$5:$I$8)+SUMPRODUCT($AF$9:$AF$9,$I$9:$I$9)+SUMPRODUCT($AF$10:$AF$14,$I$10:$I$14)+SUMPRODUCT($AF$15:$AF$16,$I$15:$I$16)+SUMPRODUCT($AF$17:$AF$19,$I$17:$I$19)+SUMPRODUCT($AF$20:$AF$24,$I$20:$I$24)+SUMPRODUCT($AF$25:$AF$29,$I$25:$I$29)+SUMPRODUCT($AF$30:$AF$32,$I$30:$I$32)+SUMPRODUCT($AF$33:$AF$33,$I$33:$I$33)+SUMPRODUCT($AF$34:$AF$36,$I$34:$I$36)+SUMPRODUCT($AF$37:$AF$37,$I$37:$I$37)+SUMPRODUCT($AF$38:$AF$40,$I$38:$I$40)+SUMPRODUCT($AF$41:$AF$41,$I$41:$I$41)+SUMPRODUCT($AF$42:$AF$44,$I$42:$I$44)+SUMPRODUCT($AF$45:$AF$47,$I$45:$I$47)+SUMPRODUCT($AF$48:$AF$48,$I$48:$I$48)+SUMPRODUCT($AF$49:$AF$49,$I$49:$I$49)+SUMPRODUCT($AF$50:$AF$51,$I$50:$I$51)),0,+SUMPRODUCT($AF$5:$AF$8,$I$5:$I$8)+SUMPRODUCT($AF$9:$AF$9,$I$9:$I$9)+SUMPRODUCT($AF$10:$AF$14,$I$10:$I$14)+SUMPRODUCT($AF$15:$AF$16,$I$15:$I$16)+SUMPRODUCT($AF$17:$AF$19,$I$17:$I$19)+SUMPRODUCT($AF$20:$AF$24,$I$20:$I$24)+SUMPRODUCT($AF$25:$AF$29,$I$25:$I$29)+SUMPRODUCT($AF$30:$AF$32,$I$30:$I$32)+SUMPRODUCT($AF$33:$AF$33,$I$33:$I$33)+SUMPRODUCT($AF$34:$AF$36,$I$34:$I$36)+SUMPRODUCT($AF$37:$AF$37,$I$37:$I$37)+SUMPRODUCT($AF$38:$AF$40,$I$38:$I$40)+SUMPRODUCT($AF$41:$AF$41,$I$41:$I$41)+SUMPRODUCT($AF$42:$AF$44,$I$42:$I$44)+SUMPRODUCT($AF$45:$AF$47,$I$45:$I$47)+SUMPRODUCT($AF$48:$AF$48,$I$48:$I$48)+SUMPRODUCT($AF$49:$AF$49,$I$49:$I$49)+SUMPRODUCT($AF$50:$AF$51,$I$50:$I$51))</f>
        <v>0</v>
      </c>
      <c r="AG55" s="19"/>
      <c r="AH55" s="19">
        <f>IF(ISERROR(+SUMPRODUCT($AH$5:$AH$8,$I$5:$I$8)+SUMPRODUCT($AH$9:$AH$9,$I$9:$I$9)+SUMPRODUCT($AH$10:$AH$14,$I$10:$I$14)+SUMPRODUCT($AH$15:$AH$16,$I$15:$I$16)+SUMPRODUCT($AH$17:$AH$19,$I$17:$I$19)+SUMPRODUCT($AH$20:$AH$24,$I$20:$I$24)+SUMPRODUCT($AH$25:$AH$29,$I$25:$I$29)+SUMPRODUCT($AH$30:$AH$32,$I$30:$I$32)+SUMPRODUCT($AH$33:$AH$33,$I$33:$I$33)+SUMPRODUCT($AH$34:$AH$36,$I$34:$I$36)+SUMPRODUCT($AH$37:$AH$37,$I$37:$I$37)+SUMPRODUCT($AH$38:$AH$40,$I$38:$I$40)+SUMPRODUCT($AH$41:$AH$41,$I$41:$I$41)+SUMPRODUCT($AH$42:$AH$44,$I$42:$I$44)+SUMPRODUCT($AH$45:$AH$47,$I$45:$I$47)+SUMPRODUCT($AH$48:$AH$48,$I$48:$I$48)+SUMPRODUCT($AH$49:$AH$49,$I$49:$I$49)+SUMPRODUCT($AH$50:$AH$51,$I$50:$I$51)),0,+SUMPRODUCT($AH$5:$AH$8,$I$5:$I$8)+SUMPRODUCT($AH$9:$AH$9,$I$9:$I$9)+SUMPRODUCT($AH$10:$AH$14,$I$10:$I$14)+SUMPRODUCT($AH$15:$AH$16,$I$15:$I$16)+SUMPRODUCT($AH$17:$AH$19,$I$17:$I$19)+SUMPRODUCT($AH$20:$AH$24,$I$20:$I$24)+SUMPRODUCT($AH$25:$AH$29,$I$25:$I$29)+SUMPRODUCT($AH$30:$AH$32,$I$30:$I$32)+SUMPRODUCT($AH$33:$AH$33,$I$33:$I$33)+SUMPRODUCT($AH$34:$AH$36,$I$34:$I$36)+SUMPRODUCT($AH$37:$AH$37,$I$37:$I$37)+SUMPRODUCT($AH$38:$AH$40,$I$38:$I$40)+SUMPRODUCT($AH$41:$AH$41,$I$41:$I$41)+SUMPRODUCT($AH$42:$AH$44,$I$42:$I$44)+SUMPRODUCT($AH$45:$AH$47,$I$45:$I$47)+SUMPRODUCT($AH$48:$AH$48,$I$48:$I$48)+SUMPRODUCT($AH$49:$AH$49,$I$49:$I$49)+SUMPRODUCT($AH$50:$AH$51,$I$50:$I$51))</f>
        <v>1509341.9008123798</v>
      </c>
      <c r="AI55" s="19">
        <f>IF(ISERROR(+SUMPRODUCT($AI$5:$AI$8,$I$5:$I$8)+SUMPRODUCT($AI$9:$AI$9,$I$9:$I$9)+SUMPRODUCT($AI$10:$AI$14,$I$10:$I$14)+SUMPRODUCT($AI$15:$AI$16,$I$15:$I$16)+SUMPRODUCT($AI$17:$AI$19,$I$17:$I$19)+SUMPRODUCT($AI$20:$AI$24,$I$20:$I$24)+SUMPRODUCT($AI$25:$AI$29,$I$25:$I$29)+SUMPRODUCT($AI$30:$AI$32,$I$30:$I$32)+SUMPRODUCT($AI$33:$AI$33,$I$33:$I$33)+SUMPRODUCT($AI$34:$AI$36,$I$34:$I$36)+SUMPRODUCT($AI$37:$AI$37,$I$37:$I$37)+SUMPRODUCT($AI$38:$AI$40,$I$38:$I$40)+SUMPRODUCT($AI$41:$AI$41,$I$41:$I$41)+SUMPRODUCT($AI$42:$AI$44,$I$42:$I$44)+SUMPRODUCT($AI$45:$AI$47,$I$45:$I$47)+SUMPRODUCT($AI$48:$AI$48,$I$48:$I$48)+SUMPRODUCT($AI$49:$AI$49,$I$49:$I$49)+SUMPRODUCT($AI$50:$AI$51,$I$50:$I$51)),0,+SUMPRODUCT($AI$5:$AI$8,$I$5:$I$8)+SUMPRODUCT($AI$9:$AI$9,$I$9:$I$9)+SUMPRODUCT($AI$10:$AI$14,$I$10:$I$14)+SUMPRODUCT($AI$15:$AI$16,$I$15:$I$16)+SUMPRODUCT($AI$17:$AI$19,$I$17:$I$19)+SUMPRODUCT($AI$20:$AI$24,$I$20:$I$24)+SUMPRODUCT($AI$25:$AI$29,$I$25:$I$29)+SUMPRODUCT($AI$30:$AI$32,$I$30:$I$32)+SUMPRODUCT($AI$33:$AI$33,$I$33:$I$33)+SUMPRODUCT($AI$34:$AI$36,$I$34:$I$36)+SUMPRODUCT($AI$37:$AI$37,$I$37:$I$37)+SUMPRODUCT($AI$38:$AI$40,$I$38:$I$40)+SUMPRODUCT($AI$41:$AI$41,$I$41:$I$41)+SUMPRODUCT($AI$42:$AI$44,$I$42:$I$44)+SUMPRODUCT($AI$45:$AI$47,$I$45:$I$47)+SUMPRODUCT($AI$48:$AI$48,$I$48:$I$48)+SUMPRODUCT($AI$49:$AI$49,$I$49:$I$49)+SUMPRODUCT($AI$50:$AI$51,$I$50:$I$51))</f>
        <v>0</v>
      </c>
      <c r="AJ55" s="19">
        <f ca="1">IF(ISERROR(+SUMPRODUCT($AJ$5:$AJ$8,$I$5:$I$8)+SUMPRODUCT($AJ$9:$AJ$9,$I$9:$I$9)+SUMPRODUCT($AJ$10:$AJ$14,$I$10:$I$14)+SUMPRODUCT($AJ$15:$AJ$16,$I$15:$I$16)+SUMPRODUCT($AJ$17:$AJ$19,$I$17:$I$19)+SUMPRODUCT($AJ$20:$AJ$24,$I$20:$I$24)+SUMPRODUCT($AJ$25:$AJ$29,$I$25:$I$29)+SUMPRODUCT($AJ$30:$AJ$32,$I$30:$I$32)+SUMPRODUCT($AJ$33:$AJ$33,$I$33:$I$33)+SUMPRODUCT($AJ$34:$AJ$36,$I$34:$I$36)+SUMPRODUCT($AJ$37:$AJ$37,$I$37:$I$37)+SUMPRODUCT($AJ$38:$AJ$40,$I$38:$I$40)+SUMPRODUCT($AJ$41:$AJ$41,$I$41:$I$41)+SUMPRODUCT($AJ$42:$AJ$44,$I$42:$I$44)+SUMPRODUCT($AJ$45:$AJ$47,$I$45:$I$47)+SUMPRODUCT($AJ$48:$AJ$48,$I$48:$I$48)+SUMPRODUCT($AJ$49:$AJ$49,$I$49:$I$49)+SUMPRODUCT($AJ$50:$AJ$51,$I$50:$I$51)),0,+SUMPRODUCT($AJ$5:$AJ$8,$I$5:$I$8)+SUMPRODUCT($AJ$9:$AJ$9,$I$9:$I$9)+SUMPRODUCT($AJ$10:$AJ$14,$I$10:$I$14)+SUMPRODUCT($AJ$15:$AJ$16,$I$15:$I$16)+SUMPRODUCT($AJ$17:$AJ$19,$I$17:$I$19)+SUMPRODUCT($AJ$20:$AJ$24,$I$20:$I$24)+SUMPRODUCT($AJ$25:$AJ$29,$I$25:$I$29)+SUMPRODUCT($AJ$30:$AJ$32,$I$30:$I$32)+SUMPRODUCT($AJ$33:$AJ$33,$I$33:$I$33)+SUMPRODUCT($AJ$34:$AJ$36,$I$34:$I$36)+SUMPRODUCT($AJ$37:$AJ$37,$I$37:$I$37)+SUMPRODUCT($AJ$38:$AJ$40,$I$38:$I$40)+SUMPRODUCT($AJ$41:$AJ$41,$I$41:$I$41)+SUMPRODUCT($AJ$42:$AJ$44,$I$42:$I$44)+SUMPRODUCT($AJ$45:$AJ$47,$I$45:$I$47)+SUMPRODUCT($AJ$48:$AJ$48,$I$48:$I$48)+SUMPRODUCT($AJ$49:$AJ$49,$I$49:$I$49)+SUMPRODUCT($AJ$50:$AJ$51,$I$50:$I$51))</f>
        <v>127111.56207453154</v>
      </c>
      <c r="AK55" s="19">
        <f ca="1">IF(ISERROR(+SUMPRODUCT($AK$5:$AK$8,$I$5:$I$8)+SUMPRODUCT($AK$9:$AK$9,$I$9:$I$9)+SUMPRODUCT($AK$10:$AK$14,$I$10:$I$14)+SUMPRODUCT($AK$15:$AK$16,$I$15:$I$16)+SUMPRODUCT($AK$17:$AK$19,$I$17:$I$19)+SUMPRODUCT($AK$20:$AK$24,$I$20:$I$24)+SUMPRODUCT($AK$25:$AK$29,$I$25:$I$29)+SUMPRODUCT($AK$30:$AK$32,$I$30:$I$32)+SUMPRODUCT($AK$33:$AK$33,$I$33:$I$33)+SUMPRODUCT($AK$34:$AK$36,$I$34:$I$36)+SUMPRODUCT($AK$37:$AK$37,$I$37:$I$37)+SUMPRODUCT($AK$38:$AK$40,$I$38:$I$40)+SUMPRODUCT($AK$41:$AK$41,$I$41:$I$41)+SUMPRODUCT($AK$42:$AK$44,$I$42:$I$44)+SUMPRODUCT($AK$45:$AK$47,$I$45:$I$47)+SUMPRODUCT($AK$48:$AK$48,$I$48:$I$48)+SUMPRODUCT($AK$49:$AK$49,$I$49:$I$49)+SUMPRODUCT($AK$50:$AK$51,$I$50:$I$51)),0,+SUMPRODUCT($AK$5:$AK$8,$I$5:$I$8)+SUMPRODUCT($AK$9:$AK$9,$I$9:$I$9)+SUMPRODUCT($AK$10:$AK$14,$I$10:$I$14)+SUMPRODUCT($AK$15:$AK$16,$I$15:$I$16)+SUMPRODUCT($AK$17:$AK$19,$I$17:$I$19)+SUMPRODUCT($AK$20:$AK$24,$I$20:$I$24)+SUMPRODUCT($AK$25:$AK$29,$I$25:$I$29)+SUMPRODUCT($AK$30:$AK$32,$I$30:$I$32)+SUMPRODUCT($AK$33:$AK$33,$I$33:$I$33)+SUMPRODUCT($AK$34:$AK$36,$I$34:$I$36)+SUMPRODUCT($AK$37:$AK$37,$I$37:$I$37)+SUMPRODUCT($AK$38:$AK$40,$I$38:$I$40)+SUMPRODUCT($AK$41:$AK$41,$I$41:$I$41)+SUMPRODUCT($AK$42:$AK$44,$I$42:$I$44)+SUMPRODUCT($AK$45:$AK$47,$I$45:$I$47)+SUMPRODUCT($AK$48:$AK$48,$I$48:$I$48)+SUMPRODUCT($AK$49:$AK$49,$I$49:$I$49)+SUMPRODUCT($AK$50:$AK$51,$I$50:$I$51))</f>
        <v>127111.56207453154</v>
      </c>
      <c r="AL55" s="19"/>
      <c r="AM55" s="19"/>
    </row>
    <row r="56" spans="1:42" ht="11.25" customHeight="1" x14ac:dyDescent="0.25">
      <c r="K56" s="18" t="s">
        <v>486</v>
      </c>
      <c r="L56" s="19">
        <f>CUSTOS!$D$2</f>
        <v>939575.29936830897</v>
      </c>
      <c r="M56" s="19">
        <f>CUSTOS!$D$3</f>
        <v>122510.74929264619</v>
      </c>
      <c r="N56" s="19">
        <f>CUSTOS!$D$4</f>
        <v>0</v>
      </c>
      <c r="O56" s="19">
        <f>CUSTOS!$D$5</f>
        <v>0</v>
      </c>
      <c r="P56" s="19">
        <f>CUSTOS!$D$6</f>
        <v>0</v>
      </c>
      <c r="Q56" s="19">
        <f>CUSTOS!$D$7</f>
        <v>3506533.3199799983</v>
      </c>
      <c r="R56" s="19">
        <f>CUSTOS!$D$8</f>
        <v>591110.68967999984</v>
      </c>
      <c r="S56" s="19">
        <f>CUSTOS!$D$9</f>
        <v>0</v>
      </c>
      <c r="T56" s="19">
        <f>CUSTOS!$D$10</f>
        <v>5159730.0583209535</v>
      </c>
      <c r="U56" s="19">
        <f>CUSTOS!$D$11</f>
        <v>0</v>
      </c>
      <c r="V56" s="19">
        <f>IF(SUM(V53:V55)&lt;&gt;0,CUSTOS!$D$12+CUSTOS!$D$16+CUSTOS!$D$17-'TR TUSD'!$Z$54-'TR TUSD'!$AA$54,0)</f>
        <v>0</v>
      </c>
      <c r="W56" s="19">
        <f>CUSTOS!$D$13</f>
        <v>0</v>
      </c>
      <c r="X56" s="19">
        <f>CUSTOS!$D$14</f>
        <v>0</v>
      </c>
      <c r="Y56" s="19">
        <f>IF(SUM(V53:V55)=0,CUSTOS!$D$15+CUSTOS!$D$16+CUSTOS!$D$17-'TR TUSD'!$Z$54-'TR TUSD'!$AA$54,CUSTOS!$D$15)</f>
        <v>8087693.3765699323</v>
      </c>
      <c r="Z56" s="19">
        <f>Z54</f>
        <v>0</v>
      </c>
      <c r="AA56" s="19">
        <f>AA54</f>
        <v>0</v>
      </c>
      <c r="AB56" s="19">
        <f>CUSTOS!$D$18</f>
        <v>8087693.3765699323</v>
      </c>
      <c r="AC56" s="19">
        <f>CUSTOS!$D$19</f>
        <v>26189026.16</v>
      </c>
      <c r="AD56" s="19">
        <f>CUSTOS!$D$20</f>
        <v>26189026.16</v>
      </c>
      <c r="AE56" s="19">
        <f>CUSTOS!$D$21</f>
        <v>0</v>
      </c>
      <c r="AF56" s="19">
        <f>CUSTOS!$D$22</f>
        <v>0</v>
      </c>
      <c r="AG56" s="19">
        <f>CUSTOS!$D$23</f>
        <v>0</v>
      </c>
      <c r="AH56" s="19">
        <f>CUSTOS!$D$24</f>
        <v>1385980.7356645614</v>
      </c>
      <c r="AI56" s="19">
        <f>CUSTOS!$D$25</f>
        <v>0</v>
      </c>
      <c r="AJ56" s="19">
        <f>CUSTOS!$D$26</f>
        <v>131892.92649229267</v>
      </c>
      <c r="AK56" s="19">
        <f>CUSTOS!$D$27</f>
        <v>0</v>
      </c>
      <c r="AL56" s="19">
        <f>CUSTOS!$D$28</f>
        <v>1517873.6621568541</v>
      </c>
      <c r="AM56" s="19">
        <f>CUSTOS!$D$29</f>
        <v>40954323.257047743</v>
      </c>
    </row>
    <row r="57" spans="1:42" ht="11.25" customHeight="1" x14ac:dyDescent="0.25">
      <c r="K57" s="18" t="s">
        <v>487</v>
      </c>
      <c r="L57" s="19">
        <f>CUSTOS!$E$2</f>
        <v>0</v>
      </c>
      <c r="M57" s="19">
        <f>CUSTOS!$E$3</f>
        <v>5151.4439600447486</v>
      </c>
      <c r="N57" s="19">
        <f>CUSTOS!$E$4</f>
        <v>0</v>
      </c>
      <c r="O57" s="19">
        <f>CUSTOS!$E$5</f>
        <v>0</v>
      </c>
      <c r="P57" s="19">
        <f>CUSTOS!$E$6</f>
        <v>0</v>
      </c>
      <c r="Q57" s="19">
        <f>CUSTOS!$E$7</f>
        <v>180147.7937953643</v>
      </c>
      <c r="R57" s="19">
        <f>CUSTOS!$E$8</f>
        <v>19778.411797242152</v>
      </c>
      <c r="S57" s="19">
        <f>CUSTOS!$E$9</f>
        <v>0</v>
      </c>
      <c r="T57" s="19">
        <f>CUSTOS!$E$10</f>
        <v>205077.64955265119</v>
      </c>
      <c r="U57" s="19">
        <f>CUSTOS!$E$11</f>
        <v>0</v>
      </c>
      <c r="V57" s="19">
        <f>CUSTOS!$E$12</f>
        <v>0</v>
      </c>
      <c r="W57" s="19">
        <f>CUSTOS!$E$13</f>
        <v>0</v>
      </c>
      <c r="X57" s="19">
        <f>CUSTOS!$E$14</f>
        <v>0</v>
      </c>
      <c r="Y57" s="19">
        <f>CUSTOS!$E$15</f>
        <v>2057012.1713465147</v>
      </c>
      <c r="Z57" s="19">
        <f>CUSTOS!$E$16</f>
        <v>0</v>
      </c>
      <c r="AA57" s="19">
        <f>CUSTOS!$E$17</f>
        <v>0</v>
      </c>
      <c r="AB57" s="19">
        <f>CUSTOS!$E$18</f>
        <v>2057012.1713465147</v>
      </c>
      <c r="AC57" s="19">
        <f>CUSTOS!$E$19</f>
        <v>-4988536.0950042587</v>
      </c>
      <c r="AD57" s="19">
        <f>CUSTOS!$E$20</f>
        <v>-4988536.0950042587</v>
      </c>
      <c r="AE57" s="19">
        <f>CUSTOS!$E$21</f>
        <v>0</v>
      </c>
      <c r="AF57" s="19">
        <f>CUSTOS!$E$22</f>
        <v>0</v>
      </c>
      <c r="AG57" s="19">
        <f>CUSTOS!$E$23</f>
        <v>0</v>
      </c>
      <c r="AH57" s="19">
        <f>CUSTOS!$E$24</f>
        <v>393198.64148726751</v>
      </c>
      <c r="AI57" s="19">
        <f>CUSTOS!$E$25</f>
        <v>0</v>
      </c>
      <c r="AJ57" s="19">
        <f>CUSTOS!$E$26</f>
        <v>37417.63372611611</v>
      </c>
      <c r="AK57" s="19">
        <f>CUSTOS!$E$27</f>
        <v>0</v>
      </c>
      <c r="AL57" s="19">
        <f>CUSTOS!$E$28</f>
        <v>430616.2752133836</v>
      </c>
      <c r="AM57" s="19">
        <f>CUSTOS!$E$29</f>
        <v>-2295829.9988917094</v>
      </c>
    </row>
    <row r="58" spans="1:42" ht="11.25" customHeight="1" x14ac:dyDescent="0.25">
      <c r="K58" s="18" t="s">
        <v>488</v>
      </c>
      <c r="L58" s="19">
        <f>CUSTOS!$F$2</f>
        <v>0</v>
      </c>
      <c r="M58" s="19">
        <f>CUSTOS!$F$3</f>
        <v>0</v>
      </c>
      <c r="N58" s="19">
        <f>CUSTOS!$F$4</f>
        <v>0</v>
      </c>
      <c r="O58" s="19">
        <f>CUSTOS!$F$5</f>
        <v>0</v>
      </c>
      <c r="P58" s="19">
        <f>CUSTOS!$F$6</f>
        <v>0</v>
      </c>
      <c r="Q58" s="19">
        <f>CUSTOS!$F$7</f>
        <v>0</v>
      </c>
      <c r="R58" s="19">
        <f>CUSTOS!$F$8</f>
        <v>0</v>
      </c>
      <c r="S58" s="19">
        <f>CUSTOS!$F$9</f>
        <v>0</v>
      </c>
      <c r="T58" s="19">
        <f>CUSTOS!$F$10</f>
        <v>0</v>
      </c>
      <c r="U58" s="19">
        <f>CUSTOS!$F$11</f>
        <v>0</v>
      </c>
      <c r="V58" s="19">
        <f>CUSTOS!$F$12</f>
        <v>0</v>
      </c>
      <c r="W58" s="19">
        <f>CUSTOS!$F$13</f>
        <v>0</v>
      </c>
      <c r="X58" s="19">
        <f>CUSTOS!$F$14</f>
        <v>0</v>
      </c>
      <c r="Y58" s="19">
        <f>CUSTOS!$F$15</f>
        <v>0</v>
      </c>
      <c r="Z58" s="19">
        <f>CUSTOS!$F$16</f>
        <v>0</v>
      </c>
      <c r="AA58" s="19">
        <f>CUSTOS!$F$17</f>
        <v>0</v>
      </c>
      <c r="AB58" s="19">
        <f>CUSTOS!$F$18</f>
        <v>0</v>
      </c>
      <c r="AC58" s="19">
        <f>CUSTOS!$F$19</f>
        <v>0</v>
      </c>
      <c r="AD58" s="19">
        <f>CUSTOS!$F$20</f>
        <v>0</v>
      </c>
      <c r="AE58" s="19">
        <f>CUSTOS!$F$21</f>
        <v>0</v>
      </c>
      <c r="AF58" s="19">
        <f>CUSTOS!$F$22</f>
        <v>0</v>
      </c>
      <c r="AG58" s="19">
        <f>CUSTOS!$F$23</f>
        <v>0</v>
      </c>
      <c r="AH58" s="19">
        <f>CUSTOS!$F$24</f>
        <v>0</v>
      </c>
      <c r="AI58" s="19">
        <f>CUSTOS!$F$25</f>
        <v>0</v>
      </c>
      <c r="AJ58" s="19">
        <f>CUSTOS!$F$26</f>
        <v>0</v>
      </c>
      <c r="AK58" s="19">
        <f>CUSTOS!$F$27</f>
        <v>0</v>
      </c>
      <c r="AL58" s="19">
        <f>CUSTOS!$F$28</f>
        <v>0</v>
      </c>
      <c r="AM58" s="19">
        <f>CUSTOS!$F$29</f>
        <v>0</v>
      </c>
    </row>
    <row r="59" spans="1:42" ht="11.25" customHeight="1" x14ac:dyDescent="0.25">
      <c r="K59" s="18" t="s">
        <v>551</v>
      </c>
      <c r="L59" s="19">
        <v>0</v>
      </c>
      <c r="M59" s="19">
        <v>0</v>
      </c>
      <c r="N59" s="19">
        <v>0</v>
      </c>
      <c r="O59" s="19">
        <v>0</v>
      </c>
      <c r="P59" s="19">
        <v>0</v>
      </c>
      <c r="Q59" s="19">
        <v>0</v>
      </c>
      <c r="R59" s="19">
        <v>0</v>
      </c>
      <c r="S59" s="19">
        <v>0</v>
      </c>
      <c r="T59" s="19"/>
      <c r="U59" s="19">
        <v>0</v>
      </c>
      <c r="V59" s="19">
        <v>0</v>
      </c>
      <c r="W59" s="19">
        <v>0</v>
      </c>
      <c r="X59" s="19">
        <v>0</v>
      </c>
      <c r="Y59" s="19">
        <v>0</v>
      </c>
      <c r="Z59" s="19">
        <v>0</v>
      </c>
      <c r="AA59" s="19">
        <v>0</v>
      </c>
      <c r="AB59" s="19"/>
      <c r="AC59" s="19">
        <v>0</v>
      </c>
      <c r="AD59" s="19"/>
      <c r="AE59" s="19">
        <v>0</v>
      </c>
      <c r="AF59" s="19">
        <v>0</v>
      </c>
      <c r="AG59" s="19"/>
      <c r="AH59" s="19">
        <v>0</v>
      </c>
      <c r="AI59" s="19">
        <v>0</v>
      </c>
      <c r="AJ59" s="19">
        <v>0</v>
      </c>
      <c r="AK59" s="19">
        <v>0</v>
      </c>
      <c r="AL59" s="19"/>
      <c r="AM59" s="19"/>
    </row>
    <row r="60" spans="1:42" ht="11.25" customHeight="1" x14ac:dyDescent="0.25">
      <c r="K60" s="18" t="s">
        <v>552</v>
      </c>
      <c r="L60" s="19">
        <f t="shared" ref="L60:S60" si="1">IF((L55+L53)&lt;&gt;0,(L56-L54-L59)/(L55+L53),0)</f>
        <v>23.676382817448843</v>
      </c>
      <c r="M60" s="19">
        <f t="shared" si="1"/>
        <v>1.0381082391942813</v>
      </c>
      <c r="N60" s="19">
        <f t="shared" ca="1" si="1"/>
        <v>0</v>
      </c>
      <c r="O60" s="19">
        <f t="shared" si="1"/>
        <v>0</v>
      </c>
      <c r="P60" s="19">
        <f t="shared" si="1"/>
        <v>0</v>
      </c>
      <c r="Q60" s="19">
        <f t="shared" si="1"/>
        <v>88.361225866413548</v>
      </c>
      <c r="R60" s="19">
        <f t="shared" si="1"/>
        <v>14.657753077660844</v>
      </c>
      <c r="S60" s="19">
        <f t="shared" si="1"/>
        <v>0</v>
      </c>
      <c r="T60" s="19"/>
      <c r="U60" s="19">
        <f>IF(U55&lt;&gt;0,(U56-U54-U53-U59)/U55,0)</f>
        <v>0</v>
      </c>
      <c r="V60" s="19">
        <f>IF(V55&lt;&gt;0,(V56-V54-V53-V59)/V55,0)</f>
        <v>0</v>
      </c>
      <c r="W60" s="19">
        <f>IF(W55&lt;&gt;0,(W56-W54-W53-W59)/W55,0)</f>
        <v>0</v>
      </c>
      <c r="X60" s="19">
        <f>IF(X55&lt;&gt;0,(X56-X54-X53-X59)/X55,0)</f>
        <v>0</v>
      </c>
      <c r="Y60" s="19">
        <f>IF(Y55&lt;&gt;0,(Y56-Y54-Y53-Y59)/Y55,0)</f>
        <v>11.249383958489867</v>
      </c>
      <c r="Z60" s="19"/>
      <c r="AA60" s="19"/>
      <c r="AB60" s="19"/>
      <c r="AC60" s="19">
        <f>IF(AC55&lt;&gt;0,(AC56-AC54-AC53-AC59)/AC55,0)</f>
        <v>2.658020284511486</v>
      </c>
      <c r="AD60" s="19"/>
      <c r="AE60" s="19">
        <f>IF((AE55+AE53)&lt;&gt;0,(AE56-AE54-AE59)/(AE55+AE53),0)</f>
        <v>0</v>
      </c>
      <c r="AF60" s="19">
        <f>IF((AF55+AF53)&lt;&gt;0,(AF56-AF54-AF59)/(AF55+AF53),0)</f>
        <v>0</v>
      </c>
      <c r="AG60" s="19"/>
      <c r="AH60" s="19">
        <f>IF(AH55&lt;&gt;0,(AH56-AH54-AH53-AH59)/AH55,0)</f>
        <v>0.91826824321154721</v>
      </c>
      <c r="AI60" s="19">
        <f>IF(AI55&lt;&gt;0,(AI56-AI54-AI53-AI59)/AI55,0)</f>
        <v>0</v>
      </c>
      <c r="AJ60" s="19">
        <f ca="1">IF((AJ55+AJ53)&lt;&gt;0,(AJ56-AJ54-AJ59)/(AJ55+AJ53),0)</f>
        <v>1.0376154957088608</v>
      </c>
      <c r="AK60" s="19">
        <f ca="1">IF((AK55+AK53)&lt;&gt;0,(AK56-AK54-AK59)/(AK55+AK53),0)</f>
        <v>0</v>
      </c>
      <c r="AL60" s="19"/>
      <c r="AM60" s="19"/>
    </row>
    <row r="62" spans="1:42" ht="11.25" customHeight="1" x14ac:dyDescent="0.25">
      <c r="K62" s="29" t="s">
        <v>556</v>
      </c>
      <c r="L62" s="29" t="s">
        <v>557</v>
      </c>
      <c r="M62" s="29" t="s">
        <v>558</v>
      </c>
      <c r="N62" s="29" t="s">
        <v>559</v>
      </c>
      <c r="O62" s="29" t="s">
        <v>560</v>
      </c>
      <c r="P62" s="29" t="s">
        <v>561</v>
      </c>
    </row>
    <row r="63" spans="1:42" ht="11.25" customHeight="1" x14ac:dyDescent="0.25">
      <c r="K63" s="21" t="s">
        <v>33</v>
      </c>
      <c r="L63" s="21">
        <f ca="1">+(+'TUSD BE'!$L$5+'TUSD BE'!$M$5+'TUSD BE'!$N$5+'TUSD BE'!$O$5+'TUSD BE'!$P$5+'TUSD BE'!$Q$5+'TUSD BE'!$R$5+'TUSD BE'!$S$5+'TUSD BE'!$U$5+'TUSD BE'!$V$5+'TUSD BE'!$W$5+'TUSD BE'!$X$5+'TUSD BE'!$Y$5+'TUSD BE'!$Z$5+'TUSD BE'!$AA$5+'TUSD BE'!$AC$5+'TUSD BE'!$AH$5+'TUSD BE'!$AI$5)*'TUSD BE'!$I$5+(+'TUSD BE'!$L$6+'TUSD BE'!$M$6+'TUSD BE'!$N$6+'TUSD BE'!$O$6+'TUSD BE'!$P$6+'TUSD BE'!$Q$6+'TUSD BE'!$R$6+'TUSD BE'!$S$6+'TUSD BE'!$U$6+'TUSD BE'!$V$6+'TUSD BE'!$W$6+'TUSD BE'!$X$6+'TUSD BE'!$Y$6+'TUSD BE'!$Z$6+'TUSD BE'!$AA$6+'TUSD BE'!$AC$6+'TUSD BE'!$AH$6+'TUSD BE'!$AI$6)*'TUSD BE'!$I$6+(+'TUSD BE'!$L$7+'TUSD BE'!$M$7+'TUSD BE'!$N$7+'TUSD BE'!$O$7+'TUSD BE'!$P$7+'TUSD BE'!$Q$7+'TUSD BE'!$R$7+'TUSD BE'!$S$7+'TUSD BE'!$U$7+'TUSD BE'!$V$7+'TUSD BE'!$W$7+'TUSD BE'!$X$7+'TUSD BE'!$Y$7+'TUSD BE'!$Z$7+'TUSD BE'!$AA$7+'TUSD BE'!$AC$7+'TUSD BE'!$AH$7+'TUSD BE'!$AI$7)*'TUSD BE'!$I$7+(+'TUSD BE'!$L$8+'TUSD BE'!$M$8+'TUSD BE'!$N$8+'TUSD BE'!$O$8+'TUSD BE'!$P$8+'TUSD BE'!$Q$8+'TUSD BE'!$R$8+'TUSD BE'!$S$8+'TUSD BE'!$U$8+'TUSD BE'!$V$8+'TUSD BE'!$W$8+'TUSD BE'!$X$8+'TUSD BE'!$Y$8+'TUSD BE'!$Z$8+'TUSD BE'!$AA$8+'TUSD BE'!$AC$8+'TUSD BE'!$AH$8+'TUSD BE'!$AI$8)*'TUSD BE'!$I$8+(+'TUSD BE'!$L$10+'TUSD BE'!$M$10+'TUSD BE'!$N$10+'TUSD BE'!$O$10+'TUSD BE'!$P$10+'TUSD BE'!$Q$10+'TUSD BE'!$R$10+'TUSD BE'!$S$10+'TUSD BE'!$U$10+'TUSD BE'!$V$10+'TUSD BE'!$W$10+'TUSD BE'!$X$10+'TUSD BE'!$Y$10+'TUSD BE'!$Z$10+'TUSD BE'!$AA$10+'TUSD BE'!$AC$10+'TUSD BE'!$AH$10+'TUSD BE'!$AI$10)*'TUSD BE'!$I$10+(+'TUSD BE'!$L$11+'TUSD BE'!$M$11+'TUSD BE'!$N$11+'TUSD BE'!$O$11+'TUSD BE'!$P$11+'TUSD BE'!$Q$11+'TUSD BE'!$R$11+'TUSD BE'!$S$11+'TUSD BE'!$U$11+'TUSD BE'!$V$11+'TUSD BE'!$W$11+'TUSD BE'!$X$11+'TUSD BE'!$Y$11+'TUSD BE'!$Z$11+'TUSD BE'!$AA$11+'TUSD BE'!$AC$11+'TUSD BE'!$AH$11+'TUSD BE'!$AI$11)*'TUSD BE'!$I$11+(+'TUSD BE'!$L$12+'TUSD BE'!$M$12+'TUSD BE'!$N$12+'TUSD BE'!$O$12+'TUSD BE'!$P$12+'TUSD BE'!$Q$12+'TUSD BE'!$R$12+'TUSD BE'!$S$12+'TUSD BE'!$U$12+'TUSD BE'!$V$12+'TUSD BE'!$W$12+'TUSD BE'!$X$12+'TUSD BE'!$Y$12+'TUSD BE'!$Z$12+'TUSD BE'!$AA$12+'TUSD BE'!$AC$12+'TUSD BE'!$AH$12+'TUSD BE'!$AI$12)*'TUSD BE'!$I$12+(+'TUSD BE'!$L$13+'TUSD BE'!$M$13+'TUSD BE'!$N$13+'TUSD BE'!$O$13+'TUSD BE'!$P$13+'TUSD BE'!$Q$13+'TUSD BE'!$R$13+'TUSD BE'!$S$13+'TUSD BE'!$U$13+'TUSD BE'!$V$13+'TUSD BE'!$W$13+'TUSD BE'!$X$13+'TUSD BE'!$Y$13+'TUSD BE'!$Z$13+'TUSD BE'!$AA$13+'TUSD BE'!$AC$13+'TUSD BE'!$AH$13+'TUSD BE'!$AI$13)*'TUSD BE'!$I$13+(+'TUSD BE'!$L$14+'TUSD BE'!$M$14+'TUSD BE'!$N$14+'TUSD BE'!$O$14+'TUSD BE'!$P$14+'TUSD BE'!$Q$14+'TUSD BE'!$R$14+'TUSD BE'!$S$14+'TUSD BE'!$U$14+'TUSD BE'!$V$14+'TUSD BE'!$W$14+'TUSD BE'!$X$14+'TUSD BE'!$Y$14+'TUSD BE'!$Z$14+'TUSD BE'!$AA$14+'TUSD BE'!$AC$14+'TUSD BE'!$AH$14+'TUSD BE'!$AI$14)*'TUSD BE'!$I$14</f>
        <v>2561240.3396300171</v>
      </c>
      <c r="M63" s="21">
        <f>+'TUSD BE'!$I$7+'TUSD BE'!$I$8+'TUSD BE'!$I$11+'TUSD BE'!$I$12+'TUSD BE'!$I$13+'TUSD BE'!$I$14</f>
        <v>4021.4849999999997</v>
      </c>
      <c r="N63" s="21">
        <f ca="1">IF(AND($L$70&lt;&gt;0,M63&lt;&gt;0),(L63/$L$70*$AJ$56)/M63,0)</f>
        <v>2.05772118280878</v>
      </c>
      <c r="O63" s="21"/>
      <c r="P63" s="21"/>
    </row>
    <row r="64" spans="1:42" ht="11.25" customHeight="1" x14ac:dyDescent="0.25">
      <c r="K64" s="21" t="s">
        <v>81</v>
      </c>
      <c r="L64" s="21">
        <f ca="1">+$L$65+$L$66+$L$67+$L$68+$L$69</f>
        <v>38261189.990925051</v>
      </c>
      <c r="M64" s="21">
        <f>+$M$65+$M$66+$M$67+$M$68+$M$69</f>
        <v>38942.093999999997</v>
      </c>
      <c r="N64" s="21">
        <f ca="1">IF(AND($L$70&lt;&gt;0,M64&lt;&gt;0),(L64/$L$70*$AJ$56)/M64,0)</f>
        <v>3.1744012435860509</v>
      </c>
      <c r="O64" s="21"/>
      <c r="P64" s="21"/>
    </row>
    <row r="65" spans="11:16" ht="11.25" customHeight="1" x14ac:dyDescent="0.25">
      <c r="K65" s="21" t="s">
        <v>81</v>
      </c>
      <c r="L65" s="21"/>
      <c r="M65" s="21"/>
      <c r="N65" s="21">
        <f ca="1">IF(AND($L$70&lt;&gt;0,M65&lt;&gt;0),(L65/$L$70*$AJ$56)/M65,0)</f>
        <v>0</v>
      </c>
      <c r="O65" s="21"/>
      <c r="P65" s="21"/>
    </row>
    <row r="66" spans="11:16" ht="11.25" customHeight="1" x14ac:dyDescent="0.25">
      <c r="K66" s="21" t="s">
        <v>22</v>
      </c>
      <c r="L66" s="21">
        <f ca="1">+(+'TUSD BE'!$L$17+'TUSD BE'!$M$17+'TUSD BE'!$N$17+'TUSD BE'!$O$17+'TUSD BE'!$P$17+'TUSD BE'!$Q$17+'TUSD BE'!$R$17+'TUSD BE'!$S$17+'TUSD BE'!$U$17+'TUSD BE'!$V$17+'TUSD BE'!$W$17+'TUSD BE'!$X$17+'TUSD BE'!$Y$17+'TUSD BE'!$Z$17+'TUSD BE'!$AA$17+'TUSD BE'!$AC$17+'TUSD BE'!$AH$17+'TUSD BE'!$AI$17)*'TUSD BE'!$I$17+(+'TUSD BE'!$L$18+'TUSD BE'!$M$18+'TUSD BE'!$N$18+'TUSD BE'!$O$18+'TUSD BE'!$P$18+'TUSD BE'!$Q$18+'TUSD BE'!$R$18+'TUSD BE'!$S$18+'TUSD BE'!$U$18+'TUSD BE'!$V$18+'TUSD BE'!$W$18+'TUSD BE'!$X$18+'TUSD BE'!$Y$18+'TUSD BE'!$Z$18+'TUSD BE'!$AA$18+'TUSD BE'!$AC$18+'TUSD BE'!$AH$18+'TUSD BE'!$AI$18)*'TUSD BE'!$I$18+(+'TUSD BE'!$L$19+'TUSD BE'!$M$19+'TUSD BE'!$N$19+'TUSD BE'!$O$19+'TUSD BE'!$P$19+'TUSD BE'!$Q$19+'TUSD BE'!$R$19+'TUSD BE'!$S$19+'TUSD BE'!$U$19+'TUSD BE'!$V$19+'TUSD BE'!$W$19+'TUSD BE'!$X$19+'TUSD BE'!$Y$19+'TUSD BE'!$Z$19+'TUSD BE'!$AA$19+'TUSD BE'!$AC$19+'TUSD BE'!$AH$19+'TUSD BE'!$AI$19)*'TUSD BE'!$I$19+(+'TUSD BE'!$L$20+'TUSD BE'!$M$20+'TUSD BE'!$N$20+'TUSD BE'!$O$20+'TUSD BE'!$P$20+'TUSD BE'!$Q$20+'TUSD BE'!$R$20+'TUSD BE'!$S$20+'TUSD BE'!$U$20+'TUSD BE'!$V$20+'TUSD BE'!$W$20+'TUSD BE'!$X$20+'TUSD BE'!$Y$20+'TUSD BE'!$Z$20+'TUSD BE'!$AA$20+'TUSD BE'!$AC$20+'TUSD BE'!$AH$20+'TUSD BE'!$AI$20)*'TUSD BE'!$I$20+(+'TUSD BE'!$L$21+'TUSD BE'!$M$21+'TUSD BE'!$N$21+'TUSD BE'!$O$21+'TUSD BE'!$P$21+'TUSD BE'!$Q$21+'TUSD BE'!$R$21+'TUSD BE'!$S$21+'TUSD BE'!$U$21+'TUSD BE'!$V$21+'TUSD BE'!$W$21+'TUSD BE'!$X$21+'TUSD BE'!$Y$21+'TUSD BE'!$Z$21+'TUSD BE'!$AA$21+'TUSD BE'!$AC$21+'TUSD BE'!$AH$21+'TUSD BE'!$AI$21)*'TUSD BE'!$I$21+(+'TUSD BE'!$L$22+'TUSD BE'!$M$22+'TUSD BE'!$N$22+'TUSD BE'!$O$22+'TUSD BE'!$P$22+'TUSD BE'!$Q$22+'TUSD BE'!$R$22+'TUSD BE'!$S$22+'TUSD BE'!$U$22+'TUSD BE'!$V$22+'TUSD BE'!$W$22+'TUSD BE'!$X$22+'TUSD BE'!$Y$22+'TUSD BE'!$Z$22+'TUSD BE'!$AA$22+'TUSD BE'!$AC$22+'TUSD BE'!$AH$22+'TUSD BE'!$AI$22)*'TUSD BE'!$I$22+(+'TUSD BE'!$L$23+'TUSD BE'!$M$23+'TUSD BE'!$N$23+'TUSD BE'!$O$23+'TUSD BE'!$P$23+'TUSD BE'!$Q$23+'TUSD BE'!$R$23+'TUSD BE'!$S$23+'TUSD BE'!$U$23+'TUSD BE'!$V$23+'TUSD BE'!$W$23+'TUSD BE'!$X$23+'TUSD BE'!$Y$23+'TUSD BE'!$Z$23+'TUSD BE'!$AA$23+'TUSD BE'!$AC$23+'TUSD BE'!$AH$23+'TUSD BE'!$AI$23)*'TUSD BE'!$I$23+(+'TUSD BE'!$L$24+'TUSD BE'!$M$24+'TUSD BE'!$N$24+'TUSD BE'!$O$24+'TUSD BE'!$P$24+'TUSD BE'!$Q$24+'TUSD BE'!$R$24+'TUSD BE'!$S$24+'TUSD BE'!$U$24+'TUSD BE'!$V$24+'TUSD BE'!$W$24+'TUSD BE'!$X$24+'TUSD BE'!$Y$24+'TUSD BE'!$Z$24+'TUSD BE'!$AA$24+'TUSD BE'!$AC$24+'TUSD BE'!$AH$24+'TUSD BE'!$AI$24)*'TUSD BE'!$I$24+(+'TUSD BE'!$L$25+'TUSD BE'!$M$25+'TUSD BE'!$N$25+'TUSD BE'!$O$25+'TUSD BE'!$P$25+'TUSD BE'!$Q$25+'TUSD BE'!$R$25+'TUSD BE'!$S$25+'TUSD BE'!$U$25+'TUSD BE'!$V$25+'TUSD BE'!$W$25+'TUSD BE'!$X$25+'TUSD BE'!$Y$25+'TUSD BE'!$Z$25+'TUSD BE'!$AA$25+'TUSD BE'!$AC$25+'TUSD BE'!$AH$25+'TUSD BE'!$AI$25)*'TUSD BE'!$I$25+(+'TUSD BE'!$L$26+'TUSD BE'!$M$26+'TUSD BE'!$N$26+'TUSD BE'!$O$26+'TUSD BE'!$P$26+'TUSD BE'!$Q$26+'TUSD BE'!$R$26+'TUSD BE'!$S$26+'TUSD BE'!$U$26+'TUSD BE'!$V$26+'TUSD BE'!$W$26+'TUSD BE'!$X$26+'TUSD BE'!$Y$26+'TUSD BE'!$Z$26+'TUSD BE'!$AA$26+'TUSD BE'!$AC$26+'TUSD BE'!$AH$26+'TUSD BE'!$AI$26)*'TUSD BE'!$I$26+(+'TUSD BE'!$L$27+'TUSD BE'!$M$27+'TUSD BE'!$N$27+'TUSD BE'!$O$27+'TUSD BE'!$P$27+'TUSD BE'!$Q$27+'TUSD BE'!$R$27+'TUSD BE'!$S$27+'TUSD BE'!$U$27+'TUSD BE'!$V$27+'TUSD BE'!$W$27+'TUSD BE'!$X$27+'TUSD BE'!$Y$27+'TUSD BE'!$Z$27+'TUSD BE'!$AA$27+'TUSD BE'!$AC$27+'TUSD BE'!$AH$27+'TUSD BE'!$AI$27)*'TUSD BE'!$I$27+(+'TUSD BE'!$L$28+'TUSD BE'!$M$28+'TUSD BE'!$N$28+'TUSD BE'!$O$28+'TUSD BE'!$P$28+'TUSD BE'!$Q$28+'TUSD BE'!$R$28+'TUSD BE'!$S$28+'TUSD BE'!$U$28+'TUSD BE'!$V$28+'TUSD BE'!$W$28+'TUSD BE'!$X$28+'TUSD BE'!$Y$28+'TUSD BE'!$Z$28+'TUSD BE'!$AA$28+'TUSD BE'!$AC$28+'TUSD BE'!$AH$28+'TUSD BE'!$AI$28)*'TUSD BE'!$I$28+(+'TUSD BE'!$L$29+'TUSD BE'!$M$29+'TUSD BE'!$N$29+'TUSD BE'!$O$29+'TUSD BE'!$P$29+'TUSD BE'!$Q$29+'TUSD BE'!$R$29+'TUSD BE'!$S$29+'TUSD BE'!$U$29+'TUSD BE'!$V$29+'TUSD BE'!$W$29+'TUSD BE'!$X$29+'TUSD BE'!$Y$29+'TUSD BE'!$Z$29+'TUSD BE'!$AA$29+'TUSD BE'!$AC$29+'TUSD BE'!$AH$29+'TUSD BE'!$AI$29)*'TUSD BE'!$I$29</f>
        <v>28231079.666478265</v>
      </c>
      <c r="M66" s="21">
        <f>+'TUSD BE'!$I$17+'TUSD BE'!$I$18+'TUSD BE'!$I$19+'TUSD BE'!$I$20+'TUSD BE'!$I$21+'TUSD BE'!$I$22+'TUSD BE'!$I$23+'TUSD BE'!$I$24+'TUSD BE'!$I$25+'TUSD BE'!$I$26+'TUSD BE'!$I$27+'TUSD BE'!$I$28+'TUSD BE'!$I$29</f>
        <v>27659.256999999998</v>
      </c>
      <c r="N66" s="21"/>
      <c r="O66" s="21"/>
      <c r="P66" s="21"/>
    </row>
    <row r="67" spans="11:16" ht="11.25" customHeight="1" x14ac:dyDescent="0.25">
      <c r="K67" s="21" t="s">
        <v>43</v>
      </c>
      <c r="L67" s="21">
        <f ca="1">+(+'TUSD BE'!$L$30+'TUSD BE'!$M$30+'TUSD BE'!$N$30+'TUSD BE'!$O$30+'TUSD BE'!$P$30+'TUSD BE'!$Q$30+'TUSD BE'!$R$30+'TUSD BE'!$S$30+'TUSD BE'!$U$30+'TUSD BE'!$V$30+'TUSD BE'!$W$30+'TUSD BE'!$X$30+'TUSD BE'!$Y$30+'TUSD BE'!$Z$30+'TUSD BE'!$AA$30+'TUSD BE'!$AC$30+'TUSD BE'!$AH$30+'TUSD BE'!$AI$30)*'TUSD BE'!$I$30+(+'TUSD BE'!$L$31+'TUSD BE'!$M$31+'TUSD BE'!$N$31+'TUSD BE'!$O$31+'TUSD BE'!$P$31+'TUSD BE'!$Q$31+'TUSD BE'!$R$31+'TUSD BE'!$S$31+'TUSD BE'!$U$31+'TUSD BE'!$V$31+'TUSD BE'!$W$31+'TUSD BE'!$X$31+'TUSD BE'!$Y$31+'TUSD BE'!$Z$31+'TUSD BE'!$AA$31+'TUSD BE'!$AC$31+'TUSD BE'!$AH$31+'TUSD BE'!$AI$31)*'TUSD BE'!$I$31+(+'TUSD BE'!$L$32+'TUSD BE'!$M$32+'TUSD BE'!$N$32+'TUSD BE'!$O$32+'TUSD BE'!$P$32+'TUSD BE'!$Q$32+'TUSD BE'!$R$32+'TUSD BE'!$S$32+'TUSD BE'!$U$32+'TUSD BE'!$V$32+'TUSD BE'!$W$32+'TUSD BE'!$X$32+'TUSD BE'!$Y$32+'TUSD BE'!$Z$32+'TUSD BE'!$AA$32+'TUSD BE'!$AC$32+'TUSD BE'!$AH$32+'TUSD BE'!$AI$32)*'TUSD BE'!$I$32+(+'TUSD BE'!$L$33+'TUSD BE'!$M$33+'TUSD BE'!$N$33+'TUSD BE'!$O$33+'TUSD BE'!$P$33+'TUSD BE'!$Q$33+'TUSD BE'!$R$33+'TUSD BE'!$S$33+'TUSD BE'!$U$33+'TUSD BE'!$V$33+'TUSD BE'!$W$33+'TUSD BE'!$X$33+'TUSD BE'!$Y$33+'TUSD BE'!$Z$33+'TUSD BE'!$AA$33+'TUSD BE'!$AC$33+'TUSD BE'!$AH$33+'TUSD BE'!$AI$33)*'TUSD BE'!$I$33+(+'TUSD BE'!$L$34+'TUSD BE'!$M$34+'TUSD BE'!$N$34+'TUSD BE'!$O$34+'TUSD BE'!$P$34+'TUSD BE'!$Q$34+'TUSD BE'!$R$34+'TUSD BE'!$S$34+'TUSD BE'!$U$34+'TUSD BE'!$V$34+'TUSD BE'!$W$34+'TUSD BE'!$X$34+'TUSD BE'!$Y$34+'TUSD BE'!$Z$34+'TUSD BE'!$AA$34+'TUSD BE'!$AC$34+'TUSD BE'!$AH$34+'TUSD BE'!$AI$34)*'TUSD BE'!$I$34+(+'TUSD BE'!$L$35+'TUSD BE'!$M$35+'TUSD BE'!$N$35+'TUSD BE'!$O$35+'TUSD BE'!$P$35+'TUSD BE'!$Q$35+'TUSD BE'!$R$35+'TUSD BE'!$S$35+'TUSD BE'!$U$35+'TUSD BE'!$V$35+'TUSD BE'!$W$35+'TUSD BE'!$X$35+'TUSD BE'!$Y$35+'TUSD BE'!$Z$35+'TUSD BE'!$AA$35+'TUSD BE'!$AC$35+'TUSD BE'!$AH$35+'TUSD BE'!$AI$35)*'TUSD BE'!$I$35+(+'TUSD BE'!$L$36+'TUSD BE'!$M$36+'TUSD BE'!$N$36+'TUSD BE'!$O$36+'TUSD BE'!$P$36+'TUSD BE'!$Q$36+'TUSD BE'!$R$36+'TUSD BE'!$S$36+'TUSD BE'!$U$36+'TUSD BE'!$V$36+'TUSD BE'!$W$36+'TUSD BE'!$X$36+'TUSD BE'!$Y$36+'TUSD BE'!$Z$36+'TUSD BE'!$AA$36+'TUSD BE'!$AC$36+'TUSD BE'!$AH$36+'TUSD BE'!$AI$36)*'TUSD BE'!$I$36+(+'TUSD BE'!$L$37+'TUSD BE'!$M$37+'TUSD BE'!$N$37+'TUSD BE'!$O$37+'TUSD BE'!$P$37+'TUSD BE'!$Q$37+'TUSD BE'!$R$37+'TUSD BE'!$S$37+'TUSD BE'!$U$37+'TUSD BE'!$V$37+'TUSD BE'!$W$37+'TUSD BE'!$X$37+'TUSD BE'!$Y$37+'TUSD BE'!$Z$37+'TUSD BE'!$AA$37+'TUSD BE'!$AC$37+'TUSD BE'!$AH$37+'TUSD BE'!$AI$37)*'TUSD BE'!$I$37+(+'TUSD BE'!$L$38+'TUSD BE'!$M$38+'TUSD BE'!$N$38+'TUSD BE'!$O$38+'TUSD BE'!$P$38+'TUSD BE'!$Q$38+'TUSD BE'!$R$38+'TUSD BE'!$S$38+'TUSD BE'!$U$38+'TUSD BE'!$V$38+'TUSD BE'!$W$38+'TUSD BE'!$X$38+'TUSD BE'!$Y$38+'TUSD BE'!$Z$38+'TUSD BE'!$AA$38+'TUSD BE'!$AC$38+'TUSD BE'!$AH$38+'TUSD BE'!$AI$38)*'TUSD BE'!$I$38+(+'TUSD BE'!$L$39+'TUSD BE'!$M$39+'TUSD BE'!$N$39+'TUSD BE'!$O$39+'TUSD BE'!$P$39+'TUSD BE'!$Q$39+'TUSD BE'!$R$39+'TUSD BE'!$S$39+'TUSD BE'!$U$39+'TUSD BE'!$V$39+'TUSD BE'!$W$39+'TUSD BE'!$X$39+'TUSD BE'!$Y$39+'TUSD BE'!$Z$39+'TUSD BE'!$AA$39+'TUSD BE'!$AC$39+'TUSD BE'!$AH$39+'TUSD BE'!$AI$39)*'TUSD BE'!$I$39+(+'TUSD BE'!$L$40+'TUSD BE'!$M$40+'TUSD BE'!$N$40+'TUSD BE'!$O$40+'TUSD BE'!$P$40+'TUSD BE'!$Q$40+'TUSD BE'!$R$40+'TUSD BE'!$S$40+'TUSD BE'!$U$40+'TUSD BE'!$V$40+'TUSD BE'!$W$40+'TUSD BE'!$X$40+'TUSD BE'!$Y$40+'TUSD BE'!$Z$40+'TUSD BE'!$AA$40+'TUSD BE'!$AC$40+'TUSD BE'!$AH$40+'TUSD BE'!$AI$40)*'TUSD BE'!$I$40+(+'TUSD BE'!$L$41+'TUSD BE'!$M$41+'TUSD BE'!$N$41+'TUSD BE'!$O$41+'TUSD BE'!$P$41+'TUSD BE'!$Q$41+'TUSD BE'!$R$41+'TUSD BE'!$S$41+'TUSD BE'!$U$41+'TUSD BE'!$V$41+'TUSD BE'!$W$41+'TUSD BE'!$X$41+'TUSD BE'!$Y$41+'TUSD BE'!$Z$41+'TUSD BE'!$AA$41+'TUSD BE'!$AC$41+'TUSD BE'!$AH$41+'TUSD BE'!$AI$41)*'TUSD BE'!$I$41+(+'TUSD BE'!$L$42+'TUSD BE'!$M$42+'TUSD BE'!$N$42+'TUSD BE'!$O$42+'TUSD BE'!$P$42+'TUSD BE'!$Q$42+'TUSD BE'!$R$42+'TUSD BE'!$S$42+'TUSD BE'!$U$42+'TUSD BE'!$V$42+'TUSD BE'!$W$42+'TUSD BE'!$X$42+'TUSD BE'!$Y$42+'TUSD BE'!$Z$42+'TUSD BE'!$AA$42+'TUSD BE'!$AC$42+'TUSD BE'!$AH$42+'TUSD BE'!$AI$42)*'TUSD BE'!$I$42+(+'TUSD BE'!$L$43+'TUSD BE'!$M$43+'TUSD BE'!$N$43+'TUSD BE'!$O$43+'TUSD BE'!$P$43+'TUSD BE'!$Q$43+'TUSD BE'!$R$43+'TUSD BE'!$S$43+'TUSD BE'!$U$43+'TUSD BE'!$V$43+'TUSD BE'!$W$43+'TUSD BE'!$X$43+'TUSD BE'!$Y$43+'TUSD BE'!$Z$43+'TUSD BE'!$AA$43+'TUSD BE'!$AC$43+'TUSD BE'!$AH$43+'TUSD BE'!$AI$43)*'TUSD BE'!$I$43+(+'TUSD BE'!$L$44+'TUSD BE'!$M$44+'TUSD BE'!$N$44+'TUSD BE'!$O$44+'TUSD BE'!$P$44+'TUSD BE'!$Q$44+'TUSD BE'!$R$44+'TUSD BE'!$S$44+'TUSD BE'!$U$44+'TUSD BE'!$V$44+'TUSD BE'!$W$44+'TUSD BE'!$X$44+'TUSD BE'!$Y$44+'TUSD BE'!$Z$44+'TUSD BE'!$AA$44+'TUSD BE'!$AC$44+'TUSD BE'!$AH$44+'TUSD BE'!$AI$44)*'TUSD BE'!$I$44</f>
        <v>3399318.6739092059</v>
      </c>
      <c r="M67" s="21">
        <f>+'TUSD BE'!$I$30+'TUSD BE'!$I$31+'TUSD BE'!$I$32+'TUSD BE'!$I$33+'TUSD BE'!$I$34+'TUSD BE'!$I$35+'TUSD BE'!$I$36+'TUSD BE'!$I$37+'TUSD BE'!$I$38+'TUSD BE'!$I$39+'TUSD BE'!$I$40+'TUSD BE'!$I$41+'TUSD BE'!$I$42+'TUSD BE'!$I$43+'TUSD BE'!$I$44</f>
        <v>3313.4050000000002</v>
      </c>
      <c r="N67" s="21"/>
      <c r="O67" s="21"/>
      <c r="P67" s="21"/>
    </row>
    <row r="68" spans="11:16" ht="11.25" customHeight="1" x14ac:dyDescent="0.25">
      <c r="K68" s="21" t="s">
        <v>39</v>
      </c>
      <c r="L68" s="21">
        <f ca="1">+(+'TUSD BE'!$L$45+'TUSD BE'!$M$45+'TUSD BE'!$N$45+'TUSD BE'!$O$45+'TUSD BE'!$P$45+'TUSD BE'!$Q$45+'TUSD BE'!$R$45+'TUSD BE'!$S$45+'TUSD BE'!$U$45+'TUSD BE'!$V$45+'TUSD BE'!$W$45+'TUSD BE'!$X$45+'TUSD BE'!$Y$45+'TUSD BE'!$Z$45+'TUSD BE'!$AA$45+'TUSD BE'!$AC$45+'TUSD BE'!$AH$45+'TUSD BE'!$AI$45)*'TUSD BE'!$I$45+(+'TUSD BE'!$L$46+'TUSD BE'!$M$46+'TUSD BE'!$N$46+'TUSD BE'!$O$46+'TUSD BE'!$P$46+'TUSD BE'!$Q$46+'TUSD BE'!$R$46+'TUSD BE'!$S$46+'TUSD BE'!$U$46+'TUSD BE'!$V$46+'TUSD BE'!$W$46+'TUSD BE'!$X$46+'TUSD BE'!$Y$46+'TUSD BE'!$Z$46+'TUSD BE'!$AA$46+'TUSD BE'!$AC$46+'TUSD BE'!$AH$46+'TUSD BE'!$AI$46)*'TUSD BE'!$I$46+(+'TUSD BE'!$L$47+'TUSD BE'!$M$47+'TUSD BE'!$N$47+'TUSD BE'!$O$47+'TUSD BE'!$P$47+'TUSD BE'!$Q$47+'TUSD BE'!$R$47+'TUSD BE'!$S$47+'TUSD BE'!$U$47+'TUSD BE'!$V$47+'TUSD BE'!$W$47+'TUSD BE'!$X$47+'TUSD BE'!$Y$47+'TUSD BE'!$Z$47+'TUSD BE'!$AA$47+'TUSD BE'!$AC$47+'TUSD BE'!$AH$47+'TUSD BE'!$AI$47)*'TUSD BE'!$I$47+(+'TUSD BE'!$L$48+'TUSD BE'!$M$48+'TUSD BE'!$N$48+'TUSD BE'!$O$48+'TUSD BE'!$P$48+'TUSD BE'!$Q$48+'TUSD BE'!$R$48+'TUSD BE'!$S$48+'TUSD BE'!$U$48+'TUSD BE'!$V$48+'TUSD BE'!$W$48+'TUSD BE'!$X$48+'TUSD BE'!$Y$48+'TUSD BE'!$Z$48+'TUSD BE'!$AA$48+'TUSD BE'!$AC$48+'TUSD BE'!$AH$48+'TUSD BE'!$AI$48)*'TUSD BE'!$I$48+(+'TUSD BE'!$L$49+'TUSD BE'!$M$49+'TUSD BE'!$N$49+'TUSD BE'!$O$49+'TUSD BE'!$P$49+'TUSD BE'!$Q$49+'TUSD BE'!$R$49+'TUSD BE'!$S$49+'TUSD BE'!$U$49+'TUSD BE'!$V$49+'TUSD BE'!$W$49+'TUSD BE'!$X$49+'TUSD BE'!$Y$49+'TUSD BE'!$Z$49+'TUSD BE'!$AA$49+'TUSD BE'!$AC$49+'TUSD BE'!$AH$49+'TUSD BE'!$AI$49)*'TUSD BE'!$I$49</f>
        <v>4742115.2352152122</v>
      </c>
      <c r="M68" s="21">
        <f>+'TUSD BE'!$I$45+'TUSD BE'!$I$46+'TUSD BE'!$I$47+'TUSD BE'!$I$48+'TUSD BE'!$I$49</f>
        <v>4622.2640000000001</v>
      </c>
      <c r="N68" s="21"/>
      <c r="O68" s="21"/>
      <c r="P68" s="21"/>
    </row>
    <row r="69" spans="11:16" ht="11.25" customHeight="1" x14ac:dyDescent="0.25">
      <c r="K69" s="21" t="s">
        <v>46</v>
      </c>
      <c r="L69" s="21">
        <f ca="1">+(+'TUSD BE'!$L$50+'TUSD BE'!$M$50+'TUSD BE'!$N$50+'TUSD BE'!$O$50+'TUSD BE'!$P$50+'TUSD BE'!$Q$50+'TUSD BE'!$R$50+'TUSD BE'!$S$50+'TUSD BE'!$U$50+'TUSD BE'!$V$50+'TUSD BE'!$W$50+'TUSD BE'!$X$50+'TUSD BE'!$Y$50+'TUSD BE'!$Z$50+'TUSD BE'!$AA$50+'TUSD BE'!$AC$50+'TUSD BE'!$AH$50+'TUSD BE'!$AI$50)*'TUSD BE'!$I$50+(+'TUSD BE'!$L$51+'TUSD BE'!$M$51+'TUSD BE'!$N$51+'TUSD BE'!$O$51+'TUSD BE'!$P$51+'TUSD BE'!$Q$51+'TUSD BE'!$R$51+'TUSD BE'!$S$51+'TUSD BE'!$U$51+'TUSD BE'!$V$51+'TUSD BE'!$W$51+'TUSD BE'!$X$51+'TUSD BE'!$Y$51+'TUSD BE'!$Z$51+'TUSD BE'!$AA$51+'TUSD BE'!$AC$51+'TUSD BE'!$AH$51+'TUSD BE'!$AI$51)*'TUSD BE'!$I$51</f>
        <v>1888676.4153223741</v>
      </c>
      <c r="M69" s="21">
        <f>+'TUSD BE'!$I$50+'TUSD BE'!$I$51</f>
        <v>3347.1679999999992</v>
      </c>
      <c r="N69" s="21"/>
      <c r="O69" s="21"/>
      <c r="P69" s="21"/>
    </row>
    <row r="70" spans="11:16" ht="11.25" customHeight="1" x14ac:dyDescent="0.25">
      <c r="K70" s="21"/>
      <c r="L70" s="21">
        <f ca="1">SUM($L$63:$L$69,-$L$64)</f>
        <v>40822430.330555074</v>
      </c>
      <c r="M70" s="21">
        <f>SUM($M$63:$M$69,-$M$64)</f>
        <v>42963.578999999998</v>
      </c>
      <c r="N70" s="21"/>
      <c r="O70" s="21"/>
      <c r="P70" s="21"/>
    </row>
  </sheetData>
  <mergeCells count="73">
    <mergeCell ref="E5:E7"/>
    <mergeCell ref="F5:F7"/>
    <mergeCell ref="B10:B14"/>
    <mergeCell ref="C10:C14"/>
    <mergeCell ref="A15:A16"/>
    <mergeCell ref="B15:B16"/>
    <mergeCell ref="C15:C16"/>
    <mergeCell ref="D15:D16"/>
    <mergeCell ref="A5:A14"/>
    <mergeCell ref="B5:B8"/>
    <mergeCell ref="C5:C8"/>
    <mergeCell ref="D5:D8"/>
    <mergeCell ref="D10:D14"/>
    <mergeCell ref="E10:E12"/>
    <mergeCell ref="F10:F12"/>
    <mergeCell ref="E13:E14"/>
    <mergeCell ref="F13:F14"/>
    <mergeCell ref="A17:A29"/>
    <mergeCell ref="B17:B19"/>
    <mergeCell ref="C17:C19"/>
    <mergeCell ref="D17:D19"/>
    <mergeCell ref="E17:E19"/>
    <mergeCell ref="F17:F19"/>
    <mergeCell ref="B20:B24"/>
    <mergeCell ref="C20:C24"/>
    <mergeCell ref="B25:B29"/>
    <mergeCell ref="C25:C29"/>
    <mergeCell ref="E38:E40"/>
    <mergeCell ref="F38:F40"/>
    <mergeCell ref="A30:A44"/>
    <mergeCell ref="B30:B32"/>
    <mergeCell ref="C30:C32"/>
    <mergeCell ref="D30:D32"/>
    <mergeCell ref="E30:E32"/>
    <mergeCell ref="F30:F32"/>
    <mergeCell ref="B34:B36"/>
    <mergeCell ref="C34:C36"/>
    <mergeCell ref="D34:D36"/>
    <mergeCell ref="E34:E36"/>
    <mergeCell ref="F1:F4"/>
    <mergeCell ref="E45:E47"/>
    <mergeCell ref="F45:F47"/>
    <mergeCell ref="A50:A51"/>
    <mergeCell ref="B50:B51"/>
    <mergeCell ref="C50:C51"/>
    <mergeCell ref="B42:B44"/>
    <mergeCell ref="C42:C44"/>
    <mergeCell ref="A45:A49"/>
    <mergeCell ref="B45:B47"/>
    <mergeCell ref="C45:C47"/>
    <mergeCell ref="D45:D47"/>
    <mergeCell ref="F34:F36"/>
    <mergeCell ref="B38:B40"/>
    <mergeCell ref="C38:C40"/>
    <mergeCell ref="D38:D40"/>
    <mergeCell ref="A1:A4"/>
    <mergeCell ref="B1:B4"/>
    <mergeCell ref="C1:C4"/>
    <mergeCell ref="D1:D4"/>
    <mergeCell ref="E1:E4"/>
    <mergeCell ref="AH3:AL3"/>
    <mergeCell ref="AM3:AM4"/>
    <mergeCell ref="AP1:AP4"/>
    <mergeCell ref="G1:G4"/>
    <mergeCell ref="H1:H4"/>
    <mergeCell ref="I1:I4"/>
    <mergeCell ref="J1:J4"/>
    <mergeCell ref="L1:AM1"/>
    <mergeCell ref="L2:AM2"/>
    <mergeCell ref="L3:T3"/>
    <mergeCell ref="U3:AB3"/>
    <mergeCell ref="AC3:AD3"/>
    <mergeCell ref="AE3:AG3"/>
  </mergeCell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BDCAAB-C601-4487-B7A9-FC75834661DA}">
  <dimension ref="A1:AP58"/>
  <sheetViews>
    <sheetView showGridLines="0" topLeftCell="AA29" workbookViewId="0">
      <selection activeCell="AM53" sqref="AM53"/>
    </sheetView>
  </sheetViews>
  <sheetFormatPr defaultRowHeight="11.25" customHeight="1" x14ac:dyDescent="0.25"/>
  <cols>
    <col min="1" max="1" width="9.28515625" style="9" bestFit="1" customWidth="1"/>
    <col min="2" max="2" width="21.5703125" style="9" bestFit="1" customWidth="1"/>
    <col min="3" max="3" width="13.5703125" style="9" bestFit="1" customWidth="1"/>
    <col min="4" max="4" width="25.140625" style="9" bestFit="1" customWidth="1"/>
    <col min="5" max="6" width="10.28515625" style="9" bestFit="1" customWidth="1"/>
    <col min="7" max="7" width="6.28515625" style="9" bestFit="1" customWidth="1"/>
    <col min="8" max="8" width="7.42578125" style="9" bestFit="1" customWidth="1"/>
    <col min="9" max="9" width="7.85546875" style="9" bestFit="1" customWidth="1"/>
    <col min="10" max="10" width="9.140625" style="9"/>
    <col min="11" max="11" width="14.28515625" style="9" bestFit="1" customWidth="1"/>
    <col min="12" max="12" width="13.42578125" style="9" bestFit="1" customWidth="1"/>
    <col min="13" max="13" width="8.7109375" style="9" bestFit="1" customWidth="1"/>
    <col min="14" max="15" width="4.140625" style="9" bestFit="1" customWidth="1"/>
    <col min="16" max="16" width="4.42578125" style="9" bestFit="1" customWidth="1"/>
    <col min="17" max="17" width="10" style="9" bestFit="1" customWidth="1"/>
    <col min="18" max="19" width="8.7109375" style="9" bestFit="1" customWidth="1"/>
    <col min="20" max="20" width="10" style="9" bestFit="1" customWidth="1"/>
    <col min="21" max="21" width="7.42578125" style="9" bestFit="1" customWidth="1"/>
    <col min="22" max="22" width="7.28515625" style="9" bestFit="1" customWidth="1"/>
    <col min="23" max="24" width="9.85546875" style="9" bestFit="1" customWidth="1"/>
    <col min="25" max="25" width="10" style="9" bestFit="1" customWidth="1"/>
    <col min="26" max="26" width="7.7109375" style="9" bestFit="1" customWidth="1"/>
    <col min="27" max="27" width="9.85546875" style="9" bestFit="1" customWidth="1"/>
    <col min="28" max="28" width="10" style="9" bestFit="1" customWidth="1"/>
    <col min="29" max="29" width="11.7109375" style="9" bestFit="1" customWidth="1"/>
    <col min="30" max="30" width="10.85546875" style="9" bestFit="1" customWidth="1"/>
    <col min="31" max="31" width="8" style="9" bestFit="1" customWidth="1"/>
    <col min="32" max="32" width="7.28515625" style="9" bestFit="1" customWidth="1"/>
    <col min="33" max="33" width="9.28515625" style="9" bestFit="1" customWidth="1"/>
    <col min="34" max="34" width="15.28515625" style="9" bestFit="1" customWidth="1"/>
    <col min="35" max="35" width="18" style="9" bestFit="1" customWidth="1"/>
    <col min="36" max="36" width="19.140625" style="9" bestFit="1" customWidth="1"/>
    <col min="37" max="37" width="4" style="9" bestFit="1" customWidth="1"/>
    <col min="38" max="38" width="10" style="9" bestFit="1" customWidth="1"/>
    <col min="39" max="39" width="10.85546875" style="9" bestFit="1" customWidth="1"/>
    <col min="40" max="41" width="9.140625" style="9"/>
    <col min="42" max="42" width="7.85546875" style="9" bestFit="1" customWidth="1"/>
    <col min="43" max="16384" width="9.140625" style="9"/>
  </cols>
  <sheetData>
    <row r="1" spans="1:42" ht="11.25" customHeight="1" x14ac:dyDescent="0.25">
      <c r="A1" s="130" t="s">
        <v>61</v>
      </c>
      <c r="B1" s="130" t="s">
        <v>62</v>
      </c>
      <c r="C1" s="130" t="s">
        <v>63</v>
      </c>
      <c r="D1" s="130" t="s">
        <v>64</v>
      </c>
      <c r="E1" s="130" t="s">
        <v>65</v>
      </c>
      <c r="F1" s="130" t="s">
        <v>15</v>
      </c>
      <c r="G1" s="130" t="s">
        <v>67</v>
      </c>
      <c r="H1" s="130" t="s">
        <v>68</v>
      </c>
      <c r="I1" s="130" t="s">
        <v>545</v>
      </c>
      <c r="J1" s="124"/>
      <c r="L1" s="131" t="s">
        <v>553</v>
      </c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1"/>
      <c r="Y1" s="131"/>
      <c r="Z1" s="131"/>
      <c r="AA1" s="131"/>
      <c r="AB1" s="131"/>
      <c r="AC1" s="131"/>
      <c r="AD1" s="131"/>
      <c r="AE1" s="131"/>
      <c r="AF1" s="131"/>
      <c r="AG1" s="131"/>
      <c r="AH1" s="131"/>
      <c r="AI1" s="131"/>
      <c r="AJ1" s="131"/>
      <c r="AK1" s="131"/>
      <c r="AL1" s="131"/>
      <c r="AM1" s="131"/>
      <c r="AP1" s="131" t="s">
        <v>547</v>
      </c>
    </row>
    <row r="2" spans="1:42" ht="11.25" customHeight="1" x14ac:dyDescent="0.25">
      <c r="A2" s="130"/>
      <c r="B2" s="130"/>
      <c r="C2" s="130"/>
      <c r="D2" s="130"/>
      <c r="E2" s="130"/>
      <c r="F2" s="130"/>
      <c r="G2" s="130"/>
      <c r="H2" s="130"/>
      <c r="I2" s="130"/>
      <c r="J2" s="124"/>
      <c r="L2" s="131" t="s">
        <v>445</v>
      </c>
      <c r="M2" s="131"/>
      <c r="N2" s="131"/>
      <c r="O2" s="131"/>
      <c r="P2" s="131"/>
      <c r="Q2" s="131"/>
      <c r="R2" s="131"/>
      <c r="S2" s="131"/>
      <c r="T2" s="131"/>
      <c r="U2" s="131"/>
      <c r="V2" s="131"/>
      <c r="W2" s="131"/>
      <c r="X2" s="131"/>
      <c r="Y2" s="131"/>
      <c r="Z2" s="131"/>
      <c r="AA2" s="131"/>
      <c r="AB2" s="131"/>
      <c r="AC2" s="131"/>
      <c r="AD2" s="131"/>
      <c r="AE2" s="131"/>
      <c r="AF2" s="131"/>
      <c r="AG2" s="131"/>
      <c r="AH2" s="131"/>
      <c r="AI2" s="131"/>
      <c r="AJ2" s="131"/>
      <c r="AK2" s="131"/>
      <c r="AL2" s="131"/>
      <c r="AM2" s="131"/>
      <c r="AP2" s="132"/>
    </row>
    <row r="3" spans="1:42" ht="11.25" customHeight="1" x14ac:dyDescent="0.25">
      <c r="A3" s="130"/>
      <c r="B3" s="130"/>
      <c r="C3" s="130"/>
      <c r="D3" s="130"/>
      <c r="E3" s="130"/>
      <c r="F3" s="130"/>
      <c r="G3" s="130"/>
      <c r="H3" s="130"/>
      <c r="I3" s="130"/>
      <c r="J3" s="124"/>
      <c r="L3" s="131" t="s">
        <v>446</v>
      </c>
      <c r="M3" s="131"/>
      <c r="N3" s="131"/>
      <c r="O3" s="131"/>
      <c r="P3" s="131"/>
      <c r="Q3" s="131"/>
      <c r="R3" s="131"/>
      <c r="S3" s="131"/>
      <c r="T3" s="131"/>
      <c r="U3" s="131" t="s">
        <v>455</v>
      </c>
      <c r="V3" s="131"/>
      <c r="W3" s="131"/>
      <c r="X3" s="131"/>
      <c r="Y3" s="131"/>
      <c r="Z3" s="131"/>
      <c r="AA3" s="131"/>
      <c r="AB3" s="131"/>
      <c r="AC3" s="131" t="s">
        <v>463</v>
      </c>
      <c r="AD3" s="131"/>
      <c r="AE3" s="131" t="s">
        <v>465</v>
      </c>
      <c r="AF3" s="131"/>
      <c r="AG3" s="131"/>
      <c r="AH3" s="131" t="s">
        <v>468</v>
      </c>
      <c r="AI3" s="131"/>
      <c r="AJ3" s="131"/>
      <c r="AK3" s="131"/>
      <c r="AL3" s="131"/>
      <c r="AM3" s="131" t="s">
        <v>454</v>
      </c>
      <c r="AP3" s="132"/>
    </row>
    <row r="4" spans="1:42" ht="11.25" customHeight="1" x14ac:dyDescent="0.25">
      <c r="A4" s="130"/>
      <c r="B4" s="130"/>
      <c r="C4" s="130"/>
      <c r="D4" s="130"/>
      <c r="E4" s="130"/>
      <c r="F4" s="130"/>
      <c r="G4" s="130"/>
      <c r="H4" s="130"/>
      <c r="I4" s="130"/>
      <c r="J4" s="124"/>
      <c r="L4" s="23" t="s">
        <v>530</v>
      </c>
      <c r="M4" s="23" t="s">
        <v>447</v>
      </c>
      <c r="N4" s="23" t="s">
        <v>448</v>
      </c>
      <c r="O4" s="23" t="s">
        <v>449</v>
      </c>
      <c r="P4" s="23" t="s">
        <v>450</v>
      </c>
      <c r="Q4" s="23" t="s">
        <v>451</v>
      </c>
      <c r="R4" s="23" t="s">
        <v>452</v>
      </c>
      <c r="S4" s="23" t="s">
        <v>453</v>
      </c>
      <c r="T4" s="23" t="s">
        <v>454</v>
      </c>
      <c r="U4" s="23" t="s">
        <v>456</v>
      </c>
      <c r="V4" s="23" t="s">
        <v>457</v>
      </c>
      <c r="W4" s="23" t="s">
        <v>458</v>
      </c>
      <c r="X4" s="23" t="s">
        <v>459</v>
      </c>
      <c r="Y4" s="23" t="s">
        <v>460</v>
      </c>
      <c r="Z4" s="23" t="s">
        <v>461</v>
      </c>
      <c r="AA4" s="23" t="s">
        <v>462</v>
      </c>
      <c r="AB4" s="23" t="s">
        <v>454</v>
      </c>
      <c r="AC4" s="23" t="s">
        <v>464</v>
      </c>
      <c r="AD4" s="23" t="s">
        <v>454</v>
      </c>
      <c r="AE4" s="23" t="s">
        <v>466</v>
      </c>
      <c r="AF4" s="23" t="s">
        <v>467</v>
      </c>
      <c r="AG4" s="23" t="s">
        <v>454</v>
      </c>
      <c r="AH4" s="23" t="s">
        <v>469</v>
      </c>
      <c r="AI4" s="23" t="s">
        <v>470</v>
      </c>
      <c r="AJ4" s="23" t="s">
        <v>471</v>
      </c>
      <c r="AK4" s="23" t="s">
        <v>472</v>
      </c>
      <c r="AL4" s="23" t="s">
        <v>454</v>
      </c>
      <c r="AM4" s="133"/>
      <c r="AP4" s="132"/>
    </row>
    <row r="5" spans="1:42" ht="11.25" customHeight="1" x14ac:dyDescent="0.25">
      <c r="A5" s="134" t="s">
        <v>33</v>
      </c>
      <c r="B5" s="134" t="s">
        <v>41</v>
      </c>
      <c r="C5" s="134" t="s">
        <v>25</v>
      </c>
      <c r="D5" s="134" t="s">
        <v>25</v>
      </c>
      <c r="E5" s="134" t="s">
        <v>25</v>
      </c>
      <c r="F5" s="134" t="s">
        <v>25</v>
      </c>
      <c r="G5" s="21" t="s">
        <v>77</v>
      </c>
      <c r="H5" s="21" t="s">
        <v>76</v>
      </c>
      <c r="I5" s="21">
        <f>'MERCADO TUSD'!$U$2</f>
        <v>384</v>
      </c>
      <c r="J5" s="17"/>
      <c r="L5" s="20">
        <f>'TR TUSD'!$L$5*'TR TUSD'!$L$60</f>
        <v>0</v>
      </c>
      <c r="M5" s="20">
        <f>'TR TUSD'!$M$5*'TR TUSD'!$M$60</f>
        <v>0</v>
      </c>
      <c r="N5" s="20">
        <f ca="1">'TR TUSD'!$N$5*'TR TUSD'!$N$60</f>
        <v>0</v>
      </c>
      <c r="O5" s="20">
        <f>'TR TUSD'!$O$5*'TR TUSD'!$O$60</f>
        <v>0</v>
      </c>
      <c r="P5" s="20">
        <f>'TR TUSD'!$P$5*'TR TUSD'!$P$60</f>
        <v>0</v>
      </c>
      <c r="Q5" s="20">
        <f>'TR TUSD'!$Q$5*'TR TUSD'!$Q$60</f>
        <v>0</v>
      </c>
      <c r="R5" s="20">
        <f>'TR TUSD'!$R$5*'TR TUSD'!$R$60</f>
        <v>0</v>
      </c>
      <c r="S5" s="20">
        <f>'TR TUSD'!$S$5*'TR TUSD'!$S$60</f>
        <v>0</v>
      </c>
      <c r="T5" s="20">
        <f ca="1">SUM($L$5:$S$5)</f>
        <v>0</v>
      </c>
      <c r="U5" s="20">
        <f>'TR TUSD'!$U$5*'TR TUSD'!$U$60</f>
        <v>0</v>
      </c>
      <c r="V5" s="20">
        <f>'TR TUSD'!$V$5*'TR TUSD'!$V$60</f>
        <v>0</v>
      </c>
      <c r="W5" s="20">
        <f>'TR TUSD'!$W$5*'TR TUSD'!$W$60</f>
        <v>0</v>
      </c>
      <c r="X5" s="20">
        <f>'TR TUSD'!$X$5*'TR TUSD'!$X$60</f>
        <v>0</v>
      </c>
      <c r="Y5" s="20">
        <f>'TR TUSD'!$Y$5*'TR TUSD'!$Y$60</f>
        <v>53.136465127926883</v>
      </c>
      <c r="Z5" s="20">
        <f>'TR TUSD'!$Z$5</f>
        <v>0</v>
      </c>
      <c r="AA5" s="20">
        <f>'TR TUSD'!$AA$5</f>
        <v>0</v>
      </c>
      <c r="AB5" s="20">
        <f>SUM($U$5:$AA$5)</f>
        <v>53.136465127926883</v>
      </c>
      <c r="AC5" s="20">
        <f>'TR TUSD'!$AC$5*'TR TUSD'!$AC$60</f>
        <v>161.81814850483164</v>
      </c>
      <c r="AD5" s="20">
        <f>SUM($AC$5:$AC$5)</f>
        <v>161.81814850483164</v>
      </c>
      <c r="AE5" s="20">
        <v>0</v>
      </c>
      <c r="AF5" s="20">
        <v>0</v>
      </c>
      <c r="AG5" s="20">
        <f>SUM($AE$5:$AF$5)</f>
        <v>0</v>
      </c>
      <c r="AH5" s="20">
        <f>'TR TUSD'!$AH$5*'TR TUSD'!$AH$60</f>
        <v>0</v>
      </c>
      <c r="AI5" s="20">
        <f>'TR TUSD'!$AI$5*'TR TUSD'!$AI$60</f>
        <v>0</v>
      </c>
      <c r="AJ5" s="20">
        <f ca="1">'TR TUSD'!$AJ$5*'TR TUSD'!$AJ$60</f>
        <v>0</v>
      </c>
      <c r="AK5" s="20">
        <f ca="1">'TR TUSD'!$AK$5*'TR TUSD'!$AK$60</f>
        <v>0</v>
      </c>
      <c r="AL5" s="20">
        <f ca="1">SUM($AH$5:$AK$5)</f>
        <v>0</v>
      </c>
      <c r="AM5" s="20">
        <f ca="1">SUMIF($L$4:$AL$4,"SUBTOTAL",$L$5:$AL$5)</f>
        <v>214.95461363275854</v>
      </c>
      <c r="AP5" s="20">
        <v>1</v>
      </c>
    </row>
    <row r="6" spans="1:42" ht="11.25" customHeight="1" x14ac:dyDescent="0.25">
      <c r="A6" s="134"/>
      <c r="B6" s="134"/>
      <c r="C6" s="134"/>
      <c r="D6" s="134"/>
      <c r="E6" s="134"/>
      <c r="F6" s="134"/>
      <c r="G6" s="21" t="s">
        <v>78</v>
      </c>
      <c r="H6" s="21" t="s">
        <v>76</v>
      </c>
      <c r="I6" s="21">
        <f>'MERCADO TUSD'!$U$3</f>
        <v>1095</v>
      </c>
      <c r="J6" s="17"/>
      <c r="L6" s="20">
        <f>'TR TUSD'!$L$6*'TR TUSD'!$L$60</f>
        <v>0</v>
      </c>
      <c r="M6" s="20">
        <f>'TR TUSD'!$M$6*'TR TUSD'!$M$60</f>
        <v>0</v>
      </c>
      <c r="N6" s="20">
        <f ca="1">'TR TUSD'!$N$6*'TR TUSD'!$N$60</f>
        <v>0</v>
      </c>
      <c r="O6" s="20">
        <f>'TR TUSD'!$O$6*'TR TUSD'!$O$60</f>
        <v>0</v>
      </c>
      <c r="P6" s="20">
        <f>'TR TUSD'!$P$6*'TR TUSD'!$P$60</f>
        <v>0</v>
      </c>
      <c r="Q6" s="20">
        <f>'TR TUSD'!$Q$6*'TR TUSD'!$Q$60</f>
        <v>0</v>
      </c>
      <c r="R6" s="20">
        <f>'TR TUSD'!$R$6*'TR TUSD'!$R$60</f>
        <v>0</v>
      </c>
      <c r="S6" s="20">
        <f>'TR TUSD'!$S$6*'TR TUSD'!$S$60</f>
        <v>0</v>
      </c>
      <c r="T6" s="20">
        <f ca="1">SUM($L$6:$S$6)</f>
        <v>0</v>
      </c>
      <c r="U6" s="20">
        <f>'TR TUSD'!$U$6*'TR TUSD'!$U$60</f>
        <v>0</v>
      </c>
      <c r="V6" s="20">
        <f>'TR TUSD'!$V$6*'TR TUSD'!$V$60</f>
        <v>0</v>
      </c>
      <c r="W6" s="20">
        <f>'TR TUSD'!$W$6*'TR TUSD'!$W$60</f>
        <v>0</v>
      </c>
      <c r="X6" s="20">
        <f>'TR TUSD'!$X$6*'TR TUSD'!$X$60</f>
        <v>0</v>
      </c>
      <c r="Y6" s="20">
        <f>'TR TUSD'!$Y$6*'TR TUSD'!$Y$60</f>
        <v>28.845670346359718</v>
      </c>
      <c r="Z6" s="20">
        <f>'TR TUSD'!$Z$6</f>
        <v>0</v>
      </c>
      <c r="AA6" s="20">
        <f>'TR TUSD'!$AA$6</f>
        <v>0</v>
      </c>
      <c r="AB6" s="20">
        <f>SUM($U$6:$AA$6)</f>
        <v>28.845670346359718</v>
      </c>
      <c r="AC6" s="20">
        <f>'TR TUSD'!$AC$6*'TR TUSD'!$AC$60</f>
        <v>51.620614539412216</v>
      </c>
      <c r="AD6" s="20">
        <f>SUM($AC$6:$AC$6)</f>
        <v>51.620614539412216</v>
      </c>
      <c r="AE6" s="20">
        <v>0</v>
      </c>
      <c r="AF6" s="20">
        <v>0</v>
      </c>
      <c r="AG6" s="20">
        <f>SUM($AE$6:$AF$6)</f>
        <v>0</v>
      </c>
      <c r="AH6" s="20">
        <f>'TR TUSD'!$AH$6*'TR TUSD'!$AH$60</f>
        <v>0</v>
      </c>
      <c r="AI6" s="20">
        <f>'TR TUSD'!$AI$6*'TR TUSD'!$AI$60</f>
        <v>0</v>
      </c>
      <c r="AJ6" s="20">
        <f ca="1">'TR TUSD'!$AJ$6*'TR TUSD'!$AJ$60</f>
        <v>0</v>
      </c>
      <c r="AK6" s="20">
        <f ca="1">'TR TUSD'!$AK$6*'TR TUSD'!$AK$60</f>
        <v>0</v>
      </c>
      <c r="AL6" s="20">
        <f ca="1">SUM($AH$6:$AK$6)</f>
        <v>0</v>
      </c>
      <c r="AM6" s="20">
        <f ca="1">SUMIF($L$4:$AL$4,"SUBTOTAL",$L$6:$AL$6)</f>
        <v>80.466284885771927</v>
      </c>
      <c r="AP6" s="20">
        <v>1</v>
      </c>
    </row>
    <row r="7" spans="1:42" ht="11.25" customHeight="1" x14ac:dyDescent="0.25">
      <c r="A7" s="134"/>
      <c r="B7" s="134"/>
      <c r="C7" s="134"/>
      <c r="D7" s="134"/>
      <c r="E7" s="134"/>
      <c r="F7" s="134"/>
      <c r="G7" s="21" t="s">
        <v>75</v>
      </c>
      <c r="H7" s="21" t="s">
        <v>71</v>
      </c>
      <c r="I7" s="21">
        <f>'MERCADO TUSD'!$U$4</f>
        <v>680.02800000000002</v>
      </c>
      <c r="J7" s="17"/>
      <c r="L7" s="20">
        <f>'TR TUSD'!$L$7*'TR TUSD'!$L$60</f>
        <v>19.888161566657029</v>
      </c>
      <c r="M7" s="20">
        <f>'TR TUSD'!$M$7*'TR TUSD'!$M$60</f>
        <v>1.6101578945658515</v>
      </c>
      <c r="N7" s="20">
        <f ca="1">'TR TUSD'!$N$7*'TR TUSD'!$N$60</f>
        <v>0</v>
      </c>
      <c r="O7" s="20">
        <f>'TR TUSD'!$O$7*'TR TUSD'!$O$60</f>
        <v>0</v>
      </c>
      <c r="P7" s="20">
        <f>'TR TUSD'!$P$7*'TR TUSD'!$P$60</f>
        <v>0</v>
      </c>
      <c r="Q7" s="20">
        <f>'TR TUSD'!$Q$7*'TR TUSD'!$Q$60</f>
        <v>74.223429727787376</v>
      </c>
      <c r="R7" s="20">
        <f>'TR TUSD'!$R$7*'TR TUSD'!$R$60</f>
        <v>14.657753077660844</v>
      </c>
      <c r="S7" s="20">
        <f>'TR TUSD'!$S$7*'TR TUSD'!$S$60</f>
        <v>0</v>
      </c>
      <c r="T7" s="20">
        <f ca="1">SUM($L$7:$S$7)</f>
        <v>110.3795022666711</v>
      </c>
      <c r="U7" s="20">
        <f>'TR TUSD'!$U$7*'TR TUSD'!$U$60</f>
        <v>0</v>
      </c>
      <c r="V7" s="20">
        <f>'TR TUSD'!$V$7*'TR TUSD'!$V$60</f>
        <v>0</v>
      </c>
      <c r="W7" s="20">
        <f>'TR TUSD'!$W$7*'TR TUSD'!$W$60</f>
        <v>0</v>
      </c>
      <c r="X7" s="20">
        <f>'TR TUSD'!$X$7*'TR TUSD'!$X$60</f>
        <v>0</v>
      </c>
      <c r="Y7" s="20">
        <f>'TR TUSD'!$Y$7*'TR TUSD'!$Y$60</f>
        <v>0</v>
      </c>
      <c r="Z7" s="20">
        <f>'TR TUSD'!$Z$7</f>
        <v>0</v>
      </c>
      <c r="AA7" s="20">
        <f>'TR TUSD'!$AA$7</f>
        <v>0</v>
      </c>
      <c r="AB7" s="20">
        <f>SUM($U$7:$AA$7)</f>
        <v>0</v>
      </c>
      <c r="AC7" s="20">
        <f>'TR TUSD'!$AC$7*'TR TUSD'!$AC$60</f>
        <v>0</v>
      </c>
      <c r="AD7" s="20">
        <f>SUM($AC$7:$AC$7)</f>
        <v>0</v>
      </c>
      <c r="AE7" s="20">
        <v>0</v>
      </c>
      <c r="AF7" s="20">
        <v>0</v>
      </c>
      <c r="AG7" s="20">
        <f>SUM($AE$7:$AF$7)</f>
        <v>0</v>
      </c>
      <c r="AH7" s="20">
        <f>'TR TUSD'!$AH$7*'TR TUSD'!$AH$60</f>
        <v>15.086320794546829</v>
      </c>
      <c r="AI7" s="20">
        <f>'TR TUSD'!$AI$7*'TR TUSD'!$AI$60</f>
        <v>0</v>
      </c>
      <c r="AJ7" s="20">
        <f ca="1">'TR TUSD'!$AJ$7*'TR TUSD'!$AJ$60</f>
        <v>2.1351233851307558</v>
      </c>
      <c r="AK7" s="20">
        <f ca="1">'TR TUSD'!$AK$7*'TR TUSD'!$AK$60</f>
        <v>0</v>
      </c>
      <c r="AL7" s="20">
        <f ca="1">SUM($AH$7:$AK$7)</f>
        <v>17.221444179677583</v>
      </c>
      <c r="AM7" s="20">
        <f ca="1">SUMIF($L$4:$AL$4,"SUBTOTAL",$L$7:$AL$7)</f>
        <v>127.60094644634867</v>
      </c>
      <c r="AP7" s="20">
        <v>1</v>
      </c>
    </row>
    <row r="8" spans="1:42" ht="11.25" customHeight="1" x14ac:dyDescent="0.25">
      <c r="A8" s="134"/>
      <c r="B8" s="134"/>
      <c r="C8" s="134"/>
      <c r="D8" s="134"/>
      <c r="E8" s="22" t="s">
        <v>79</v>
      </c>
      <c r="F8" s="22" t="s">
        <v>25</v>
      </c>
      <c r="G8" s="21" t="s">
        <v>75</v>
      </c>
      <c r="H8" s="21" t="s">
        <v>71</v>
      </c>
      <c r="I8" s="21">
        <f>'MERCADO TUSD'!$U$5</f>
        <v>0</v>
      </c>
      <c r="J8" s="17"/>
      <c r="L8" s="20">
        <f>'TR TUSD'!$L$8*'TR TUSD'!$L$60</f>
        <v>0</v>
      </c>
      <c r="M8" s="20">
        <f>'TR TUSD'!$M$8*'TR TUSD'!$M$60</f>
        <v>1.6101578945658515</v>
      </c>
      <c r="N8" s="20">
        <f ca="1">'TR TUSD'!$N$8*'TR TUSD'!$N$60</f>
        <v>0</v>
      </c>
      <c r="O8" s="20">
        <f>'TR TUSD'!$O$8*'TR TUSD'!$O$60</f>
        <v>0</v>
      </c>
      <c r="P8" s="20">
        <f>'TR TUSD'!$P$8*'TR TUSD'!$P$60</f>
        <v>0</v>
      </c>
      <c r="Q8" s="20">
        <f>'TR TUSD'!$Q$8*'TR TUSD'!$Q$60</f>
        <v>0</v>
      </c>
      <c r="R8" s="20">
        <f>'TR TUSD'!$R$8*'TR TUSD'!$R$60</f>
        <v>0</v>
      </c>
      <c r="S8" s="20">
        <f>'TR TUSD'!$S$8*'TR TUSD'!$S$60</f>
        <v>0</v>
      </c>
      <c r="T8" s="20">
        <f ca="1">SUM($L$8:$S$8)</f>
        <v>1.6101578945658515</v>
      </c>
      <c r="U8" s="20">
        <f>'TR TUSD'!$U$8*'TR TUSD'!$U$60</f>
        <v>0</v>
      </c>
      <c r="V8" s="20">
        <f>'TR TUSD'!$V$8*'TR TUSD'!$V$60</f>
        <v>0</v>
      </c>
      <c r="W8" s="20">
        <f>'TR TUSD'!$W$8*'TR TUSD'!$W$60</f>
        <v>0</v>
      </c>
      <c r="X8" s="20">
        <f>'TR TUSD'!$X$8*'TR TUSD'!$X$60</f>
        <v>0</v>
      </c>
      <c r="Y8" s="20">
        <f>'TR TUSD'!$Y$8*'TR TUSD'!$Y$60</f>
        <v>0</v>
      </c>
      <c r="Z8" s="20">
        <f>'TR TUSD'!$Z$8</f>
        <v>0</v>
      </c>
      <c r="AA8" s="20">
        <f>'TR TUSD'!$AA$8</f>
        <v>0</v>
      </c>
      <c r="AB8" s="20">
        <f>SUM($U$8:$AA$8)</f>
        <v>0</v>
      </c>
      <c r="AC8" s="20">
        <f>'TR TUSD'!$AC$8*'TR TUSD'!$AC$60</f>
        <v>0</v>
      </c>
      <c r="AD8" s="20">
        <f>SUM($AC$8:$AC$8)</f>
        <v>0</v>
      </c>
      <c r="AE8" s="20">
        <v>0</v>
      </c>
      <c r="AF8" s="20">
        <v>0</v>
      </c>
      <c r="AG8" s="20">
        <f>SUM($AE$8:$AF$8)</f>
        <v>0</v>
      </c>
      <c r="AH8" s="20">
        <f>'TR TUSD'!$AH$8*'TR TUSD'!$AH$60</f>
        <v>15.086320794546829</v>
      </c>
      <c r="AI8" s="20">
        <f>'TR TUSD'!$AI$8*'TR TUSD'!$AI$60</f>
        <v>0</v>
      </c>
      <c r="AJ8" s="20">
        <f ca="1">'TR TUSD'!$AJ$8*'TR TUSD'!$AJ$60</f>
        <v>2.1351233851307558</v>
      </c>
      <c r="AK8" s="20">
        <f ca="1">'TR TUSD'!$AK$8*'TR TUSD'!$AK$60</f>
        <v>0</v>
      </c>
      <c r="AL8" s="20">
        <f ca="1">SUM($AH$8:$AK$8)</f>
        <v>17.221444179677583</v>
      </c>
      <c r="AM8" s="20">
        <f ca="1">SUMIF($L$4:$AL$4,"SUBTOTAL",$L$8:$AL$8)</f>
        <v>18.831602074243435</v>
      </c>
      <c r="AP8" s="20">
        <v>1</v>
      </c>
    </row>
    <row r="9" spans="1:42" ht="11.25" customHeight="1" x14ac:dyDescent="0.25">
      <c r="A9" s="134"/>
      <c r="B9" s="22" t="s">
        <v>80</v>
      </c>
      <c r="C9" s="22" t="s">
        <v>25</v>
      </c>
      <c r="D9" s="22" t="s">
        <v>25</v>
      </c>
      <c r="E9" s="22" t="s">
        <v>25</v>
      </c>
      <c r="F9" s="22" t="s">
        <v>25</v>
      </c>
      <c r="G9" s="21" t="s">
        <v>9</v>
      </c>
      <c r="H9" s="21" t="s">
        <v>76</v>
      </c>
      <c r="I9" s="21">
        <f>'MERCADO TUSD'!$U$6</f>
        <v>0</v>
      </c>
      <c r="J9" s="17"/>
      <c r="L9" s="20">
        <f>'TR TUSD'!$L$9*'TR TUSD'!$L$60</f>
        <v>0</v>
      </c>
      <c r="M9" s="20">
        <f>'TR TUSD'!$M$9*'TR TUSD'!$M$60</f>
        <v>2.7613679162567881E-2</v>
      </c>
      <c r="N9" s="20">
        <f ca="1">'TR TUSD'!$N$9*'TR TUSD'!$N$60</f>
        <v>0</v>
      </c>
      <c r="O9" s="20">
        <f>'TR TUSD'!$O$9*'TR TUSD'!$O$60</f>
        <v>0</v>
      </c>
      <c r="P9" s="20">
        <f>'TR TUSD'!$P$9*'TR TUSD'!$P$60</f>
        <v>0</v>
      </c>
      <c r="Q9" s="20">
        <f>'TR TUSD'!$Q$9*'TR TUSD'!$Q$60</f>
        <v>0</v>
      </c>
      <c r="R9" s="20">
        <f>'TR TUSD'!$R$9*'TR TUSD'!$R$60</f>
        <v>0</v>
      </c>
      <c r="S9" s="20">
        <f>'TR TUSD'!$S$9*'TR TUSD'!$S$60</f>
        <v>0</v>
      </c>
      <c r="T9" s="20">
        <f ca="1">SUM($L$9:$S$9)</f>
        <v>2.7613679162567881E-2</v>
      </c>
      <c r="U9" s="20">
        <f>'TR TUSD'!$U$9*'TR TUSD'!$U$60</f>
        <v>0</v>
      </c>
      <c r="V9" s="20">
        <f>'TR TUSD'!$V$9*'TR TUSD'!$V$60</f>
        <v>0</v>
      </c>
      <c r="W9" s="20">
        <f>'TR TUSD'!$W$9*'TR TUSD'!$W$60</f>
        <v>0</v>
      </c>
      <c r="X9" s="20">
        <f>'TR TUSD'!$X$9*'TR TUSD'!$X$60</f>
        <v>0</v>
      </c>
      <c r="Y9" s="20">
        <f>'TR TUSD'!$Y$9*'TR TUSD'!$Y$60</f>
        <v>0</v>
      </c>
      <c r="Z9" s="20">
        <f>'TR TUSD'!$Z$9*'TR TUSD'!$Z$60</f>
        <v>0</v>
      </c>
      <c r="AA9" s="20">
        <f>'TR TUSD'!$AA$9*'TR TUSD'!$AA$60</f>
        <v>0</v>
      </c>
      <c r="AB9" s="20">
        <f>SUM($U$9:$AA$9)</f>
        <v>0</v>
      </c>
      <c r="AC9" s="20">
        <f>'TR TUSD'!$AC$9*'TR TUSD'!$AC$60</f>
        <v>22.344647521745806</v>
      </c>
      <c r="AD9" s="20">
        <f>SUM($AC$9:$AC$9)</f>
        <v>22.344647521745806</v>
      </c>
      <c r="AE9" s="20">
        <v>0</v>
      </c>
      <c r="AF9" s="20">
        <v>0</v>
      </c>
      <c r="AG9" s="20">
        <f>SUM($AE$9:$AF$9)</f>
        <v>0</v>
      </c>
      <c r="AH9" s="20">
        <f>'TR TUSD'!$AH$9*'TR TUSD'!$AH$60</f>
        <v>0</v>
      </c>
      <c r="AI9" s="20">
        <f>'TR TUSD'!$AI$9*'TR TUSD'!$AI$60</f>
        <v>0</v>
      </c>
      <c r="AJ9" s="20">
        <f ca="1">'TR TUSD'!$AJ$9*'TR TUSD'!$AJ$60</f>
        <v>0</v>
      </c>
      <c r="AK9" s="20">
        <f ca="1">'TR TUSD'!$AK$9*'TR TUSD'!$AK$60</f>
        <v>0</v>
      </c>
      <c r="AL9" s="20">
        <f ca="1">SUM($AH$9:$AK$9)</f>
        <v>0</v>
      </c>
      <c r="AM9" s="20">
        <f ca="1">SUMIF($L$4:$AL$4,"SUBTOTAL",$L$9:$AL$9)</f>
        <v>22.372261200908373</v>
      </c>
      <c r="AP9" s="20"/>
    </row>
    <row r="10" spans="1:42" ht="11.25" customHeight="1" x14ac:dyDescent="0.25">
      <c r="A10" s="134"/>
      <c r="B10" s="134" t="s">
        <v>34</v>
      </c>
      <c r="C10" s="134" t="s">
        <v>25</v>
      </c>
      <c r="D10" s="134" t="s">
        <v>25</v>
      </c>
      <c r="E10" s="134" t="s">
        <v>25</v>
      </c>
      <c r="F10" s="134" t="s">
        <v>25</v>
      </c>
      <c r="G10" s="21" t="s">
        <v>9</v>
      </c>
      <c r="H10" s="21" t="s">
        <v>76</v>
      </c>
      <c r="I10" s="21">
        <f>'MERCADO TUSD'!$U$7</f>
        <v>17227</v>
      </c>
      <c r="J10" s="17"/>
      <c r="L10" s="20">
        <f>'TR TUSD'!$L$10*'TR TUSD'!$L$60</f>
        <v>0</v>
      </c>
      <c r="M10" s="20">
        <f>'TR TUSD'!$M$10*'TR TUSD'!$M$60</f>
        <v>0</v>
      </c>
      <c r="N10" s="20">
        <f ca="1">'TR TUSD'!$N$10*'TR TUSD'!$N$60</f>
        <v>0</v>
      </c>
      <c r="O10" s="20">
        <f>'TR TUSD'!$O$10*'TR TUSD'!$O$60</f>
        <v>0</v>
      </c>
      <c r="P10" s="20">
        <f>'TR TUSD'!$P$10*'TR TUSD'!$P$60</f>
        <v>0</v>
      </c>
      <c r="Q10" s="20">
        <f>'TR TUSD'!$Q$10*'TR TUSD'!$Q$60</f>
        <v>0</v>
      </c>
      <c r="R10" s="20">
        <f>'TR TUSD'!$R$10*'TR TUSD'!$R$60</f>
        <v>0</v>
      </c>
      <c r="S10" s="20">
        <f>'TR TUSD'!$S$10*'TR TUSD'!$S$60</f>
        <v>0</v>
      </c>
      <c r="T10" s="20">
        <f ca="1">SUM($L$10:$S$10)</f>
        <v>0</v>
      </c>
      <c r="U10" s="20">
        <f>'TR TUSD'!$U$10*'TR TUSD'!$U$60</f>
        <v>0</v>
      </c>
      <c r="V10" s="20">
        <f>'TR TUSD'!$V$10*'TR TUSD'!$V$60</f>
        <v>0</v>
      </c>
      <c r="W10" s="20">
        <f>'TR TUSD'!$W$10*'TR TUSD'!$W$60</f>
        <v>0</v>
      </c>
      <c r="X10" s="20">
        <f>'TR TUSD'!$X$10*'TR TUSD'!$X$60</f>
        <v>0</v>
      </c>
      <c r="Y10" s="20">
        <f>'TR TUSD'!$Y$10*'TR TUSD'!$Y$60</f>
        <v>28.845670346359718</v>
      </c>
      <c r="Z10" s="20">
        <f>'TR TUSD'!$Z$10</f>
        <v>0</v>
      </c>
      <c r="AA10" s="20">
        <f>'TR TUSD'!$AA$10</f>
        <v>0</v>
      </c>
      <c r="AB10" s="20">
        <f>SUM($U$10:$AA$10)</f>
        <v>28.845670346359718</v>
      </c>
      <c r="AC10" s="20">
        <f>'TR TUSD'!$AC$10*'TR TUSD'!$AC$60</f>
        <v>51.620614539412216</v>
      </c>
      <c r="AD10" s="20">
        <f>SUM($AC$10:$AC$10)</f>
        <v>51.620614539412216</v>
      </c>
      <c r="AE10" s="20">
        <v>0</v>
      </c>
      <c r="AF10" s="20">
        <v>0</v>
      </c>
      <c r="AG10" s="20">
        <f>SUM($AE$10:$AF$10)</f>
        <v>0</v>
      </c>
      <c r="AH10" s="20">
        <f>'TR TUSD'!$AH$10*'TR TUSD'!$AH$60</f>
        <v>0</v>
      </c>
      <c r="AI10" s="20">
        <f>'TR TUSD'!$AI$10*'TR TUSD'!$AI$60</f>
        <v>0</v>
      </c>
      <c r="AJ10" s="20">
        <f ca="1">'TR TUSD'!$AJ$10*'TR TUSD'!$AJ$60</f>
        <v>0</v>
      </c>
      <c r="AK10" s="20">
        <f ca="1">'TR TUSD'!$AK$10*'TR TUSD'!$AK$60</f>
        <v>0</v>
      </c>
      <c r="AL10" s="20">
        <f ca="1">SUM($AH$10:$AK$10)</f>
        <v>0</v>
      </c>
      <c r="AM10" s="20">
        <f ca="1">SUMIF($L$4:$AL$4,"SUBTOTAL",$L$10:$AL$10)</f>
        <v>80.466284885771927</v>
      </c>
      <c r="AP10" s="20">
        <v>1</v>
      </c>
    </row>
    <row r="11" spans="1:42" ht="11.25" customHeight="1" x14ac:dyDescent="0.25">
      <c r="A11" s="134"/>
      <c r="B11" s="134"/>
      <c r="C11" s="134"/>
      <c r="D11" s="134"/>
      <c r="E11" s="134"/>
      <c r="F11" s="134"/>
      <c r="G11" s="21" t="s">
        <v>72</v>
      </c>
      <c r="H11" s="21" t="s">
        <v>71</v>
      </c>
      <c r="I11" s="21">
        <f>'MERCADO TUSD'!$U$8</f>
        <v>96.685999999999993</v>
      </c>
      <c r="J11" s="17"/>
      <c r="L11" s="20">
        <f>'TR TUSD'!$L$11*'TR TUSD'!$L$60</f>
        <v>19.888161566657029</v>
      </c>
      <c r="M11" s="20">
        <f>'TR TUSD'!$M$11*'TR TUSD'!$M$60</f>
        <v>1.6101578945658515</v>
      </c>
      <c r="N11" s="20">
        <f ca="1">'TR TUSD'!$N$11*'TR TUSD'!$N$60</f>
        <v>0</v>
      </c>
      <c r="O11" s="20">
        <f>'TR TUSD'!$O$11*'TR TUSD'!$O$60</f>
        <v>0</v>
      </c>
      <c r="P11" s="20">
        <f>'TR TUSD'!$P$11*'TR TUSD'!$P$60</f>
        <v>0</v>
      </c>
      <c r="Q11" s="20">
        <f>'TR TUSD'!$Q$11*'TR TUSD'!$Q$60</f>
        <v>74.223429727787376</v>
      </c>
      <c r="R11" s="20">
        <f>'TR TUSD'!$R$11*'TR TUSD'!$R$60</f>
        <v>14.657753077660844</v>
      </c>
      <c r="S11" s="20">
        <f>'TR TUSD'!$S$11*'TR TUSD'!$S$60</f>
        <v>0</v>
      </c>
      <c r="T11" s="20">
        <f ca="1">SUM($L$11:$S$11)</f>
        <v>110.3795022666711</v>
      </c>
      <c r="U11" s="20">
        <f>'TR TUSD'!$U$11*'TR TUSD'!$U$60</f>
        <v>0</v>
      </c>
      <c r="V11" s="20">
        <f>'TR TUSD'!$V$11*'TR TUSD'!$V$60</f>
        <v>0</v>
      </c>
      <c r="W11" s="20">
        <f>'TR TUSD'!$W$11*'TR TUSD'!$W$60</f>
        <v>0</v>
      </c>
      <c r="X11" s="20">
        <f>'TR TUSD'!$X$11*'TR TUSD'!$X$60</f>
        <v>0</v>
      </c>
      <c r="Y11" s="20">
        <f>'TR TUSD'!$Y$11*'TR TUSD'!$Y$60</f>
        <v>1277.9435169451992</v>
      </c>
      <c r="Z11" s="20">
        <f>'TR TUSD'!$Z$11</f>
        <v>0</v>
      </c>
      <c r="AA11" s="20">
        <f>'TR TUSD'!$AA$11</f>
        <v>0</v>
      </c>
      <c r="AB11" s="20">
        <f>SUM($U$11:$AA$11)</f>
        <v>1277.9435169451992</v>
      </c>
      <c r="AC11" s="20">
        <f>'TR TUSD'!$AC$11*'TR TUSD'!$AC$60</f>
        <v>3891.735349328952</v>
      </c>
      <c r="AD11" s="20">
        <f>SUM($AC$11:$AC$11)</f>
        <v>3891.735349328952</v>
      </c>
      <c r="AE11" s="20">
        <v>0</v>
      </c>
      <c r="AF11" s="20">
        <v>0</v>
      </c>
      <c r="AG11" s="20">
        <f>SUM($AE$11:$AF$11)</f>
        <v>0</v>
      </c>
      <c r="AH11" s="20">
        <f>'TR TUSD'!$AH$11*'TR TUSD'!$AH$60</f>
        <v>15.086320794546829</v>
      </c>
      <c r="AI11" s="20">
        <f>'TR TUSD'!$AI$11*'TR TUSD'!$AI$60</f>
        <v>0</v>
      </c>
      <c r="AJ11" s="20">
        <f ca="1">'TR TUSD'!$AJ$11*'TR TUSD'!$AJ$60</f>
        <v>2.1351233851307558</v>
      </c>
      <c r="AK11" s="20">
        <f ca="1">'TR TUSD'!$AK$11*'TR TUSD'!$AK$60</f>
        <v>0</v>
      </c>
      <c r="AL11" s="20">
        <f ca="1">SUM($AH$11:$AK$11)</f>
        <v>17.221444179677583</v>
      </c>
      <c r="AM11" s="20">
        <f ca="1">SUMIF($L$4:$AL$4,"SUBTOTAL",$L$11:$AL$11)</f>
        <v>5297.2798127204996</v>
      </c>
      <c r="AP11" s="20">
        <v>1</v>
      </c>
    </row>
    <row r="12" spans="1:42" ht="11.25" customHeight="1" x14ac:dyDescent="0.25">
      <c r="A12" s="134"/>
      <c r="B12" s="134"/>
      <c r="C12" s="134"/>
      <c r="D12" s="134"/>
      <c r="E12" s="134"/>
      <c r="F12" s="134"/>
      <c r="G12" s="21" t="s">
        <v>73</v>
      </c>
      <c r="H12" s="21" t="s">
        <v>71</v>
      </c>
      <c r="I12" s="21">
        <f>'MERCADO TUSD'!$U$9</f>
        <v>3244.7709999999997</v>
      </c>
      <c r="J12" s="17"/>
      <c r="L12" s="20">
        <f>'TR TUSD'!$L$12*'TR TUSD'!$L$60</f>
        <v>19.888161566657029</v>
      </c>
      <c r="M12" s="20">
        <f>'TR TUSD'!$M$12*'TR TUSD'!$M$60</f>
        <v>1.6101578945658515</v>
      </c>
      <c r="N12" s="20">
        <f ca="1">'TR TUSD'!$N$12*'TR TUSD'!$N$60</f>
        <v>0</v>
      </c>
      <c r="O12" s="20">
        <f>'TR TUSD'!$O$12*'TR TUSD'!$O$60</f>
        <v>0</v>
      </c>
      <c r="P12" s="20">
        <f>'TR TUSD'!$P$12*'TR TUSD'!$P$60</f>
        <v>0</v>
      </c>
      <c r="Q12" s="20">
        <f>'TR TUSD'!$Q$12*'TR TUSD'!$Q$60</f>
        <v>74.223429727787376</v>
      </c>
      <c r="R12" s="20">
        <f>'TR TUSD'!$R$12*'TR TUSD'!$R$60</f>
        <v>14.657753077660844</v>
      </c>
      <c r="S12" s="20">
        <f>'TR TUSD'!$S$12*'TR TUSD'!$S$60</f>
        <v>0</v>
      </c>
      <c r="T12" s="20">
        <f ca="1">SUM($L$12:$S$12)</f>
        <v>110.3795022666711</v>
      </c>
      <c r="U12" s="20">
        <f>'TR TUSD'!$U$12*'TR TUSD'!$U$60</f>
        <v>0</v>
      </c>
      <c r="V12" s="20">
        <f>'TR TUSD'!$V$12*'TR TUSD'!$V$60</f>
        <v>0</v>
      </c>
      <c r="W12" s="20">
        <f>'TR TUSD'!$W$12*'TR TUSD'!$W$60</f>
        <v>0</v>
      </c>
      <c r="X12" s="20">
        <f>'TR TUSD'!$X$12*'TR TUSD'!$X$60</f>
        <v>0</v>
      </c>
      <c r="Y12" s="20">
        <f>'TR TUSD'!$Y$12*'TR TUSD'!$Y$60</f>
        <v>0</v>
      </c>
      <c r="Z12" s="20">
        <f>'TR TUSD'!$Z$12</f>
        <v>0</v>
      </c>
      <c r="AA12" s="20">
        <f>'TR TUSD'!$AA$12</f>
        <v>0</v>
      </c>
      <c r="AB12" s="20">
        <f>SUM($U$12:$AA$12)</f>
        <v>0</v>
      </c>
      <c r="AC12" s="20">
        <f>'TR TUSD'!$AC$12*'TR TUSD'!$AC$60</f>
        <v>0</v>
      </c>
      <c r="AD12" s="20">
        <f>SUM($AC$12:$AC$12)</f>
        <v>0</v>
      </c>
      <c r="AE12" s="20">
        <v>0</v>
      </c>
      <c r="AF12" s="20">
        <v>0</v>
      </c>
      <c r="AG12" s="20">
        <f>SUM($AE$12:$AF$12)</f>
        <v>0</v>
      </c>
      <c r="AH12" s="20">
        <f>'TR TUSD'!$AH$12*'TR TUSD'!$AH$60</f>
        <v>15.086320794546829</v>
      </c>
      <c r="AI12" s="20">
        <f>'TR TUSD'!$AI$12*'TR TUSD'!$AI$60</f>
        <v>0</v>
      </c>
      <c r="AJ12" s="20">
        <f ca="1">'TR TUSD'!$AJ$12*'TR TUSD'!$AJ$60</f>
        <v>2.1351233851307558</v>
      </c>
      <c r="AK12" s="20">
        <f ca="1">'TR TUSD'!$AK$12*'TR TUSD'!$AK$60</f>
        <v>0</v>
      </c>
      <c r="AL12" s="20">
        <f ca="1">SUM($AH$12:$AK$12)</f>
        <v>17.221444179677583</v>
      </c>
      <c r="AM12" s="20">
        <f ca="1">SUMIF($L$4:$AL$4,"SUBTOTAL",$L$12:$AL$12)</f>
        <v>127.60094644634867</v>
      </c>
      <c r="AP12" s="20">
        <v>1</v>
      </c>
    </row>
    <row r="13" spans="1:42" ht="11.25" customHeight="1" x14ac:dyDescent="0.25">
      <c r="A13" s="134"/>
      <c r="B13" s="134"/>
      <c r="C13" s="134"/>
      <c r="D13" s="134"/>
      <c r="E13" s="134" t="s">
        <v>79</v>
      </c>
      <c r="F13" s="134" t="s">
        <v>25</v>
      </c>
      <c r="G13" s="21" t="s">
        <v>72</v>
      </c>
      <c r="H13" s="21" t="s">
        <v>71</v>
      </c>
      <c r="I13" s="21">
        <f>'MERCADO TUSD'!$U$10</f>
        <v>0</v>
      </c>
      <c r="J13" s="17"/>
      <c r="L13" s="20">
        <f>'TR TUSD'!$L$13*'TR TUSD'!$L$60</f>
        <v>0</v>
      </c>
      <c r="M13" s="20">
        <f>'TR TUSD'!$M$13*'TR TUSD'!$M$60</f>
        <v>1.6101578945658515</v>
      </c>
      <c r="N13" s="20">
        <f ca="1">'TR TUSD'!$N$13*'TR TUSD'!$N$60</f>
        <v>0</v>
      </c>
      <c r="O13" s="20">
        <f>'TR TUSD'!$O$13*'TR TUSD'!$O$60</f>
        <v>0</v>
      </c>
      <c r="P13" s="20">
        <f>'TR TUSD'!$P$13*'TR TUSD'!$P$60</f>
        <v>0</v>
      </c>
      <c r="Q13" s="20">
        <f>'TR TUSD'!$Q$13*'TR TUSD'!$Q$60</f>
        <v>0</v>
      </c>
      <c r="R13" s="20">
        <f>'TR TUSD'!$R$13*'TR TUSD'!$R$60</f>
        <v>0</v>
      </c>
      <c r="S13" s="20">
        <f>'TR TUSD'!$S$13*'TR TUSD'!$S$60</f>
        <v>0</v>
      </c>
      <c r="T13" s="20">
        <f ca="1">SUM($L$13:$S$13)</f>
        <v>1.6101578945658515</v>
      </c>
      <c r="U13" s="20">
        <f>'TR TUSD'!$U$13*'TR TUSD'!$U$60</f>
        <v>0</v>
      </c>
      <c r="V13" s="20">
        <f>'TR TUSD'!$V$13*'TR TUSD'!$V$60</f>
        <v>0</v>
      </c>
      <c r="W13" s="20">
        <f>'TR TUSD'!$W$13*'TR TUSD'!$W$60</f>
        <v>0</v>
      </c>
      <c r="X13" s="20">
        <f>'TR TUSD'!$X$13*'TR TUSD'!$X$60</f>
        <v>0</v>
      </c>
      <c r="Y13" s="20">
        <f>'TR TUSD'!$Y$13*'TR TUSD'!$Y$60</f>
        <v>1277.9435169451992</v>
      </c>
      <c r="Z13" s="20">
        <f>'TR TUSD'!$Z$13</f>
        <v>0</v>
      </c>
      <c r="AA13" s="20">
        <f>'TR TUSD'!$AA$13</f>
        <v>0</v>
      </c>
      <c r="AB13" s="20">
        <f>SUM($U$13:$AA$13)</f>
        <v>1277.9435169451992</v>
      </c>
      <c r="AC13" s="20">
        <f>'TR TUSD'!$AC$13*'TR TUSD'!$AC$60</f>
        <v>3891.735349328952</v>
      </c>
      <c r="AD13" s="20">
        <f>SUM($AC$13:$AC$13)</f>
        <v>3891.735349328952</v>
      </c>
      <c r="AE13" s="20">
        <v>0</v>
      </c>
      <c r="AF13" s="20">
        <v>0</v>
      </c>
      <c r="AG13" s="20">
        <f>SUM($AE$13:$AF$13)</f>
        <v>0</v>
      </c>
      <c r="AH13" s="20">
        <f>'TR TUSD'!$AH$13*'TR TUSD'!$AH$60</f>
        <v>15.086320794546829</v>
      </c>
      <c r="AI13" s="20">
        <f>'TR TUSD'!$AI$13*'TR TUSD'!$AI$60</f>
        <v>0</v>
      </c>
      <c r="AJ13" s="20">
        <f ca="1">'TR TUSD'!$AJ$13*'TR TUSD'!$AJ$60</f>
        <v>2.1351233851307558</v>
      </c>
      <c r="AK13" s="20">
        <f ca="1">'TR TUSD'!$AK$13*'TR TUSD'!$AK$60</f>
        <v>0</v>
      </c>
      <c r="AL13" s="20">
        <f ca="1">SUM($AH$13:$AK$13)</f>
        <v>17.221444179677583</v>
      </c>
      <c r="AM13" s="20">
        <f ca="1">SUMIF($L$4:$AL$4,"SUBTOTAL",$L$13:$AL$13)</f>
        <v>5188.5104683483951</v>
      </c>
      <c r="AP13" s="20">
        <v>1</v>
      </c>
    </row>
    <row r="14" spans="1:42" ht="11.25" customHeight="1" x14ac:dyDescent="0.25">
      <c r="A14" s="134"/>
      <c r="B14" s="134"/>
      <c r="C14" s="134"/>
      <c r="D14" s="134"/>
      <c r="E14" s="134"/>
      <c r="F14" s="134"/>
      <c r="G14" s="21" t="s">
        <v>73</v>
      </c>
      <c r="H14" s="21" t="s">
        <v>71</v>
      </c>
      <c r="I14" s="21">
        <f>'MERCADO TUSD'!$U$11</f>
        <v>0</v>
      </c>
      <c r="J14" s="17"/>
      <c r="L14" s="20">
        <f>'TR TUSD'!$L$14*'TR TUSD'!$L$60</f>
        <v>0</v>
      </c>
      <c r="M14" s="20">
        <f>'TR TUSD'!$M$14*'TR TUSD'!$M$60</f>
        <v>1.6101578945658515</v>
      </c>
      <c r="N14" s="20">
        <f ca="1">'TR TUSD'!$N$14*'TR TUSD'!$N$60</f>
        <v>0</v>
      </c>
      <c r="O14" s="20">
        <f>'TR TUSD'!$O$14*'TR TUSD'!$O$60</f>
        <v>0</v>
      </c>
      <c r="P14" s="20">
        <f>'TR TUSD'!$P$14*'TR TUSD'!$P$60</f>
        <v>0</v>
      </c>
      <c r="Q14" s="20">
        <f>'TR TUSD'!$Q$14*'TR TUSD'!$Q$60</f>
        <v>0</v>
      </c>
      <c r="R14" s="20">
        <f>'TR TUSD'!$R$14*'TR TUSD'!$R$60</f>
        <v>0</v>
      </c>
      <c r="S14" s="20">
        <f>'TR TUSD'!$S$14*'TR TUSD'!$S$60</f>
        <v>0</v>
      </c>
      <c r="T14" s="20">
        <f ca="1">SUM($L$14:$S$14)</f>
        <v>1.6101578945658515</v>
      </c>
      <c r="U14" s="20">
        <f>'TR TUSD'!$U$14*'TR TUSD'!$U$60</f>
        <v>0</v>
      </c>
      <c r="V14" s="20">
        <f>'TR TUSD'!$V$14*'TR TUSD'!$V$60</f>
        <v>0</v>
      </c>
      <c r="W14" s="20">
        <f>'TR TUSD'!$W$14*'TR TUSD'!$W$60</f>
        <v>0</v>
      </c>
      <c r="X14" s="20">
        <f>'TR TUSD'!$X$14*'TR TUSD'!$X$60</f>
        <v>0</v>
      </c>
      <c r="Y14" s="20">
        <f>'TR TUSD'!$Y$14*'TR TUSD'!$Y$60</f>
        <v>0</v>
      </c>
      <c r="Z14" s="20">
        <f>'TR TUSD'!$Z$14</f>
        <v>0</v>
      </c>
      <c r="AA14" s="20">
        <f>'TR TUSD'!$AA$14</f>
        <v>0</v>
      </c>
      <c r="AB14" s="20">
        <f>SUM($U$14:$AA$14)</f>
        <v>0</v>
      </c>
      <c r="AC14" s="20">
        <f>'TR TUSD'!$AC$14*'TR TUSD'!$AC$60</f>
        <v>0</v>
      </c>
      <c r="AD14" s="20">
        <f>SUM($AC$14:$AC$14)</f>
        <v>0</v>
      </c>
      <c r="AE14" s="20">
        <v>0</v>
      </c>
      <c r="AF14" s="20">
        <v>0</v>
      </c>
      <c r="AG14" s="20">
        <f>SUM($AE$14:$AF$14)</f>
        <v>0</v>
      </c>
      <c r="AH14" s="20">
        <f>'TR TUSD'!$AH$14*'TR TUSD'!$AH$60</f>
        <v>15.086320794546829</v>
      </c>
      <c r="AI14" s="20">
        <f>'TR TUSD'!$AI$14*'TR TUSD'!$AI$60</f>
        <v>0</v>
      </c>
      <c r="AJ14" s="20">
        <f ca="1">'TR TUSD'!$AJ$14*'TR TUSD'!$AJ$60</f>
        <v>2.1351233851307558</v>
      </c>
      <c r="AK14" s="20">
        <f ca="1">'TR TUSD'!$AK$14*'TR TUSD'!$AK$60</f>
        <v>0</v>
      </c>
      <c r="AL14" s="20">
        <f ca="1">SUM($AH$14:$AK$14)</f>
        <v>17.221444179677583</v>
      </c>
      <c r="AM14" s="20">
        <f ca="1">SUMIF($L$4:$AL$4,"SUBTOTAL",$L$14:$AL$14)</f>
        <v>18.831602074243435</v>
      </c>
      <c r="AP14" s="20">
        <v>1</v>
      </c>
    </row>
    <row r="15" spans="1:42" ht="11.25" customHeight="1" x14ac:dyDescent="0.25">
      <c r="A15" s="134" t="s">
        <v>81</v>
      </c>
      <c r="B15" s="134" t="s">
        <v>80</v>
      </c>
      <c r="C15" s="134" t="s">
        <v>25</v>
      </c>
      <c r="D15" s="134" t="s">
        <v>25</v>
      </c>
      <c r="E15" s="22" t="s">
        <v>82</v>
      </c>
      <c r="F15" s="22" t="s">
        <v>25</v>
      </c>
      <c r="G15" s="21" t="s">
        <v>9</v>
      </c>
      <c r="H15" s="21" t="s">
        <v>76</v>
      </c>
      <c r="I15" s="21">
        <f>'MERCADO TUSD'!$U$12+0.00000001</f>
        <v>1E-8</v>
      </c>
      <c r="J15" s="17"/>
      <c r="L15" s="20">
        <f>'TR TUSD'!$L$15*'TR TUSD'!$L$60</f>
        <v>0</v>
      </c>
      <c r="M15" s="20">
        <f>'TR TUSD'!$M$15*'TR TUSD'!$M$60</f>
        <v>1.1003947335459383E-2</v>
      </c>
      <c r="N15" s="20">
        <f ca="1">'TR TUSD'!$N$15*'TR TUSD'!$N$60</f>
        <v>0</v>
      </c>
      <c r="O15" s="20">
        <f>'TR TUSD'!$O$15*'TR TUSD'!$O$60</f>
        <v>0</v>
      </c>
      <c r="P15" s="20">
        <f>'TR TUSD'!$P$15*'TR TUSD'!$P$60</f>
        <v>0</v>
      </c>
      <c r="Q15" s="20">
        <f>'TR TUSD'!$Q$15*'TR TUSD'!$Q$60</f>
        <v>0</v>
      </c>
      <c r="R15" s="20">
        <f>'TR TUSD'!$R$15*'TR TUSD'!$R$60</f>
        <v>0</v>
      </c>
      <c r="S15" s="20">
        <f>'TR TUSD'!$S$15*'TR TUSD'!$S$60</f>
        <v>0</v>
      </c>
      <c r="T15" s="20">
        <f ca="1">SUM($L$15:$S$15)</f>
        <v>1.1003947335459383E-2</v>
      </c>
      <c r="U15" s="20">
        <f>'TR TUSD'!$U$15*'TR TUSD'!$U$60</f>
        <v>0</v>
      </c>
      <c r="V15" s="20">
        <f>'TR TUSD'!$V$15*'TR TUSD'!$V$60</f>
        <v>0</v>
      </c>
      <c r="W15" s="20">
        <f>'TR TUSD'!$W$15*'TR TUSD'!$W$60</f>
        <v>0</v>
      </c>
      <c r="X15" s="20">
        <f>'TR TUSD'!$X$15*'TR TUSD'!$X$60</f>
        <v>0</v>
      </c>
      <c r="Y15" s="20">
        <f>'TR TUSD'!$Y$15*'TR TUSD'!$Y$60</f>
        <v>0</v>
      </c>
      <c r="Z15" s="20">
        <f>'TR TUSD'!$Z$15*'TR TUSD'!$Z$60</f>
        <v>0</v>
      </c>
      <c r="AA15" s="20">
        <f>'TR TUSD'!$AA$15*'TR TUSD'!$AA$60</f>
        <v>0</v>
      </c>
      <c r="AB15" s="20">
        <f>SUM($U$15:$AA$15)</f>
        <v>0</v>
      </c>
      <c r="AC15" s="20">
        <f>'TR TUSD'!$AC$15*'TR TUSD'!$AC$60</f>
        <v>8.8153242735823429</v>
      </c>
      <c r="AD15" s="20">
        <f>SUM($AC$15:$AC$15)</f>
        <v>8.8153242735823429</v>
      </c>
      <c r="AE15" s="20">
        <v>0</v>
      </c>
      <c r="AF15" s="20">
        <v>0</v>
      </c>
      <c r="AG15" s="20">
        <f>SUM($AE$15:$AF$15)</f>
        <v>0</v>
      </c>
      <c r="AH15" s="20">
        <f>'TR TUSD'!$AH$15*'TR TUSD'!$AH$60</f>
        <v>0</v>
      </c>
      <c r="AI15" s="20">
        <f>'TR TUSD'!$AI$15*'TR TUSD'!$AI$60</f>
        <v>0</v>
      </c>
      <c r="AJ15" s="20">
        <f ca="1">'TR TUSD'!$AJ$15*'TR TUSD'!$AJ$60</f>
        <v>0</v>
      </c>
      <c r="AK15" s="20">
        <f ca="1">'TR TUSD'!$AK$15*'TR TUSD'!$AK$60</f>
        <v>0</v>
      </c>
      <c r="AL15" s="20">
        <f ca="1">SUM($AH$15:$AK$15)</f>
        <v>0</v>
      </c>
      <c r="AM15" s="20">
        <f ca="1">SUMIF($L$4:$AL$4,"SUBTOTAL",$L$15:$AL$15)</f>
        <v>8.8263282209178016</v>
      </c>
      <c r="AP15" s="20"/>
    </row>
    <row r="16" spans="1:42" ht="11.25" customHeight="1" x14ac:dyDescent="0.25">
      <c r="A16" s="134"/>
      <c r="B16" s="134"/>
      <c r="C16" s="134"/>
      <c r="D16" s="134"/>
      <c r="E16" s="22" t="s">
        <v>83</v>
      </c>
      <c r="F16" s="22" t="s">
        <v>25</v>
      </c>
      <c r="G16" s="21" t="s">
        <v>9</v>
      </c>
      <c r="H16" s="21" t="s">
        <v>76</v>
      </c>
      <c r="I16" s="21">
        <f>'MERCADO TUSD'!$U$13+0.00000001</f>
        <v>1E-8</v>
      </c>
      <c r="J16" s="17"/>
      <c r="L16" s="20">
        <f>'TR TUSD'!$L$16*'TR TUSD'!$L$60</f>
        <v>0</v>
      </c>
      <c r="M16" s="20">
        <f>'TR TUSD'!$M$16*'TR TUSD'!$M$60</f>
        <v>1.1003947335459383E-2</v>
      </c>
      <c r="N16" s="20">
        <f ca="1">'TR TUSD'!$N$16*'TR TUSD'!$N$60</f>
        <v>0</v>
      </c>
      <c r="O16" s="20">
        <f>'TR TUSD'!$O$16*'TR TUSD'!$O$60</f>
        <v>0</v>
      </c>
      <c r="P16" s="20">
        <f>'TR TUSD'!$P$16*'TR TUSD'!$P$60</f>
        <v>0</v>
      </c>
      <c r="Q16" s="20">
        <f>'TR TUSD'!$Q$16*'TR TUSD'!$Q$60</f>
        <v>0</v>
      </c>
      <c r="R16" s="20">
        <f>'TR TUSD'!$R$16*'TR TUSD'!$R$60</f>
        <v>0</v>
      </c>
      <c r="S16" s="20">
        <f>'TR TUSD'!$S$16*'TR TUSD'!$S$60</f>
        <v>0</v>
      </c>
      <c r="T16" s="20">
        <f ca="1">SUM($L$16:$S$16)</f>
        <v>1.1003947335459383E-2</v>
      </c>
      <c r="U16" s="20">
        <f>'TR TUSD'!$U$16*'TR TUSD'!$U$60</f>
        <v>0</v>
      </c>
      <c r="V16" s="20">
        <f>'TR TUSD'!$V$16*'TR TUSD'!$V$60</f>
        <v>0</v>
      </c>
      <c r="W16" s="20">
        <f>'TR TUSD'!$W$16*'TR TUSD'!$W$60</f>
        <v>0</v>
      </c>
      <c r="X16" s="20">
        <f>'TR TUSD'!$X$16*'TR TUSD'!$X$60</f>
        <v>0</v>
      </c>
      <c r="Y16" s="20">
        <f>'TR TUSD'!$Y$16*'TR TUSD'!$Y$60</f>
        <v>0</v>
      </c>
      <c r="Z16" s="20">
        <f>'TR TUSD'!$Z$16*'TR TUSD'!$Z$60</f>
        <v>0</v>
      </c>
      <c r="AA16" s="20">
        <f>'TR TUSD'!$AA$16*'TR TUSD'!$AA$60</f>
        <v>0</v>
      </c>
      <c r="AB16" s="20">
        <f>SUM($U$16:$AA$16)</f>
        <v>0</v>
      </c>
      <c r="AC16" s="20">
        <f>'TR TUSD'!$AC$16*'TR TUSD'!$AC$60</f>
        <v>28.411844623171724</v>
      </c>
      <c r="AD16" s="20">
        <f>SUM($AC$16:$AC$16)</f>
        <v>28.411844623171724</v>
      </c>
      <c r="AE16" s="20">
        <v>0</v>
      </c>
      <c r="AF16" s="20">
        <v>0</v>
      </c>
      <c r="AG16" s="20">
        <f>SUM($AE$16:$AF$16)</f>
        <v>0</v>
      </c>
      <c r="AH16" s="20">
        <f>'TR TUSD'!$AH$16*'TR TUSD'!$AH$60</f>
        <v>0</v>
      </c>
      <c r="AI16" s="20">
        <f>'TR TUSD'!$AI$16*'TR TUSD'!$AI$60</f>
        <v>0</v>
      </c>
      <c r="AJ16" s="20">
        <f ca="1">'TR TUSD'!$AJ$16*'TR TUSD'!$AJ$60</f>
        <v>0</v>
      </c>
      <c r="AK16" s="20">
        <f ca="1">'TR TUSD'!$AK$16*'TR TUSD'!$AK$60</f>
        <v>0</v>
      </c>
      <c r="AL16" s="20">
        <f ca="1">SUM($AH$16:$AK$16)</f>
        <v>0</v>
      </c>
      <c r="AM16" s="20">
        <f ca="1">SUMIF($L$4:$AL$4,"SUBTOTAL",$L$16:$AL$16)</f>
        <v>28.422848570507185</v>
      </c>
      <c r="AP16" s="20"/>
    </row>
    <row r="17" spans="1:42" ht="11.25" customHeight="1" x14ac:dyDescent="0.25">
      <c r="A17" s="134" t="s">
        <v>22</v>
      </c>
      <c r="B17" s="134" t="s">
        <v>37</v>
      </c>
      <c r="C17" s="134" t="s">
        <v>24</v>
      </c>
      <c r="D17" s="134" t="s">
        <v>24</v>
      </c>
      <c r="E17" s="134" t="s">
        <v>25</v>
      </c>
      <c r="F17" s="134" t="s">
        <v>25</v>
      </c>
      <c r="G17" s="21" t="s">
        <v>72</v>
      </c>
      <c r="H17" s="21" t="s">
        <v>71</v>
      </c>
      <c r="I17" s="21">
        <f>'MERCADO TUSD'!$U$14</f>
        <v>2.3139999999999996</v>
      </c>
      <c r="J17" s="17"/>
      <c r="L17" s="20">
        <f>'TR TUSD'!$L$17*'TR TUSD'!$L$60</f>
        <v>23.676382817448843</v>
      </c>
      <c r="M17" s="20">
        <f>'TR TUSD'!$M$17*'TR TUSD'!$M$60</f>
        <v>3.0995814557361197</v>
      </c>
      <c r="N17" s="20">
        <f ca="1">'TR TUSD'!$N$17*'TR TUSD'!$N$60</f>
        <v>0</v>
      </c>
      <c r="O17" s="20">
        <f>'TR TUSD'!$O$17*'TR TUSD'!$O$60</f>
        <v>0</v>
      </c>
      <c r="P17" s="20">
        <f>'TR TUSD'!$P$17*'TR TUSD'!$P$60</f>
        <v>0</v>
      </c>
      <c r="Q17" s="20">
        <f>'TR TUSD'!$Q$17*'TR TUSD'!$Q$60</f>
        <v>88.361225866413548</v>
      </c>
      <c r="R17" s="20">
        <f>'TR TUSD'!$R$17*'TR TUSD'!$R$60</f>
        <v>14.657753077660844</v>
      </c>
      <c r="S17" s="20">
        <f>'TR TUSD'!$S$17*'TR TUSD'!$S$60</f>
        <v>0</v>
      </c>
      <c r="T17" s="20">
        <f ca="1">SUM($L$17:$S$17)</f>
        <v>129.79494321725937</v>
      </c>
      <c r="U17" s="20">
        <f>'TR TUSD'!$U$17*'TR TUSD'!$U$60</f>
        <v>0</v>
      </c>
      <c r="V17" s="20">
        <f>'TR TUSD'!$V$17*'TR TUSD'!$V$60</f>
        <v>0</v>
      </c>
      <c r="W17" s="20">
        <f>'TR TUSD'!$W$17*'TR TUSD'!$W$60</f>
        <v>0</v>
      </c>
      <c r="X17" s="20">
        <f>'TR TUSD'!$X$17*'TR TUSD'!$X$60</f>
        <v>0</v>
      </c>
      <c r="Y17" s="20">
        <f>'TR TUSD'!$Y$17*'TR TUSD'!$Y$60</f>
        <v>534.84633561442149</v>
      </c>
      <c r="Z17" s="20">
        <f>'TR TUSD'!$Z$17</f>
        <v>0</v>
      </c>
      <c r="AA17" s="20">
        <f>'TR TUSD'!$AA$17</f>
        <v>0</v>
      </c>
      <c r="AB17" s="20">
        <f>SUM($U$17:$AA$17)</f>
        <v>534.84633561442149</v>
      </c>
      <c r="AC17" s="20">
        <f>'TR TUSD'!$AC$17*'TR TUSD'!$AC$60</f>
        <v>1789.1286042203028</v>
      </c>
      <c r="AD17" s="20">
        <f>SUM($AC$17:$AC$17)</f>
        <v>1789.1286042203028</v>
      </c>
      <c r="AE17" s="20">
        <v>0</v>
      </c>
      <c r="AF17" s="20">
        <v>0</v>
      </c>
      <c r="AG17" s="20">
        <f>SUM($AE$17:$AF$17)</f>
        <v>0</v>
      </c>
      <c r="AH17" s="20">
        <f>'TR TUSD'!$AH$17*'TR TUSD'!$AH$60</f>
        <v>35.402179234183421</v>
      </c>
      <c r="AI17" s="20">
        <f>'TR TUSD'!$AI$17*'TR TUSD'!$AI$60</f>
        <v>0</v>
      </c>
      <c r="AJ17" s="20">
        <f ca="1">'TR TUSD'!$AJ$17*'TR TUSD'!$AJ$60</f>
        <v>3.2938079199423642</v>
      </c>
      <c r="AK17" s="20">
        <f ca="1">'TR TUSD'!$AK$17*'TR TUSD'!$AK$60</f>
        <v>0</v>
      </c>
      <c r="AL17" s="20">
        <f ca="1">SUM($AH$17:$AK$17)</f>
        <v>38.695987154125788</v>
      </c>
      <c r="AM17" s="20">
        <f ca="1">SUMIF($L$4:$AL$4,"SUBTOTAL",$L$17:$AL$17)</f>
        <v>2492.4658702061097</v>
      </c>
      <c r="AP17" s="20">
        <v>1</v>
      </c>
    </row>
    <row r="18" spans="1:42" ht="11.25" customHeight="1" x14ac:dyDescent="0.25">
      <c r="A18" s="134"/>
      <c r="B18" s="134"/>
      <c r="C18" s="134"/>
      <c r="D18" s="134"/>
      <c r="E18" s="134"/>
      <c r="F18" s="134"/>
      <c r="G18" s="21" t="s">
        <v>84</v>
      </c>
      <c r="H18" s="21" t="s">
        <v>71</v>
      </c>
      <c r="I18" s="21">
        <f>'MERCADO TUSD'!$U$15</f>
        <v>1.2229999999999999</v>
      </c>
      <c r="J18" s="17"/>
      <c r="L18" s="20">
        <f>'TR TUSD'!$L$18*'TR TUSD'!$L$60</f>
        <v>23.676382817448843</v>
      </c>
      <c r="M18" s="20">
        <f>'TR TUSD'!$M$18*'TR TUSD'!$M$60</f>
        <v>3.0995814557361197</v>
      </c>
      <c r="N18" s="20">
        <f ca="1">'TR TUSD'!$N$18*'TR TUSD'!$N$60</f>
        <v>0</v>
      </c>
      <c r="O18" s="20">
        <f>'TR TUSD'!$O$18*'TR TUSD'!$O$60</f>
        <v>0</v>
      </c>
      <c r="P18" s="20">
        <f>'TR TUSD'!$P$18*'TR TUSD'!$P$60</f>
        <v>0</v>
      </c>
      <c r="Q18" s="20">
        <f>'TR TUSD'!$Q$18*'TR TUSD'!$Q$60</f>
        <v>88.361225866413548</v>
      </c>
      <c r="R18" s="20">
        <f>'TR TUSD'!$R$18*'TR TUSD'!$R$60</f>
        <v>14.657753077660844</v>
      </c>
      <c r="S18" s="20">
        <f>'TR TUSD'!$S$18*'TR TUSD'!$S$60</f>
        <v>0</v>
      </c>
      <c r="T18" s="20">
        <f ca="1">SUM($L$18:$S$18)</f>
        <v>129.79494321725937</v>
      </c>
      <c r="U18" s="20">
        <f>'TR TUSD'!$U$18*'TR TUSD'!$U$60</f>
        <v>0</v>
      </c>
      <c r="V18" s="20">
        <f>'TR TUSD'!$V$18*'TR TUSD'!$V$60</f>
        <v>0</v>
      </c>
      <c r="W18" s="20">
        <f>'TR TUSD'!$W$18*'TR TUSD'!$W$60</f>
        <v>0</v>
      </c>
      <c r="X18" s="20">
        <f>'TR TUSD'!$X$18*'TR TUSD'!$X$60</f>
        <v>0</v>
      </c>
      <c r="Y18" s="20">
        <f>'TR TUSD'!$Y$18*'TR TUSD'!$Y$60</f>
        <v>320.90780136865288</v>
      </c>
      <c r="Z18" s="20">
        <f>'TR TUSD'!$Z$18</f>
        <v>0</v>
      </c>
      <c r="AA18" s="20">
        <f>'TR TUSD'!$AA$18</f>
        <v>0</v>
      </c>
      <c r="AB18" s="20">
        <f>SUM($U$18:$AA$18)</f>
        <v>320.90780136865288</v>
      </c>
      <c r="AC18" s="20">
        <f>'TR TUSD'!$AC$18*'TR TUSD'!$AC$60</f>
        <v>1073.4773751738044</v>
      </c>
      <c r="AD18" s="20">
        <f>SUM($AC$18:$AC$18)</f>
        <v>1073.4773751738044</v>
      </c>
      <c r="AE18" s="20">
        <v>0</v>
      </c>
      <c r="AF18" s="20">
        <v>0</v>
      </c>
      <c r="AG18" s="20">
        <f>SUM($AE$18:$AF$18)</f>
        <v>0</v>
      </c>
      <c r="AH18" s="20">
        <f>'TR TUSD'!$AH$18*'TR TUSD'!$AH$60</f>
        <v>35.402179234183421</v>
      </c>
      <c r="AI18" s="20">
        <f>'TR TUSD'!$AI$18*'TR TUSD'!$AI$60</f>
        <v>0</v>
      </c>
      <c r="AJ18" s="20">
        <f ca="1">'TR TUSD'!$AJ$18*'TR TUSD'!$AJ$60</f>
        <v>3.2938079199423642</v>
      </c>
      <c r="AK18" s="20">
        <f ca="1">'TR TUSD'!$AK$18*'TR TUSD'!$AK$60</f>
        <v>0</v>
      </c>
      <c r="AL18" s="20">
        <f ca="1">SUM($AH$18:$AK$18)</f>
        <v>38.695987154125788</v>
      </c>
      <c r="AM18" s="20">
        <f ca="1">SUMIF($L$4:$AL$4,"SUBTOTAL",$L$18:$AL$18)</f>
        <v>1562.8761069138422</v>
      </c>
      <c r="AP18" s="20">
        <v>1</v>
      </c>
    </row>
    <row r="19" spans="1:42" ht="11.25" customHeight="1" x14ac:dyDescent="0.25">
      <c r="A19" s="134"/>
      <c r="B19" s="134"/>
      <c r="C19" s="134"/>
      <c r="D19" s="134"/>
      <c r="E19" s="134"/>
      <c r="F19" s="134"/>
      <c r="G19" s="21" t="s">
        <v>73</v>
      </c>
      <c r="H19" s="21" t="s">
        <v>71</v>
      </c>
      <c r="I19" s="21">
        <f>'MERCADO TUSD'!$U$16</f>
        <v>15.786</v>
      </c>
      <c r="J19" s="17"/>
      <c r="L19" s="20">
        <f>'TR TUSD'!$L$19*'TR TUSD'!$L$60</f>
        <v>23.676382817448843</v>
      </c>
      <c r="M19" s="20">
        <f>'TR TUSD'!$M$19*'TR TUSD'!$M$60</f>
        <v>3.0995814557361197</v>
      </c>
      <c r="N19" s="20">
        <f ca="1">'TR TUSD'!$N$19*'TR TUSD'!$N$60</f>
        <v>0</v>
      </c>
      <c r="O19" s="20">
        <f>'TR TUSD'!$O$19*'TR TUSD'!$O$60</f>
        <v>0</v>
      </c>
      <c r="P19" s="20">
        <f>'TR TUSD'!$P$19*'TR TUSD'!$P$60</f>
        <v>0</v>
      </c>
      <c r="Q19" s="20">
        <f>'TR TUSD'!$Q$19*'TR TUSD'!$Q$60</f>
        <v>88.361225866413548</v>
      </c>
      <c r="R19" s="20">
        <f>'TR TUSD'!$R$19*'TR TUSD'!$R$60</f>
        <v>14.657753077660844</v>
      </c>
      <c r="S19" s="20">
        <f>'TR TUSD'!$S$19*'TR TUSD'!$S$60</f>
        <v>0</v>
      </c>
      <c r="T19" s="20">
        <f ca="1">SUM($L$19:$S$19)</f>
        <v>129.79494321725937</v>
      </c>
      <c r="U19" s="20">
        <f>'TR TUSD'!$U$19*'TR TUSD'!$U$60</f>
        <v>0</v>
      </c>
      <c r="V19" s="20">
        <f>'TR TUSD'!$V$19*'TR TUSD'!$V$60</f>
        <v>0</v>
      </c>
      <c r="W19" s="20">
        <f>'TR TUSD'!$W$19*'TR TUSD'!$W$60</f>
        <v>0</v>
      </c>
      <c r="X19" s="20">
        <f>'TR TUSD'!$X$19*'TR TUSD'!$X$60</f>
        <v>0</v>
      </c>
      <c r="Y19" s="20">
        <f>'TR TUSD'!$Y$19*'TR TUSD'!$Y$60</f>
        <v>106.97039206128015</v>
      </c>
      <c r="Z19" s="20">
        <f>'TR TUSD'!$Z$19</f>
        <v>0</v>
      </c>
      <c r="AA19" s="20">
        <f>'TR TUSD'!$AA$19</f>
        <v>0</v>
      </c>
      <c r="AB19" s="20">
        <f>SUM($U$19:$AA$19)</f>
        <v>106.97039206128015</v>
      </c>
      <c r="AC19" s="20">
        <f>'TR TUSD'!$AC$19*'TR TUSD'!$AC$60</f>
        <v>357.82561452324921</v>
      </c>
      <c r="AD19" s="20">
        <f>SUM($AC$19:$AC$19)</f>
        <v>357.82561452324921</v>
      </c>
      <c r="AE19" s="20">
        <v>0</v>
      </c>
      <c r="AF19" s="20">
        <v>0</v>
      </c>
      <c r="AG19" s="20">
        <f>SUM($AE$19:$AF$19)</f>
        <v>0</v>
      </c>
      <c r="AH19" s="20">
        <f>'TR TUSD'!$AH$19*'TR TUSD'!$AH$60</f>
        <v>35.402179234183421</v>
      </c>
      <c r="AI19" s="20">
        <f>'TR TUSD'!$AI$19*'TR TUSD'!$AI$60</f>
        <v>0</v>
      </c>
      <c r="AJ19" s="20">
        <f ca="1">'TR TUSD'!$AJ$19*'TR TUSD'!$AJ$60</f>
        <v>3.2938079199423642</v>
      </c>
      <c r="AK19" s="20">
        <f ca="1">'TR TUSD'!$AK$19*'TR TUSD'!$AK$60</f>
        <v>0</v>
      </c>
      <c r="AL19" s="20">
        <f ca="1">SUM($AH$19:$AK$19)</f>
        <v>38.695987154125788</v>
      </c>
      <c r="AM19" s="20">
        <f ca="1">SUMIF($L$4:$AL$4,"SUBTOTAL",$L$19:$AL$19)</f>
        <v>633.28693695591448</v>
      </c>
      <c r="AP19" s="20">
        <v>1</v>
      </c>
    </row>
    <row r="20" spans="1:42" ht="11.25" customHeight="1" x14ac:dyDescent="0.25">
      <c r="A20" s="134"/>
      <c r="B20" s="134" t="s">
        <v>23</v>
      </c>
      <c r="C20" s="134" t="s">
        <v>24</v>
      </c>
      <c r="D20" s="22" t="s">
        <v>24</v>
      </c>
      <c r="E20" s="22" t="s">
        <v>25</v>
      </c>
      <c r="F20" s="22" t="s">
        <v>25</v>
      </c>
      <c r="G20" s="21" t="s">
        <v>75</v>
      </c>
      <c r="H20" s="21" t="s">
        <v>71</v>
      </c>
      <c r="I20" s="21">
        <f>'MERCADO TUSD'!$U$17</f>
        <v>26510.091</v>
      </c>
      <c r="J20" s="17"/>
      <c r="L20" s="20">
        <f>'TR TUSD'!$L$20*'TR TUSD'!$L$60</f>
        <v>23.676382817448843</v>
      </c>
      <c r="M20" s="20">
        <f>'TR TUSD'!$M$20*'TR TUSD'!$M$60</f>
        <v>3.0995814557361197</v>
      </c>
      <c r="N20" s="20">
        <f ca="1">'TR TUSD'!$N$20*'TR TUSD'!$N$60</f>
        <v>0</v>
      </c>
      <c r="O20" s="20">
        <f>'TR TUSD'!$O$20*'TR TUSD'!$O$60</f>
        <v>0</v>
      </c>
      <c r="P20" s="20">
        <f>'TR TUSD'!$P$20*'TR TUSD'!$P$60</f>
        <v>0</v>
      </c>
      <c r="Q20" s="20">
        <f>'TR TUSD'!$Q$20*'TR TUSD'!$Q$60</f>
        <v>88.361225866413548</v>
      </c>
      <c r="R20" s="20">
        <f>'TR TUSD'!$R$20*'TR TUSD'!$R$60</f>
        <v>14.657753077660844</v>
      </c>
      <c r="S20" s="20">
        <f>'TR TUSD'!$S$20*'TR TUSD'!$S$60</f>
        <v>0</v>
      </c>
      <c r="T20" s="20">
        <f ca="1">SUM($L$20:$S$20)</f>
        <v>129.79494321725937</v>
      </c>
      <c r="U20" s="20">
        <f>'TR TUSD'!$U$20*'TR TUSD'!$U$60</f>
        <v>0</v>
      </c>
      <c r="V20" s="20">
        <f>'TR TUSD'!$V$20*'TR TUSD'!$V$60</f>
        <v>0</v>
      </c>
      <c r="W20" s="20">
        <f>'TR TUSD'!$W$20*'TR TUSD'!$W$60</f>
        <v>0</v>
      </c>
      <c r="X20" s="20">
        <f>'TR TUSD'!$X$20*'TR TUSD'!$X$60</f>
        <v>0</v>
      </c>
      <c r="Y20" s="20">
        <f>'TR TUSD'!$Y$20*'TR TUSD'!$Y$60</f>
        <v>198.09152706344392</v>
      </c>
      <c r="Z20" s="20">
        <f>'TR TUSD'!$Z$20</f>
        <v>0</v>
      </c>
      <c r="AA20" s="20">
        <f>'TR TUSD'!$AA$20</f>
        <v>0</v>
      </c>
      <c r="AB20" s="20">
        <f>SUM($U$20:$AA$20)</f>
        <v>198.09152706344392</v>
      </c>
      <c r="AC20" s="20">
        <f>'TR TUSD'!$AC$20*'TR TUSD'!$AC$60</f>
        <v>662.64046989828671</v>
      </c>
      <c r="AD20" s="20">
        <f>SUM($AC$20:$AC$20)</f>
        <v>662.64046989828671</v>
      </c>
      <c r="AE20" s="20">
        <v>0</v>
      </c>
      <c r="AF20" s="20">
        <v>0</v>
      </c>
      <c r="AG20" s="20">
        <f>SUM($AE$20:$AF$20)</f>
        <v>0</v>
      </c>
      <c r="AH20" s="20">
        <f>'TR TUSD'!$AH$20*'TR TUSD'!$AH$60</f>
        <v>35.402179234183421</v>
      </c>
      <c r="AI20" s="20">
        <f>'TR TUSD'!$AI$20*'TR TUSD'!$AI$60</f>
        <v>0</v>
      </c>
      <c r="AJ20" s="20">
        <f ca="1">'TR TUSD'!$AJ$20*'TR TUSD'!$AJ$60</f>
        <v>3.2938079199423642</v>
      </c>
      <c r="AK20" s="20">
        <f ca="1">'TR TUSD'!$AK$20*'TR TUSD'!$AK$60</f>
        <v>0</v>
      </c>
      <c r="AL20" s="20">
        <f ca="1">SUM($AH$20:$AK$20)</f>
        <v>38.695987154125788</v>
      </c>
      <c r="AM20" s="20">
        <f ca="1">SUMIF($L$4:$AL$4,"SUBTOTAL",$L$20:$AL$20)</f>
        <v>1029.2229273331159</v>
      </c>
      <c r="AP20" s="20">
        <v>1</v>
      </c>
    </row>
    <row r="21" spans="1:42" ht="11.25" customHeight="1" x14ac:dyDescent="0.25">
      <c r="A21" s="134"/>
      <c r="B21" s="134"/>
      <c r="C21" s="134"/>
      <c r="D21" s="22" t="s">
        <v>29</v>
      </c>
      <c r="E21" s="22" t="s">
        <v>25</v>
      </c>
      <c r="F21" s="22" t="s">
        <v>25</v>
      </c>
      <c r="G21" s="21" t="s">
        <v>75</v>
      </c>
      <c r="H21" s="21" t="s">
        <v>71</v>
      </c>
      <c r="I21" s="21">
        <f>'MERCADO TUSD'!$U$18</f>
        <v>224.727</v>
      </c>
      <c r="J21" s="17"/>
      <c r="L21" s="20">
        <f>'TR TUSD'!$L$21*'TR TUSD'!$L$60</f>
        <v>0</v>
      </c>
      <c r="M21" s="20">
        <f>'TR TUSD'!$M$21*'TR TUSD'!$M$60</f>
        <v>3.0995814557361197</v>
      </c>
      <c r="N21" s="20">
        <f ca="1">'TR TUSD'!$N$21*'TR TUSD'!$N$60</f>
        <v>0</v>
      </c>
      <c r="O21" s="20">
        <f>'TR TUSD'!$O$21*'TR TUSD'!$O$60</f>
        <v>0</v>
      </c>
      <c r="P21" s="20">
        <f>'TR TUSD'!$P$21*'TR TUSD'!$P$60</f>
        <v>0</v>
      </c>
      <c r="Q21" s="20">
        <f>'TR TUSD'!$Q$21*'TR TUSD'!$Q$60</f>
        <v>0</v>
      </c>
      <c r="R21" s="20">
        <f>'TR TUSD'!$R$21*'TR TUSD'!$R$60</f>
        <v>0</v>
      </c>
      <c r="S21" s="20">
        <f>'TR TUSD'!$S$21*'TR TUSD'!$S$60</f>
        <v>0</v>
      </c>
      <c r="T21" s="20">
        <f ca="1">SUM($L$21:$S$21)</f>
        <v>3.0995814557361197</v>
      </c>
      <c r="U21" s="20">
        <f>'TR TUSD'!$U$21*'TR TUSD'!$U$60</f>
        <v>0</v>
      </c>
      <c r="V21" s="20">
        <f>'TR TUSD'!$V$21*'TR TUSD'!$V$60</f>
        <v>0</v>
      </c>
      <c r="W21" s="20">
        <f>'TR TUSD'!$W$21*'TR TUSD'!$W$60</f>
        <v>0</v>
      </c>
      <c r="X21" s="20">
        <f>'TR TUSD'!$X$21*'TR TUSD'!$X$60</f>
        <v>0</v>
      </c>
      <c r="Y21" s="20">
        <f>'TR TUSD'!$Y$21*'TR TUSD'!$Y$60</f>
        <v>198.09152706344392</v>
      </c>
      <c r="Z21" s="20">
        <f>'TR TUSD'!$Z$21</f>
        <v>0</v>
      </c>
      <c r="AA21" s="20">
        <f>'TR TUSD'!$AA$21</f>
        <v>0</v>
      </c>
      <c r="AB21" s="20">
        <f>SUM($U$21:$AA$21)</f>
        <v>198.09152706344392</v>
      </c>
      <c r="AC21" s="20">
        <f>'TR TUSD'!$AC$21*'TR TUSD'!$AC$60</f>
        <v>662.64046989828671</v>
      </c>
      <c r="AD21" s="20">
        <f>SUM($AC$21:$AC$21)</f>
        <v>662.64046989828671</v>
      </c>
      <c r="AE21" s="20">
        <v>0</v>
      </c>
      <c r="AF21" s="20">
        <v>0</v>
      </c>
      <c r="AG21" s="20">
        <f>SUM($AE$21:$AF$21)</f>
        <v>0</v>
      </c>
      <c r="AH21" s="20">
        <f>'TR TUSD'!$AH$21*'TR TUSD'!$AH$60</f>
        <v>35.402179234183421</v>
      </c>
      <c r="AI21" s="20">
        <f>'TR TUSD'!$AI$21*'TR TUSD'!$AI$60</f>
        <v>0</v>
      </c>
      <c r="AJ21" s="20">
        <f ca="1">'TR TUSD'!$AJ$21*'TR TUSD'!$AJ$60</f>
        <v>3.2938079199423642</v>
      </c>
      <c r="AK21" s="20">
        <f ca="1">'TR TUSD'!$AK$21*'TR TUSD'!$AK$60</f>
        <v>0</v>
      </c>
      <c r="AL21" s="20">
        <f ca="1">SUM($AH$21:$AK$21)</f>
        <v>38.695987154125788</v>
      </c>
      <c r="AM21" s="20">
        <f ca="1">SUMIF($L$4:$AL$4,"SUBTOTAL",$L$21:$AL$21)</f>
        <v>902.5275655715925</v>
      </c>
      <c r="AP21" s="20">
        <f>IF((1 - CUSTOS!$M$24)&lt;&gt;0,1/(1 - CUSTOS!$M$24),1)</f>
        <v>1</v>
      </c>
    </row>
    <row r="22" spans="1:42" ht="11.25" customHeight="1" x14ac:dyDescent="0.25">
      <c r="A22" s="134"/>
      <c r="B22" s="134"/>
      <c r="C22" s="134"/>
      <c r="D22" s="22" t="s">
        <v>30</v>
      </c>
      <c r="E22" s="22" t="s">
        <v>25</v>
      </c>
      <c r="F22" s="22" t="s">
        <v>25</v>
      </c>
      <c r="G22" s="21" t="s">
        <v>75</v>
      </c>
      <c r="H22" s="21" t="s">
        <v>71</v>
      </c>
      <c r="I22" s="21">
        <f>'MERCADO TUSD'!$U$19</f>
        <v>457.44400000000002</v>
      </c>
      <c r="J22" s="17"/>
      <c r="L22" s="20">
        <f>'TR TUSD'!$L$22*'TR TUSD'!$L$60</f>
        <v>0</v>
      </c>
      <c r="M22" s="20">
        <f>'TR TUSD'!$M$22*'TR TUSD'!$M$60</f>
        <v>3.0995814557361197</v>
      </c>
      <c r="N22" s="20">
        <f ca="1">'TR TUSD'!$N$22*'TR TUSD'!$N$60</f>
        <v>0</v>
      </c>
      <c r="O22" s="20">
        <f>'TR TUSD'!$O$22*'TR TUSD'!$O$60</f>
        <v>0</v>
      </c>
      <c r="P22" s="20">
        <f>'TR TUSD'!$P$22*'TR TUSD'!$P$60</f>
        <v>0</v>
      </c>
      <c r="Q22" s="20">
        <f>'TR TUSD'!$Q$22*'TR TUSD'!$Q$60</f>
        <v>0</v>
      </c>
      <c r="R22" s="20">
        <f>'TR TUSD'!$R$22*'TR TUSD'!$R$60</f>
        <v>0</v>
      </c>
      <c r="S22" s="20">
        <f>'TR TUSD'!$S$22*'TR TUSD'!$S$60</f>
        <v>0</v>
      </c>
      <c r="T22" s="20">
        <f ca="1">SUM($L$22:$S$22)</f>
        <v>3.0995814557361197</v>
      </c>
      <c r="U22" s="20">
        <f>'TR TUSD'!$U$22*'TR TUSD'!$U$60</f>
        <v>0</v>
      </c>
      <c r="V22" s="20">
        <f>'TR TUSD'!$V$22*'TR TUSD'!$V$60</f>
        <v>0</v>
      </c>
      <c r="W22" s="20">
        <f>'TR TUSD'!$W$22*'TR TUSD'!$W$60</f>
        <v>0</v>
      </c>
      <c r="X22" s="20">
        <f>'TR TUSD'!$X$22*'TR TUSD'!$X$60</f>
        <v>0</v>
      </c>
      <c r="Y22" s="20">
        <f>'TR TUSD'!$Y$22*'TR TUSD'!$Y$60</f>
        <v>198.09152706344392</v>
      </c>
      <c r="Z22" s="20">
        <f>'TR TUSD'!$Z$22</f>
        <v>0</v>
      </c>
      <c r="AA22" s="20">
        <f>'TR TUSD'!$AA$22</f>
        <v>0</v>
      </c>
      <c r="AB22" s="20">
        <f>SUM($U$22:$AA$22)</f>
        <v>198.09152706344392</v>
      </c>
      <c r="AC22" s="20">
        <f>'TR TUSD'!$AC$22*'TR TUSD'!$AC$60</f>
        <v>662.64046989828671</v>
      </c>
      <c r="AD22" s="20">
        <f>SUM($AC$22:$AC$22)</f>
        <v>662.64046989828671</v>
      </c>
      <c r="AE22" s="20">
        <v>0</v>
      </c>
      <c r="AF22" s="20">
        <v>0</v>
      </c>
      <c r="AG22" s="20">
        <f>SUM($AE$22:$AF$22)</f>
        <v>0</v>
      </c>
      <c r="AH22" s="20">
        <f>'TR TUSD'!$AH$22*'TR TUSD'!$AH$60</f>
        <v>35.402179234183421</v>
      </c>
      <c r="AI22" s="20">
        <f>'TR TUSD'!$AI$22*'TR TUSD'!$AI$60</f>
        <v>0</v>
      </c>
      <c r="AJ22" s="20">
        <f ca="1">'TR TUSD'!$AJ$22*'TR TUSD'!$AJ$60</f>
        <v>3.2938079199423642</v>
      </c>
      <c r="AK22" s="20">
        <f ca="1">'TR TUSD'!$AK$22*'TR TUSD'!$AK$60</f>
        <v>0</v>
      </c>
      <c r="AL22" s="20">
        <f ca="1">SUM($AH$22:$AK$22)</f>
        <v>38.695987154125788</v>
      </c>
      <c r="AM22" s="20">
        <f ca="1">SUMIF($L$4:$AL$4,"SUBTOTAL",$L$22:$AL$22)</f>
        <v>902.5275655715925</v>
      </c>
      <c r="AP22" s="20">
        <f>IF((1 - CUSTOS!$M$25)&lt;&gt;0,1/(1 - CUSTOS!$M$25),1)</f>
        <v>1</v>
      </c>
    </row>
    <row r="23" spans="1:42" ht="11.25" customHeight="1" x14ac:dyDescent="0.25">
      <c r="A23" s="134"/>
      <c r="B23" s="134"/>
      <c r="C23" s="134"/>
      <c r="D23" s="22" t="s">
        <v>31</v>
      </c>
      <c r="E23" s="22" t="s">
        <v>25</v>
      </c>
      <c r="F23" s="22" t="s">
        <v>25</v>
      </c>
      <c r="G23" s="21" t="s">
        <v>75</v>
      </c>
      <c r="H23" s="21" t="s">
        <v>71</v>
      </c>
      <c r="I23" s="21">
        <f>'MERCADO TUSD'!$U$20</f>
        <v>365.92600000000004</v>
      </c>
      <c r="J23" s="17"/>
      <c r="L23" s="20">
        <f>'TR TUSD'!$L$23*'TR TUSD'!$L$60</f>
        <v>0</v>
      </c>
      <c r="M23" s="20">
        <f>'TR TUSD'!$M$23*'TR TUSD'!$M$60</f>
        <v>3.0995814557361197</v>
      </c>
      <c r="N23" s="20">
        <f ca="1">'TR TUSD'!$N$23*'TR TUSD'!$N$60</f>
        <v>0</v>
      </c>
      <c r="O23" s="20">
        <f>'TR TUSD'!$O$23*'TR TUSD'!$O$60</f>
        <v>0</v>
      </c>
      <c r="P23" s="20">
        <f>'TR TUSD'!$P$23*'TR TUSD'!$P$60</f>
        <v>0</v>
      </c>
      <c r="Q23" s="20">
        <f>'TR TUSD'!$Q$23*'TR TUSD'!$Q$60</f>
        <v>0</v>
      </c>
      <c r="R23" s="20">
        <f>'TR TUSD'!$R$23*'TR TUSD'!$R$60</f>
        <v>0</v>
      </c>
      <c r="S23" s="20">
        <f>'TR TUSD'!$S$23*'TR TUSD'!$S$60</f>
        <v>0</v>
      </c>
      <c r="T23" s="20">
        <f ca="1">SUM($L$23:$S$23)</f>
        <v>3.0995814557361197</v>
      </c>
      <c r="U23" s="20">
        <f>'TR TUSD'!$U$23*'TR TUSD'!$U$60</f>
        <v>0</v>
      </c>
      <c r="V23" s="20">
        <f>'TR TUSD'!$V$23*'TR TUSD'!$V$60</f>
        <v>0</v>
      </c>
      <c r="W23" s="20">
        <f>'TR TUSD'!$W$23*'TR TUSD'!$W$60</f>
        <v>0</v>
      </c>
      <c r="X23" s="20">
        <f>'TR TUSD'!$X$23*'TR TUSD'!$X$60</f>
        <v>0</v>
      </c>
      <c r="Y23" s="20">
        <f>'TR TUSD'!$Y$23*'TR TUSD'!$Y$60</f>
        <v>198.09152706344392</v>
      </c>
      <c r="Z23" s="20">
        <f>'TR TUSD'!$Z$23</f>
        <v>0</v>
      </c>
      <c r="AA23" s="20">
        <f>'TR TUSD'!$AA$23</f>
        <v>0</v>
      </c>
      <c r="AB23" s="20">
        <f>SUM($U$23:$AA$23)</f>
        <v>198.09152706344392</v>
      </c>
      <c r="AC23" s="20">
        <f>'TR TUSD'!$AC$23*'TR TUSD'!$AC$60</f>
        <v>662.64046989828671</v>
      </c>
      <c r="AD23" s="20">
        <f>SUM($AC$23:$AC$23)</f>
        <v>662.64046989828671</v>
      </c>
      <c r="AE23" s="20">
        <v>0</v>
      </c>
      <c r="AF23" s="20">
        <v>0</v>
      </c>
      <c r="AG23" s="20">
        <f>SUM($AE$23:$AF$23)</f>
        <v>0</v>
      </c>
      <c r="AH23" s="20">
        <f>'TR TUSD'!$AH$23*'TR TUSD'!$AH$60</f>
        <v>35.402179234183421</v>
      </c>
      <c r="AI23" s="20">
        <f>'TR TUSD'!$AI$23*'TR TUSD'!$AI$60</f>
        <v>0</v>
      </c>
      <c r="AJ23" s="20">
        <f ca="1">'TR TUSD'!$AJ$23*'TR TUSD'!$AJ$60</f>
        <v>3.2938079199423642</v>
      </c>
      <c r="AK23" s="20">
        <f ca="1">'TR TUSD'!$AK$23*'TR TUSD'!$AK$60</f>
        <v>0</v>
      </c>
      <c r="AL23" s="20">
        <f ca="1">SUM($AH$23:$AK$23)</f>
        <v>38.695987154125788</v>
      </c>
      <c r="AM23" s="20">
        <f ca="1">SUMIF($L$4:$AL$4,"SUBTOTAL",$L$23:$AL$23)</f>
        <v>902.5275655715925</v>
      </c>
      <c r="AP23" s="20">
        <f>IF((1 - CUSTOS!$M$26)&lt;&gt;0,1/(1 - CUSTOS!$M$26),1)</f>
        <v>1</v>
      </c>
    </row>
    <row r="24" spans="1:42" ht="11.25" customHeight="1" x14ac:dyDescent="0.25">
      <c r="A24" s="134"/>
      <c r="B24" s="134"/>
      <c r="C24" s="134"/>
      <c r="D24" s="22" t="s">
        <v>32</v>
      </c>
      <c r="E24" s="22" t="s">
        <v>25</v>
      </c>
      <c r="F24" s="22" t="s">
        <v>25</v>
      </c>
      <c r="G24" s="21" t="s">
        <v>75</v>
      </c>
      <c r="H24" s="21" t="s">
        <v>71</v>
      </c>
      <c r="I24" s="21">
        <f>'MERCADO TUSD'!$U$21</f>
        <v>81.745999999999995</v>
      </c>
      <c r="J24" s="17"/>
      <c r="L24" s="20">
        <f>'TR TUSD'!$L$24*'TR TUSD'!$L$60</f>
        <v>0</v>
      </c>
      <c r="M24" s="20">
        <f>'TR TUSD'!$M$24*'TR TUSD'!$M$60</f>
        <v>3.0995814557361197</v>
      </c>
      <c r="N24" s="20">
        <f ca="1">'TR TUSD'!$N$24*'TR TUSD'!$N$60</f>
        <v>0</v>
      </c>
      <c r="O24" s="20">
        <f>'TR TUSD'!$O$24*'TR TUSD'!$O$60</f>
        <v>0</v>
      </c>
      <c r="P24" s="20">
        <f>'TR TUSD'!$P$24*'TR TUSD'!$P$60</f>
        <v>0</v>
      </c>
      <c r="Q24" s="20">
        <f>'TR TUSD'!$Q$24*'TR TUSD'!$Q$60</f>
        <v>0</v>
      </c>
      <c r="R24" s="20">
        <f>'TR TUSD'!$R$24*'TR TUSD'!$R$60</f>
        <v>0</v>
      </c>
      <c r="S24" s="20">
        <f>'TR TUSD'!$S$24*'TR TUSD'!$S$60</f>
        <v>0</v>
      </c>
      <c r="T24" s="20">
        <f ca="1">SUM($L$24:$S$24)</f>
        <v>3.0995814557361197</v>
      </c>
      <c r="U24" s="20">
        <f>'TR TUSD'!$U$24*'TR TUSD'!$U$60</f>
        <v>0</v>
      </c>
      <c r="V24" s="20">
        <f>'TR TUSD'!$V$24*'TR TUSD'!$V$60</f>
        <v>0</v>
      </c>
      <c r="W24" s="20">
        <f>'TR TUSD'!$W$24*'TR TUSD'!$W$60</f>
        <v>0</v>
      </c>
      <c r="X24" s="20">
        <f>'TR TUSD'!$X$24*'TR TUSD'!$X$60</f>
        <v>0</v>
      </c>
      <c r="Y24" s="20">
        <f>'TR TUSD'!$Y$24*'TR TUSD'!$Y$60</f>
        <v>198.09152706344392</v>
      </c>
      <c r="Z24" s="20">
        <f>'TR TUSD'!$Z$24</f>
        <v>0</v>
      </c>
      <c r="AA24" s="20">
        <f>'TR TUSD'!$AA$24</f>
        <v>0</v>
      </c>
      <c r="AB24" s="20">
        <f>SUM($U$24:$AA$24)</f>
        <v>198.09152706344392</v>
      </c>
      <c r="AC24" s="20">
        <f>'TR TUSD'!$AC$24*'TR TUSD'!$AC$60</f>
        <v>662.64046989828671</v>
      </c>
      <c r="AD24" s="20">
        <f>SUM($AC$24:$AC$24)</f>
        <v>662.64046989828671</v>
      </c>
      <c r="AE24" s="20">
        <v>0</v>
      </c>
      <c r="AF24" s="20">
        <v>0</v>
      </c>
      <c r="AG24" s="20">
        <f>SUM($AE$24:$AF$24)</f>
        <v>0</v>
      </c>
      <c r="AH24" s="20">
        <f>'TR TUSD'!$AH$24*'TR TUSD'!$AH$60</f>
        <v>35.402179234183421</v>
      </c>
      <c r="AI24" s="20">
        <f>'TR TUSD'!$AI$24*'TR TUSD'!$AI$60</f>
        <v>0</v>
      </c>
      <c r="AJ24" s="20">
        <f ca="1">'TR TUSD'!$AJ$24*'TR TUSD'!$AJ$60</f>
        <v>3.2938079199423642</v>
      </c>
      <c r="AK24" s="20">
        <f ca="1">'TR TUSD'!$AK$24*'TR TUSD'!$AK$60</f>
        <v>0</v>
      </c>
      <c r="AL24" s="20">
        <f ca="1">SUM($AH$24:$AK$24)</f>
        <v>38.695987154125788</v>
      </c>
      <c r="AM24" s="20">
        <f ca="1">SUMIF($L$4:$AL$4,"SUBTOTAL",$L$24:$AL$24)</f>
        <v>902.5275655715925</v>
      </c>
      <c r="AP24" s="20">
        <f>IF((1 - CUSTOS!$M$27)&lt;&gt;0,1/(1 - CUSTOS!$M$27),1)</f>
        <v>1</v>
      </c>
    </row>
    <row r="25" spans="1:42" ht="11.25" customHeight="1" x14ac:dyDescent="0.25">
      <c r="A25" s="134"/>
      <c r="B25" s="134" t="s">
        <v>86</v>
      </c>
      <c r="C25" s="134" t="s">
        <v>24</v>
      </c>
      <c r="D25" s="22" t="s">
        <v>24</v>
      </c>
      <c r="E25" s="22" t="s">
        <v>25</v>
      </c>
      <c r="F25" s="22" t="s">
        <v>25</v>
      </c>
      <c r="G25" s="21" t="s">
        <v>75</v>
      </c>
      <c r="H25" s="21" t="s">
        <v>71</v>
      </c>
      <c r="I25" s="21">
        <f>'MERCADO TUSD'!$U$22</f>
        <v>0</v>
      </c>
      <c r="J25" s="17"/>
      <c r="L25" s="20">
        <f>'TR TUSD'!$L$25*'TR TUSD'!$L$60</f>
        <v>23.676382817448843</v>
      </c>
      <c r="M25" s="20">
        <f>'TR TUSD'!$M$25*'TR TUSD'!$M$60</f>
        <v>3.0995814557361197</v>
      </c>
      <c r="N25" s="20">
        <f ca="1">'TR TUSD'!$N$25*'TR TUSD'!$N$60</f>
        <v>0</v>
      </c>
      <c r="O25" s="20">
        <f>'TR TUSD'!$O$25*'TR TUSD'!$O$60</f>
        <v>0</v>
      </c>
      <c r="P25" s="20">
        <f>'TR TUSD'!$P$25*'TR TUSD'!$P$60</f>
        <v>0</v>
      </c>
      <c r="Q25" s="20">
        <f>'TR TUSD'!$Q$25*'TR TUSD'!$Q$60</f>
        <v>88.361225866413548</v>
      </c>
      <c r="R25" s="20">
        <f>'TR TUSD'!$R$25*'TR TUSD'!$R$60</f>
        <v>14.657753077660844</v>
      </c>
      <c r="S25" s="20">
        <f>'TR TUSD'!$S$25*'TR TUSD'!$S$60</f>
        <v>0</v>
      </c>
      <c r="T25" s="20">
        <f ca="1">SUM($L$25:$S$25)</f>
        <v>129.79494321725937</v>
      </c>
      <c r="U25" s="20">
        <f>'TR TUSD'!$U$25*'TR TUSD'!$U$60</f>
        <v>0</v>
      </c>
      <c r="V25" s="20">
        <f>'TR TUSD'!$V$25*'TR TUSD'!$V$60</f>
        <v>0</v>
      </c>
      <c r="W25" s="20">
        <f>'TR TUSD'!$W$25*'TR TUSD'!$W$60</f>
        <v>0</v>
      </c>
      <c r="X25" s="20">
        <f>'TR TUSD'!$X$25*'TR TUSD'!$X$60</f>
        <v>0</v>
      </c>
      <c r="Y25" s="20">
        <f>'TR TUSD'!$Y$25*'TR TUSD'!$Y$60</f>
        <v>198.09152706344392</v>
      </c>
      <c r="Z25" s="20">
        <f>'TR TUSD'!$Z$25</f>
        <v>0</v>
      </c>
      <c r="AA25" s="20">
        <f>'TR TUSD'!$AA$25</f>
        <v>0</v>
      </c>
      <c r="AB25" s="20">
        <f>SUM($U$25:$AA$25)</f>
        <v>198.09152706344392</v>
      </c>
      <c r="AC25" s="20">
        <f>'TR TUSD'!$AC$25*'TR TUSD'!$AC$60</f>
        <v>662.64046989828671</v>
      </c>
      <c r="AD25" s="20">
        <f>SUM($AC$25:$AC$25)</f>
        <v>662.64046989828671</v>
      </c>
      <c r="AE25" s="20">
        <v>0</v>
      </c>
      <c r="AF25" s="20">
        <v>0</v>
      </c>
      <c r="AG25" s="20">
        <f>SUM($AE$25:$AF$25)</f>
        <v>0</v>
      </c>
      <c r="AH25" s="20">
        <f>'TR TUSD'!$AH$25*'TR TUSD'!$AH$60</f>
        <v>35.402179234183421</v>
      </c>
      <c r="AI25" s="20">
        <f>'TR TUSD'!$AI$25*'TR TUSD'!$AI$60</f>
        <v>0</v>
      </c>
      <c r="AJ25" s="20">
        <f ca="1">'TR TUSD'!$AJ$25*'TR TUSD'!$AJ$60</f>
        <v>3.2938079199423642</v>
      </c>
      <c r="AK25" s="20">
        <f ca="1">'TR TUSD'!$AK$25*'TR TUSD'!$AK$60</f>
        <v>0</v>
      </c>
      <c r="AL25" s="20">
        <f ca="1">SUM($AH$25:$AK$25)</f>
        <v>38.695987154125788</v>
      </c>
      <c r="AM25" s="20">
        <f ca="1">SUMIF($L$4:$AL$4,"SUBTOTAL",$L$25:$AL$25)</f>
        <v>1029.2229273331159</v>
      </c>
      <c r="AP25" s="20">
        <v>1</v>
      </c>
    </row>
    <row r="26" spans="1:42" ht="11.25" customHeight="1" x14ac:dyDescent="0.25">
      <c r="A26" s="134"/>
      <c r="B26" s="134"/>
      <c r="C26" s="134"/>
      <c r="D26" s="22" t="s">
        <v>29</v>
      </c>
      <c r="E26" s="22" t="s">
        <v>25</v>
      </c>
      <c r="F26" s="22" t="s">
        <v>25</v>
      </c>
      <c r="G26" s="21" t="s">
        <v>75</v>
      </c>
      <c r="H26" s="21" t="s">
        <v>71</v>
      </c>
      <c r="I26" s="21">
        <f>'MERCADO TUSD'!$U$23</f>
        <v>0</v>
      </c>
      <c r="J26" s="17"/>
      <c r="L26" s="20">
        <f>'TR TUSD'!$L$26*'TR TUSD'!$L$60</f>
        <v>0</v>
      </c>
      <c r="M26" s="20">
        <f>'TR TUSD'!$M$26*'TR TUSD'!$M$60</f>
        <v>3.0995814557361197</v>
      </c>
      <c r="N26" s="20">
        <f ca="1">'TR TUSD'!$N$26*'TR TUSD'!$N$60</f>
        <v>0</v>
      </c>
      <c r="O26" s="20">
        <f>'TR TUSD'!$O$26*'TR TUSD'!$O$60</f>
        <v>0</v>
      </c>
      <c r="P26" s="20">
        <f>'TR TUSD'!$P$26*'TR TUSD'!$P$60</f>
        <v>0</v>
      </c>
      <c r="Q26" s="20">
        <f>'TR TUSD'!$Q$26*'TR TUSD'!$Q$60</f>
        <v>0</v>
      </c>
      <c r="R26" s="20">
        <f>'TR TUSD'!$R$26*'TR TUSD'!$R$60</f>
        <v>0</v>
      </c>
      <c r="S26" s="20">
        <f>'TR TUSD'!$S$26*'TR TUSD'!$S$60</f>
        <v>0</v>
      </c>
      <c r="T26" s="20">
        <f ca="1">SUM($L$26:$S$26)</f>
        <v>3.0995814557361197</v>
      </c>
      <c r="U26" s="20">
        <f>'TR TUSD'!$U$26*'TR TUSD'!$U$60</f>
        <v>0</v>
      </c>
      <c r="V26" s="20">
        <f>'TR TUSD'!$V$26*'TR TUSD'!$V$60</f>
        <v>0</v>
      </c>
      <c r="W26" s="20">
        <f>'TR TUSD'!$W$26*'TR TUSD'!$W$60</f>
        <v>0</v>
      </c>
      <c r="X26" s="20">
        <f>'TR TUSD'!$X$26*'TR TUSD'!$X$60</f>
        <v>0</v>
      </c>
      <c r="Y26" s="20">
        <f>'TR TUSD'!$Y$26*'TR TUSD'!$Y$60</f>
        <v>198.09152706344392</v>
      </c>
      <c r="Z26" s="20">
        <f>'TR TUSD'!$Z$26</f>
        <v>0</v>
      </c>
      <c r="AA26" s="20">
        <f>'TR TUSD'!$AA$26</f>
        <v>0</v>
      </c>
      <c r="AB26" s="20">
        <f>SUM($U$26:$AA$26)</f>
        <v>198.09152706344392</v>
      </c>
      <c r="AC26" s="20">
        <f>'TR TUSD'!$AC$26*'TR TUSD'!$AC$60</f>
        <v>662.64046989828671</v>
      </c>
      <c r="AD26" s="20">
        <f>SUM($AC$26:$AC$26)</f>
        <v>662.64046989828671</v>
      </c>
      <c r="AE26" s="20">
        <v>0</v>
      </c>
      <c r="AF26" s="20">
        <v>0</v>
      </c>
      <c r="AG26" s="20">
        <f>SUM($AE$26:$AF$26)</f>
        <v>0</v>
      </c>
      <c r="AH26" s="20">
        <f>'TR TUSD'!$AH$26*'TR TUSD'!$AH$60</f>
        <v>35.402179234183421</v>
      </c>
      <c r="AI26" s="20">
        <f>'TR TUSD'!$AI$26*'TR TUSD'!$AI$60</f>
        <v>0</v>
      </c>
      <c r="AJ26" s="20">
        <f ca="1">'TR TUSD'!$AJ$26*'TR TUSD'!$AJ$60</f>
        <v>3.2938079199423642</v>
      </c>
      <c r="AK26" s="20">
        <f ca="1">'TR TUSD'!$AK$26*'TR TUSD'!$AK$60</f>
        <v>0</v>
      </c>
      <c r="AL26" s="20">
        <f ca="1">SUM($AH$26:$AK$26)</f>
        <v>38.695987154125788</v>
      </c>
      <c r="AM26" s="20">
        <f ca="1">SUMIF($L$4:$AL$4,"SUBTOTAL",$L$26:$AL$26)</f>
        <v>902.5275655715925</v>
      </c>
      <c r="AP26" s="20">
        <f>IF((1 - CUSTOS!$M$24)&lt;&gt;0,1/(1 - CUSTOS!$M$24),1)</f>
        <v>1</v>
      </c>
    </row>
    <row r="27" spans="1:42" ht="11.25" customHeight="1" x14ac:dyDescent="0.25">
      <c r="A27" s="134"/>
      <c r="B27" s="134"/>
      <c r="C27" s="134"/>
      <c r="D27" s="22" t="s">
        <v>30</v>
      </c>
      <c r="E27" s="22" t="s">
        <v>25</v>
      </c>
      <c r="F27" s="22" t="s">
        <v>25</v>
      </c>
      <c r="G27" s="21" t="s">
        <v>75</v>
      </c>
      <c r="H27" s="21" t="s">
        <v>71</v>
      </c>
      <c r="I27" s="21">
        <f>'MERCADO TUSD'!$U$24</f>
        <v>0</v>
      </c>
      <c r="J27" s="17"/>
      <c r="L27" s="20">
        <f>'TR TUSD'!$L$27*'TR TUSD'!$L$60</f>
        <v>0</v>
      </c>
      <c r="M27" s="20">
        <f>'TR TUSD'!$M$27*'TR TUSD'!$M$60</f>
        <v>3.0995814557361197</v>
      </c>
      <c r="N27" s="20">
        <f ca="1">'TR TUSD'!$N$27*'TR TUSD'!$N$60</f>
        <v>0</v>
      </c>
      <c r="O27" s="20">
        <f>'TR TUSD'!$O$27*'TR TUSD'!$O$60</f>
        <v>0</v>
      </c>
      <c r="P27" s="20">
        <f>'TR TUSD'!$P$27*'TR TUSD'!$P$60</f>
        <v>0</v>
      </c>
      <c r="Q27" s="20">
        <f>'TR TUSD'!$Q$27*'TR TUSD'!$Q$60</f>
        <v>0</v>
      </c>
      <c r="R27" s="20">
        <f>'TR TUSD'!$R$27*'TR TUSD'!$R$60</f>
        <v>0</v>
      </c>
      <c r="S27" s="20">
        <f>'TR TUSD'!$S$27*'TR TUSD'!$S$60</f>
        <v>0</v>
      </c>
      <c r="T27" s="20">
        <f ca="1">SUM($L$27:$S$27)</f>
        <v>3.0995814557361197</v>
      </c>
      <c r="U27" s="20">
        <f>'TR TUSD'!$U$27*'TR TUSD'!$U$60</f>
        <v>0</v>
      </c>
      <c r="V27" s="20">
        <f>'TR TUSD'!$V$27*'TR TUSD'!$V$60</f>
        <v>0</v>
      </c>
      <c r="W27" s="20">
        <f>'TR TUSD'!$W$27*'TR TUSD'!$W$60</f>
        <v>0</v>
      </c>
      <c r="X27" s="20">
        <f>'TR TUSD'!$X$27*'TR TUSD'!$X$60</f>
        <v>0</v>
      </c>
      <c r="Y27" s="20">
        <f>'TR TUSD'!$Y$27*'TR TUSD'!$Y$60</f>
        <v>198.09152706344392</v>
      </c>
      <c r="Z27" s="20">
        <f>'TR TUSD'!$Z$27</f>
        <v>0</v>
      </c>
      <c r="AA27" s="20">
        <f>'TR TUSD'!$AA$27</f>
        <v>0</v>
      </c>
      <c r="AB27" s="20">
        <f>SUM($U$27:$AA$27)</f>
        <v>198.09152706344392</v>
      </c>
      <c r="AC27" s="20">
        <f>'TR TUSD'!$AC$27*'TR TUSD'!$AC$60</f>
        <v>662.64046989828671</v>
      </c>
      <c r="AD27" s="20">
        <f>SUM($AC$27:$AC$27)</f>
        <v>662.64046989828671</v>
      </c>
      <c r="AE27" s="20">
        <v>0</v>
      </c>
      <c r="AF27" s="20">
        <v>0</v>
      </c>
      <c r="AG27" s="20">
        <f>SUM($AE$27:$AF$27)</f>
        <v>0</v>
      </c>
      <c r="AH27" s="20">
        <f>'TR TUSD'!$AH$27*'TR TUSD'!$AH$60</f>
        <v>35.402179234183421</v>
      </c>
      <c r="AI27" s="20">
        <f>'TR TUSD'!$AI$27*'TR TUSD'!$AI$60</f>
        <v>0</v>
      </c>
      <c r="AJ27" s="20">
        <f ca="1">'TR TUSD'!$AJ$27*'TR TUSD'!$AJ$60</f>
        <v>3.2938079199423642</v>
      </c>
      <c r="AK27" s="20">
        <f ca="1">'TR TUSD'!$AK$27*'TR TUSD'!$AK$60</f>
        <v>0</v>
      </c>
      <c r="AL27" s="20">
        <f ca="1">SUM($AH$27:$AK$27)</f>
        <v>38.695987154125788</v>
      </c>
      <c r="AM27" s="20">
        <f ca="1">SUMIF($L$4:$AL$4,"SUBTOTAL",$L$27:$AL$27)</f>
        <v>902.5275655715925</v>
      </c>
      <c r="AP27" s="20">
        <f>IF((1 - CUSTOS!$M$25)&lt;&gt;0,1/(1 - CUSTOS!$M$25),1)</f>
        <v>1</v>
      </c>
    </row>
    <row r="28" spans="1:42" ht="11.25" customHeight="1" x14ac:dyDescent="0.25">
      <c r="A28" s="134"/>
      <c r="B28" s="134"/>
      <c r="C28" s="134"/>
      <c r="D28" s="22" t="s">
        <v>31</v>
      </c>
      <c r="E28" s="22" t="s">
        <v>25</v>
      </c>
      <c r="F28" s="22" t="s">
        <v>25</v>
      </c>
      <c r="G28" s="21" t="s">
        <v>75</v>
      </c>
      <c r="H28" s="21" t="s">
        <v>71</v>
      </c>
      <c r="I28" s="21">
        <f>'MERCADO TUSD'!$U$25</f>
        <v>0</v>
      </c>
      <c r="J28" s="17"/>
      <c r="L28" s="20">
        <f>'TR TUSD'!$L$28*'TR TUSD'!$L$60</f>
        <v>0</v>
      </c>
      <c r="M28" s="20">
        <f>'TR TUSD'!$M$28*'TR TUSD'!$M$60</f>
        <v>3.0995814557361197</v>
      </c>
      <c r="N28" s="20">
        <f ca="1">'TR TUSD'!$N$28*'TR TUSD'!$N$60</f>
        <v>0</v>
      </c>
      <c r="O28" s="20">
        <f>'TR TUSD'!$O$28*'TR TUSD'!$O$60</f>
        <v>0</v>
      </c>
      <c r="P28" s="20">
        <f>'TR TUSD'!$P$28*'TR TUSD'!$P$60</f>
        <v>0</v>
      </c>
      <c r="Q28" s="20">
        <f>'TR TUSD'!$Q$28*'TR TUSD'!$Q$60</f>
        <v>0</v>
      </c>
      <c r="R28" s="20">
        <f>'TR TUSD'!$R$28*'TR TUSD'!$R$60</f>
        <v>0</v>
      </c>
      <c r="S28" s="20">
        <f>'TR TUSD'!$S$28*'TR TUSD'!$S$60</f>
        <v>0</v>
      </c>
      <c r="T28" s="20">
        <f ca="1">SUM($L$28:$S$28)</f>
        <v>3.0995814557361197</v>
      </c>
      <c r="U28" s="20">
        <f>'TR TUSD'!$U$28*'TR TUSD'!$U$60</f>
        <v>0</v>
      </c>
      <c r="V28" s="20">
        <f>'TR TUSD'!$V$28*'TR TUSD'!$V$60</f>
        <v>0</v>
      </c>
      <c r="W28" s="20">
        <f>'TR TUSD'!$W$28*'TR TUSD'!$W$60</f>
        <v>0</v>
      </c>
      <c r="X28" s="20">
        <f>'TR TUSD'!$X$28*'TR TUSD'!$X$60</f>
        <v>0</v>
      </c>
      <c r="Y28" s="20">
        <f>'TR TUSD'!$Y$28*'TR TUSD'!$Y$60</f>
        <v>198.09152706344392</v>
      </c>
      <c r="Z28" s="20">
        <f>'TR TUSD'!$Z$28</f>
        <v>0</v>
      </c>
      <c r="AA28" s="20">
        <f>'TR TUSD'!$AA$28</f>
        <v>0</v>
      </c>
      <c r="AB28" s="20">
        <f>SUM($U$28:$AA$28)</f>
        <v>198.09152706344392</v>
      </c>
      <c r="AC28" s="20">
        <f>'TR TUSD'!$AC$28*'TR TUSD'!$AC$60</f>
        <v>662.64046989828671</v>
      </c>
      <c r="AD28" s="20">
        <f>SUM($AC$28:$AC$28)</f>
        <v>662.64046989828671</v>
      </c>
      <c r="AE28" s="20">
        <v>0</v>
      </c>
      <c r="AF28" s="20">
        <v>0</v>
      </c>
      <c r="AG28" s="20">
        <f>SUM($AE$28:$AF$28)</f>
        <v>0</v>
      </c>
      <c r="AH28" s="20">
        <f>'TR TUSD'!$AH$28*'TR TUSD'!$AH$60</f>
        <v>35.402179234183421</v>
      </c>
      <c r="AI28" s="20">
        <f>'TR TUSD'!$AI$28*'TR TUSD'!$AI$60</f>
        <v>0</v>
      </c>
      <c r="AJ28" s="20">
        <f ca="1">'TR TUSD'!$AJ$28*'TR TUSD'!$AJ$60</f>
        <v>3.2938079199423642</v>
      </c>
      <c r="AK28" s="20">
        <f ca="1">'TR TUSD'!$AK$28*'TR TUSD'!$AK$60</f>
        <v>0</v>
      </c>
      <c r="AL28" s="20">
        <f ca="1">SUM($AH$28:$AK$28)</f>
        <v>38.695987154125788</v>
      </c>
      <c r="AM28" s="20">
        <f ca="1">SUMIF($L$4:$AL$4,"SUBTOTAL",$L$28:$AL$28)</f>
        <v>902.5275655715925</v>
      </c>
      <c r="AP28" s="20">
        <f>IF((1 - CUSTOS!$M$26)&lt;&gt;0,1/(1 - CUSTOS!$M$26),1)</f>
        <v>1</v>
      </c>
    </row>
    <row r="29" spans="1:42" ht="11.25" customHeight="1" x14ac:dyDescent="0.25">
      <c r="A29" s="134"/>
      <c r="B29" s="134"/>
      <c r="C29" s="134"/>
      <c r="D29" s="22" t="s">
        <v>32</v>
      </c>
      <c r="E29" s="22" t="s">
        <v>25</v>
      </c>
      <c r="F29" s="22" t="s">
        <v>25</v>
      </c>
      <c r="G29" s="21" t="s">
        <v>75</v>
      </c>
      <c r="H29" s="21" t="s">
        <v>71</v>
      </c>
      <c r="I29" s="21">
        <f>'MERCADO TUSD'!$U$26</f>
        <v>0</v>
      </c>
      <c r="J29" s="17"/>
      <c r="L29" s="20">
        <f>'TR TUSD'!$L$29*'TR TUSD'!$L$60</f>
        <v>0</v>
      </c>
      <c r="M29" s="20">
        <f>'TR TUSD'!$M$29*'TR TUSD'!$M$60</f>
        <v>3.0995814557361197</v>
      </c>
      <c r="N29" s="20">
        <f ca="1">'TR TUSD'!$N$29*'TR TUSD'!$N$60</f>
        <v>0</v>
      </c>
      <c r="O29" s="20">
        <f>'TR TUSD'!$O$29*'TR TUSD'!$O$60</f>
        <v>0</v>
      </c>
      <c r="P29" s="20">
        <f>'TR TUSD'!$P$29*'TR TUSD'!$P$60</f>
        <v>0</v>
      </c>
      <c r="Q29" s="20">
        <f>'TR TUSD'!$Q$29*'TR TUSD'!$Q$60</f>
        <v>0</v>
      </c>
      <c r="R29" s="20">
        <f>'TR TUSD'!$R$29*'TR TUSD'!$R$60</f>
        <v>0</v>
      </c>
      <c r="S29" s="20">
        <f>'TR TUSD'!$S$29*'TR TUSD'!$S$60</f>
        <v>0</v>
      </c>
      <c r="T29" s="20">
        <f ca="1">SUM($L$29:$S$29)</f>
        <v>3.0995814557361197</v>
      </c>
      <c r="U29" s="20">
        <f>'TR TUSD'!$U$29*'TR TUSD'!$U$60</f>
        <v>0</v>
      </c>
      <c r="V29" s="20">
        <f>'TR TUSD'!$V$29*'TR TUSD'!$V$60</f>
        <v>0</v>
      </c>
      <c r="W29" s="20">
        <f>'TR TUSD'!$W$29*'TR TUSD'!$W$60</f>
        <v>0</v>
      </c>
      <c r="X29" s="20">
        <f>'TR TUSD'!$X$29*'TR TUSD'!$X$60</f>
        <v>0</v>
      </c>
      <c r="Y29" s="20">
        <f>'TR TUSD'!$Y$29*'TR TUSD'!$Y$60</f>
        <v>198.09152706344392</v>
      </c>
      <c r="Z29" s="20">
        <f>'TR TUSD'!$Z$29</f>
        <v>0</v>
      </c>
      <c r="AA29" s="20">
        <f>'TR TUSD'!$AA$29</f>
        <v>0</v>
      </c>
      <c r="AB29" s="20">
        <f>SUM($U$29:$AA$29)</f>
        <v>198.09152706344392</v>
      </c>
      <c r="AC29" s="20">
        <f>'TR TUSD'!$AC$29*'TR TUSD'!$AC$60</f>
        <v>662.64046989828671</v>
      </c>
      <c r="AD29" s="20">
        <f>SUM($AC$29:$AC$29)</f>
        <v>662.64046989828671</v>
      </c>
      <c r="AE29" s="20">
        <v>0</v>
      </c>
      <c r="AF29" s="20">
        <v>0</v>
      </c>
      <c r="AG29" s="20">
        <f>SUM($AE$29:$AF$29)</f>
        <v>0</v>
      </c>
      <c r="AH29" s="20">
        <f>'TR TUSD'!$AH$29*'TR TUSD'!$AH$60</f>
        <v>35.402179234183421</v>
      </c>
      <c r="AI29" s="20">
        <f>'TR TUSD'!$AI$29*'TR TUSD'!$AI$60</f>
        <v>0</v>
      </c>
      <c r="AJ29" s="20">
        <f ca="1">'TR TUSD'!$AJ$29*'TR TUSD'!$AJ$60</f>
        <v>3.2938079199423642</v>
      </c>
      <c r="AK29" s="20">
        <f ca="1">'TR TUSD'!$AK$29*'TR TUSD'!$AK$60</f>
        <v>0</v>
      </c>
      <c r="AL29" s="20">
        <f ca="1">SUM($AH$29:$AK$29)</f>
        <v>38.695987154125788</v>
      </c>
      <c r="AM29" s="20">
        <f ca="1">SUMIF($L$4:$AL$4,"SUBTOTAL",$L$29:$AL$29)</f>
        <v>902.5275655715925</v>
      </c>
      <c r="AP29" s="20">
        <f>IF((1 - CUSTOS!$M$27)&lt;&gt;0,1/(1 - CUSTOS!$M$27),1)</f>
        <v>1</v>
      </c>
    </row>
    <row r="30" spans="1:42" ht="11.25" customHeight="1" x14ac:dyDescent="0.25">
      <c r="A30" s="134" t="s">
        <v>43</v>
      </c>
      <c r="B30" s="134" t="s">
        <v>37</v>
      </c>
      <c r="C30" s="134" t="s">
        <v>44</v>
      </c>
      <c r="D30" s="134" t="s">
        <v>25</v>
      </c>
      <c r="E30" s="134" t="s">
        <v>25</v>
      </c>
      <c r="F30" s="134" t="s">
        <v>25</v>
      </c>
      <c r="G30" s="21" t="s">
        <v>72</v>
      </c>
      <c r="H30" s="21" t="s">
        <v>71</v>
      </c>
      <c r="I30" s="21">
        <f>'MERCADO TUSD'!$U$27</f>
        <v>0</v>
      </c>
      <c r="J30" s="17"/>
      <c r="L30" s="20">
        <f>'TR TUSD'!$L$30*'TR TUSD'!$L$60</f>
        <v>23.676382817448843</v>
      </c>
      <c r="M30" s="20">
        <f>'TR TUSD'!$M$30*'TR TUSD'!$M$60</f>
        <v>3.0995814557361197</v>
      </c>
      <c r="N30" s="20">
        <f ca="1">'TR TUSD'!$N$30*'TR TUSD'!$N$60</f>
        <v>0</v>
      </c>
      <c r="O30" s="20">
        <f>'TR TUSD'!$O$30*'TR TUSD'!$O$60</f>
        <v>0</v>
      </c>
      <c r="P30" s="20">
        <f>'TR TUSD'!$P$30*'TR TUSD'!$P$60</f>
        <v>0</v>
      </c>
      <c r="Q30" s="20">
        <f>'TR TUSD'!$Q$30*'TR TUSD'!$Q$60</f>
        <v>88.361225866413548</v>
      </c>
      <c r="R30" s="20">
        <f>'TR TUSD'!$R$30*'TR TUSD'!$R$60</f>
        <v>14.657753077660844</v>
      </c>
      <c r="S30" s="20">
        <f>'TR TUSD'!$S$30*'TR TUSD'!$S$60</f>
        <v>0</v>
      </c>
      <c r="T30" s="20">
        <f ca="1">SUM($L$30:$S$30)</f>
        <v>129.79494321725937</v>
      </c>
      <c r="U30" s="20">
        <f>'TR TUSD'!$U$30*'TR TUSD'!$U$60</f>
        <v>0</v>
      </c>
      <c r="V30" s="20">
        <f>'TR TUSD'!$V$30*'TR TUSD'!$V$60</f>
        <v>0</v>
      </c>
      <c r="W30" s="20">
        <f>'TR TUSD'!$W$30*'TR TUSD'!$W$60</f>
        <v>0</v>
      </c>
      <c r="X30" s="20">
        <f>'TR TUSD'!$X$30*'TR TUSD'!$X$60</f>
        <v>0</v>
      </c>
      <c r="Y30" s="20">
        <f>'TR TUSD'!$Y$30*'TR TUSD'!$Y$60</f>
        <v>515.03842034031254</v>
      </c>
      <c r="Z30" s="20">
        <f>'TR TUSD'!$Z$30</f>
        <v>0</v>
      </c>
      <c r="AA30" s="20">
        <f>'TR TUSD'!$AA$30</f>
        <v>0</v>
      </c>
      <c r="AB30" s="20">
        <f>SUM($U$30:$AA$30)</f>
        <v>515.03842034031254</v>
      </c>
      <c r="AC30" s="20">
        <f>'TR TUSD'!$AC$30*'TR TUSD'!$AC$60</f>
        <v>1722.8646901314883</v>
      </c>
      <c r="AD30" s="20">
        <f>SUM($AC$30:$AC$30)</f>
        <v>1722.8646901314883</v>
      </c>
      <c r="AE30" s="20">
        <v>0</v>
      </c>
      <c r="AF30" s="20">
        <v>0</v>
      </c>
      <c r="AG30" s="20">
        <f>SUM($AE$30:$AF$30)</f>
        <v>0</v>
      </c>
      <c r="AH30" s="20">
        <f>'TR TUSD'!$AH$30*'TR TUSD'!$AH$60</f>
        <v>35.402179234183421</v>
      </c>
      <c r="AI30" s="20">
        <f>'TR TUSD'!$AI$30*'TR TUSD'!$AI$60</f>
        <v>0</v>
      </c>
      <c r="AJ30" s="20">
        <f ca="1">'TR TUSD'!$AJ$30*'TR TUSD'!$AJ$60</f>
        <v>3.2938079199423642</v>
      </c>
      <c r="AK30" s="20">
        <f ca="1">'TR TUSD'!$AK$30*'TR TUSD'!$AK$60</f>
        <v>0</v>
      </c>
      <c r="AL30" s="20">
        <f ca="1">SUM($AH$30:$AK$30)</f>
        <v>38.695987154125788</v>
      </c>
      <c r="AM30" s="20">
        <f ca="1">SUMIF($L$4:$AL$4,"SUBTOTAL",$L$30:$AL$30)</f>
        <v>2406.3940408431858</v>
      </c>
      <c r="AP30" s="20">
        <f>IF((1 - CUSTOS!$M$28)&lt;&gt;0,1/(1 - CUSTOS!$M$28),1)</f>
        <v>1</v>
      </c>
    </row>
    <row r="31" spans="1:42" ht="11.25" customHeight="1" x14ac:dyDescent="0.25">
      <c r="A31" s="134"/>
      <c r="B31" s="134"/>
      <c r="C31" s="134"/>
      <c r="D31" s="134"/>
      <c r="E31" s="134"/>
      <c r="F31" s="134"/>
      <c r="G31" s="21" t="s">
        <v>84</v>
      </c>
      <c r="H31" s="21" t="s">
        <v>71</v>
      </c>
      <c r="I31" s="21">
        <f>'MERCADO TUSD'!$U$28</f>
        <v>0</v>
      </c>
      <c r="J31" s="17"/>
      <c r="L31" s="20">
        <f>'TR TUSD'!$L$31*'TR TUSD'!$L$60</f>
        <v>23.676382817448843</v>
      </c>
      <c r="M31" s="20">
        <f>'TR TUSD'!$M$31*'TR TUSD'!$M$60</f>
        <v>3.0995814557361197</v>
      </c>
      <c r="N31" s="20">
        <f ca="1">'TR TUSD'!$N$31*'TR TUSD'!$N$60</f>
        <v>0</v>
      </c>
      <c r="O31" s="20">
        <f>'TR TUSD'!$O$31*'TR TUSD'!$O$60</f>
        <v>0</v>
      </c>
      <c r="P31" s="20">
        <f>'TR TUSD'!$P$31*'TR TUSD'!$P$60</f>
        <v>0</v>
      </c>
      <c r="Q31" s="20">
        <f>'TR TUSD'!$Q$31*'TR TUSD'!$Q$60</f>
        <v>88.361225866413548</v>
      </c>
      <c r="R31" s="20">
        <f>'TR TUSD'!$R$31*'TR TUSD'!$R$60</f>
        <v>14.657753077660844</v>
      </c>
      <c r="S31" s="20">
        <f>'TR TUSD'!$S$31*'TR TUSD'!$S$60</f>
        <v>0</v>
      </c>
      <c r="T31" s="20">
        <f ca="1">SUM($L$31:$S$31)</f>
        <v>129.79494321725937</v>
      </c>
      <c r="U31" s="20">
        <f>'TR TUSD'!$U$31*'TR TUSD'!$U$60</f>
        <v>0</v>
      </c>
      <c r="V31" s="20">
        <f>'TR TUSD'!$V$31*'TR TUSD'!$V$60</f>
        <v>0</v>
      </c>
      <c r="W31" s="20">
        <f>'TR TUSD'!$W$31*'TR TUSD'!$W$60</f>
        <v>0</v>
      </c>
      <c r="X31" s="20">
        <f>'TR TUSD'!$X$31*'TR TUSD'!$X$60</f>
        <v>0</v>
      </c>
      <c r="Y31" s="20">
        <f>'TR TUSD'!$Y$31*'TR TUSD'!$Y$60</f>
        <v>309.02282721650835</v>
      </c>
      <c r="Z31" s="20">
        <f>'TR TUSD'!$Z$31</f>
        <v>0</v>
      </c>
      <c r="AA31" s="20">
        <f>'TR TUSD'!$AA$31</f>
        <v>0</v>
      </c>
      <c r="AB31" s="20">
        <f>SUM($U$31:$AA$31)</f>
        <v>309.02282721650835</v>
      </c>
      <c r="AC31" s="20">
        <f>'TR TUSD'!$AC$31*'TR TUSD'!$AC$60</f>
        <v>1033.71897356011</v>
      </c>
      <c r="AD31" s="20">
        <f>SUM($AC$31:$AC$31)</f>
        <v>1033.71897356011</v>
      </c>
      <c r="AE31" s="20">
        <v>0</v>
      </c>
      <c r="AF31" s="20">
        <v>0</v>
      </c>
      <c r="AG31" s="20">
        <f>SUM($AE$31:$AF$31)</f>
        <v>0</v>
      </c>
      <c r="AH31" s="20">
        <f>'TR TUSD'!$AH$31*'TR TUSD'!$AH$60</f>
        <v>35.402179234183421</v>
      </c>
      <c r="AI31" s="20">
        <f>'TR TUSD'!$AI$31*'TR TUSD'!$AI$60</f>
        <v>0</v>
      </c>
      <c r="AJ31" s="20">
        <f ca="1">'TR TUSD'!$AJ$31*'TR TUSD'!$AJ$60</f>
        <v>3.2938079199423642</v>
      </c>
      <c r="AK31" s="20">
        <f ca="1">'TR TUSD'!$AK$31*'TR TUSD'!$AK$60</f>
        <v>0</v>
      </c>
      <c r="AL31" s="20">
        <f ca="1">SUM($AH$31:$AK$31)</f>
        <v>38.695987154125788</v>
      </c>
      <c r="AM31" s="20">
        <f ca="1">SUMIF($L$4:$AL$4,"SUBTOTAL",$L$31:$AL$31)</f>
        <v>1511.2327311480035</v>
      </c>
      <c r="AP31" s="20">
        <f>IF((1 - CUSTOS!$M$28)&lt;&gt;0,1/(1 - CUSTOS!$M$28),1)</f>
        <v>1</v>
      </c>
    </row>
    <row r="32" spans="1:42" ht="11.25" customHeight="1" x14ac:dyDescent="0.25">
      <c r="A32" s="134"/>
      <c r="B32" s="134"/>
      <c r="C32" s="134"/>
      <c r="D32" s="134"/>
      <c r="E32" s="134"/>
      <c r="F32" s="134"/>
      <c r="G32" s="21" t="s">
        <v>73</v>
      </c>
      <c r="H32" s="21" t="s">
        <v>71</v>
      </c>
      <c r="I32" s="21">
        <f>'MERCADO TUSD'!$U$29</f>
        <v>0</v>
      </c>
      <c r="J32" s="17"/>
      <c r="L32" s="20">
        <f>'TR TUSD'!$L$32*'TR TUSD'!$L$60</f>
        <v>23.676382817448843</v>
      </c>
      <c r="M32" s="20">
        <f>'TR TUSD'!$M$32*'TR TUSD'!$M$60</f>
        <v>3.0995814557361197</v>
      </c>
      <c r="N32" s="20">
        <f ca="1">'TR TUSD'!$N$32*'TR TUSD'!$N$60</f>
        <v>0</v>
      </c>
      <c r="O32" s="20">
        <f>'TR TUSD'!$O$32*'TR TUSD'!$O$60</f>
        <v>0</v>
      </c>
      <c r="P32" s="20">
        <f>'TR TUSD'!$P$32*'TR TUSD'!$P$60</f>
        <v>0</v>
      </c>
      <c r="Q32" s="20">
        <f>'TR TUSD'!$Q$32*'TR TUSD'!$Q$60</f>
        <v>88.361225866413548</v>
      </c>
      <c r="R32" s="20">
        <f>'TR TUSD'!$R$32*'TR TUSD'!$R$60</f>
        <v>14.657753077660844</v>
      </c>
      <c r="S32" s="20">
        <f>'TR TUSD'!$S$32*'TR TUSD'!$S$60</f>
        <v>0</v>
      </c>
      <c r="T32" s="20">
        <f ca="1">SUM($L$32:$S$32)</f>
        <v>129.79494321725937</v>
      </c>
      <c r="U32" s="20">
        <f>'TR TUSD'!$U$32*'TR TUSD'!$U$60</f>
        <v>0</v>
      </c>
      <c r="V32" s="20">
        <f>'TR TUSD'!$V$32*'TR TUSD'!$V$60</f>
        <v>0</v>
      </c>
      <c r="W32" s="20">
        <f>'TR TUSD'!$W$32*'TR TUSD'!$W$60</f>
        <v>0</v>
      </c>
      <c r="X32" s="20">
        <f>'TR TUSD'!$X$32*'TR TUSD'!$X$60</f>
        <v>0</v>
      </c>
      <c r="Y32" s="20">
        <f>'TR TUSD'!$Y$32*'TR TUSD'!$Y$60</f>
        <v>103.00723409270417</v>
      </c>
      <c r="Z32" s="20">
        <f>'TR TUSD'!$Z$32</f>
        <v>0</v>
      </c>
      <c r="AA32" s="20">
        <f>'TR TUSD'!$AA$32</f>
        <v>0</v>
      </c>
      <c r="AB32" s="20">
        <f>SUM($U$32:$AA$32)</f>
        <v>103.00723409270417</v>
      </c>
      <c r="AC32" s="20">
        <f>'TR TUSD'!$AC$32*'TR TUSD'!$AC$60</f>
        <v>344.5729911867034</v>
      </c>
      <c r="AD32" s="20">
        <f>SUM($AC$32:$AC$32)</f>
        <v>344.5729911867034</v>
      </c>
      <c r="AE32" s="20">
        <v>0</v>
      </c>
      <c r="AF32" s="20">
        <v>0</v>
      </c>
      <c r="AG32" s="20">
        <f>SUM($AE$32:$AF$32)</f>
        <v>0</v>
      </c>
      <c r="AH32" s="20">
        <f>'TR TUSD'!$AH$32*'TR TUSD'!$AH$60</f>
        <v>35.402179234183421</v>
      </c>
      <c r="AI32" s="20">
        <f>'TR TUSD'!$AI$32*'TR TUSD'!$AI$60</f>
        <v>0</v>
      </c>
      <c r="AJ32" s="20">
        <f ca="1">'TR TUSD'!$AJ$32*'TR TUSD'!$AJ$60</f>
        <v>3.2938079199423642</v>
      </c>
      <c r="AK32" s="20">
        <f ca="1">'TR TUSD'!$AK$32*'TR TUSD'!$AK$60</f>
        <v>0</v>
      </c>
      <c r="AL32" s="20">
        <f ca="1">SUM($AH$32:$AK$32)</f>
        <v>38.695987154125788</v>
      </c>
      <c r="AM32" s="20">
        <f ca="1">SUMIF($L$4:$AL$4,"SUBTOTAL",$L$32:$AL$32)</f>
        <v>616.07115565079266</v>
      </c>
      <c r="AP32" s="20">
        <f>IF((1 - CUSTOS!$M$28)&lt;&gt;0,1/(1 - CUSTOS!$M$28),1)</f>
        <v>1</v>
      </c>
    </row>
    <row r="33" spans="1:42" ht="11.25" customHeight="1" x14ac:dyDescent="0.25">
      <c r="A33" s="134"/>
      <c r="B33" s="22" t="s">
        <v>23</v>
      </c>
      <c r="C33" s="22" t="s">
        <v>44</v>
      </c>
      <c r="D33" s="22" t="s">
        <v>25</v>
      </c>
      <c r="E33" s="22" t="s">
        <v>25</v>
      </c>
      <c r="F33" s="22" t="s">
        <v>25</v>
      </c>
      <c r="G33" s="21" t="s">
        <v>75</v>
      </c>
      <c r="H33" s="21" t="s">
        <v>71</v>
      </c>
      <c r="I33" s="21">
        <f>'MERCADO TUSD'!$U$30</f>
        <v>3313.4050000000002</v>
      </c>
      <c r="J33" s="17"/>
      <c r="L33" s="20">
        <f>'TR TUSD'!$L$33*'TR TUSD'!$L$60</f>
        <v>23.676382817448843</v>
      </c>
      <c r="M33" s="20">
        <f>'TR TUSD'!$M$33*'TR TUSD'!$M$60</f>
        <v>3.0995814557361197</v>
      </c>
      <c r="N33" s="20">
        <f ca="1">'TR TUSD'!$N$33*'TR TUSD'!$N$60</f>
        <v>0</v>
      </c>
      <c r="O33" s="20">
        <f>'TR TUSD'!$O$33*'TR TUSD'!$O$60</f>
        <v>0</v>
      </c>
      <c r="P33" s="20">
        <f>'TR TUSD'!$P$33*'TR TUSD'!$P$60</f>
        <v>0</v>
      </c>
      <c r="Q33" s="20">
        <f>'TR TUSD'!$Q$33*'TR TUSD'!$Q$60</f>
        <v>88.361225866413548</v>
      </c>
      <c r="R33" s="20">
        <f>'TR TUSD'!$R$33*'TR TUSD'!$R$60</f>
        <v>14.657753077660844</v>
      </c>
      <c r="S33" s="20">
        <f>'TR TUSD'!$S$33*'TR TUSD'!$S$60</f>
        <v>0</v>
      </c>
      <c r="T33" s="20">
        <f ca="1">SUM($L$33:$S$33)</f>
        <v>129.79494321725937</v>
      </c>
      <c r="U33" s="20">
        <f>'TR TUSD'!$U$33*'TR TUSD'!$U$60</f>
        <v>0</v>
      </c>
      <c r="V33" s="20">
        <f>'TR TUSD'!$V$33*'TR TUSD'!$V$60</f>
        <v>0</v>
      </c>
      <c r="W33" s="20">
        <f>'TR TUSD'!$W$33*'TR TUSD'!$W$60</f>
        <v>0</v>
      </c>
      <c r="X33" s="20">
        <f>'TR TUSD'!$X$33*'TR TUSD'!$X$60</f>
        <v>0</v>
      </c>
      <c r="Y33" s="20">
        <f>'TR TUSD'!$Y$33*'TR TUSD'!$Y$60</f>
        <v>198.09152706344392</v>
      </c>
      <c r="Z33" s="20">
        <f>'TR TUSD'!$Z$33</f>
        <v>0</v>
      </c>
      <c r="AA33" s="20">
        <f>'TR TUSD'!$AA$33</f>
        <v>0</v>
      </c>
      <c r="AB33" s="20">
        <f>SUM($U$33:$AA$33)</f>
        <v>198.09152706344392</v>
      </c>
      <c r="AC33" s="20">
        <f>'TR TUSD'!$AC$33*'TR TUSD'!$AC$60</f>
        <v>662.64046989828671</v>
      </c>
      <c r="AD33" s="20">
        <f>SUM($AC$33:$AC$33)</f>
        <v>662.64046989828671</v>
      </c>
      <c r="AE33" s="20">
        <v>0</v>
      </c>
      <c r="AF33" s="20">
        <v>0</v>
      </c>
      <c r="AG33" s="20">
        <f>SUM($AE$33:$AF$33)</f>
        <v>0</v>
      </c>
      <c r="AH33" s="20">
        <f>'TR TUSD'!$AH$33*'TR TUSD'!$AH$60</f>
        <v>35.402179234183421</v>
      </c>
      <c r="AI33" s="20">
        <f>'TR TUSD'!$AI$33*'TR TUSD'!$AI$60</f>
        <v>0</v>
      </c>
      <c r="AJ33" s="20">
        <f ca="1">'TR TUSD'!$AJ$33*'TR TUSD'!$AJ$60</f>
        <v>3.2938079199423642</v>
      </c>
      <c r="AK33" s="20">
        <f ca="1">'TR TUSD'!$AK$33*'TR TUSD'!$AK$60</f>
        <v>0</v>
      </c>
      <c r="AL33" s="20">
        <f ca="1">SUM($AH$33:$AK$33)</f>
        <v>38.695987154125788</v>
      </c>
      <c r="AM33" s="20">
        <f ca="1">SUMIF($L$4:$AL$4,"SUBTOTAL",$L$33:$AL$33)</f>
        <v>1029.2229273331159</v>
      </c>
      <c r="AP33" s="20">
        <f>IF((1 - CUSTOS!$M$28)&lt;&gt;0,1/(1 - CUSTOS!$M$28),1)</f>
        <v>1</v>
      </c>
    </row>
    <row r="34" spans="1:42" ht="11.25" customHeight="1" x14ac:dyDescent="0.25">
      <c r="A34" s="134"/>
      <c r="B34" s="134" t="s">
        <v>37</v>
      </c>
      <c r="C34" s="134" t="s">
        <v>44</v>
      </c>
      <c r="D34" s="134" t="s">
        <v>87</v>
      </c>
      <c r="E34" s="134" t="s">
        <v>25</v>
      </c>
      <c r="F34" s="134" t="s">
        <v>25</v>
      </c>
      <c r="G34" s="21" t="s">
        <v>72</v>
      </c>
      <c r="H34" s="21" t="s">
        <v>71</v>
      </c>
      <c r="I34" s="21">
        <f>'MERCADO TUSD'!$U$31</f>
        <v>0</v>
      </c>
      <c r="J34" s="17"/>
      <c r="L34" s="20">
        <f>'TR TUSD'!$L$34*'TR TUSD'!$L$60</f>
        <v>23.676382817448843</v>
      </c>
      <c r="M34" s="20">
        <f>'TR TUSD'!$M$34*'TR TUSD'!$M$60</f>
        <v>3.0995814557361197</v>
      </c>
      <c r="N34" s="20">
        <f ca="1">'TR TUSD'!$N$34*'TR TUSD'!$N$60</f>
        <v>0</v>
      </c>
      <c r="O34" s="20">
        <f>'TR TUSD'!$O$34*'TR TUSD'!$O$60</f>
        <v>0</v>
      </c>
      <c r="P34" s="20">
        <f>'TR TUSD'!$P$34*'TR TUSD'!$P$60</f>
        <v>0</v>
      </c>
      <c r="Q34" s="20">
        <f>'TR TUSD'!$Q$34*'TR TUSD'!$Q$60</f>
        <v>88.361225866413548</v>
      </c>
      <c r="R34" s="20">
        <f>'TR TUSD'!$R$34*'TR TUSD'!$R$60</f>
        <v>14.657753077660844</v>
      </c>
      <c r="S34" s="20">
        <f>'TR TUSD'!$S$34*'TR TUSD'!$S$60</f>
        <v>0</v>
      </c>
      <c r="T34" s="20">
        <f ca="1">SUM($L$34:$S$34)</f>
        <v>129.79494321725937</v>
      </c>
      <c r="U34" s="20">
        <f>'TR TUSD'!$U$34*'TR TUSD'!$U$60</f>
        <v>0</v>
      </c>
      <c r="V34" s="20">
        <f>'TR TUSD'!$V$34*'TR TUSD'!$V$60</f>
        <v>0</v>
      </c>
      <c r="W34" s="20">
        <f>'TR TUSD'!$W$34*'TR TUSD'!$W$60</f>
        <v>0</v>
      </c>
      <c r="X34" s="20">
        <f>'TR TUSD'!$X$34*'TR TUSD'!$X$60</f>
        <v>0</v>
      </c>
      <c r="Y34" s="20">
        <f>'TR TUSD'!$Y$34*'TR TUSD'!$Y$60</f>
        <v>515.03842034031254</v>
      </c>
      <c r="Z34" s="20">
        <f>'TR TUSD'!$Z$34</f>
        <v>0</v>
      </c>
      <c r="AA34" s="20">
        <f>'TR TUSD'!$AA$34</f>
        <v>0</v>
      </c>
      <c r="AB34" s="20">
        <f>SUM($U$34:$AA$34)</f>
        <v>515.03842034031254</v>
      </c>
      <c r="AC34" s="20">
        <f>'TR TUSD'!$AC$34*'TR TUSD'!$AC$60</f>
        <v>1722.8646901314883</v>
      </c>
      <c r="AD34" s="20">
        <f>SUM($AC$34:$AC$34)</f>
        <v>1722.8646901314883</v>
      </c>
      <c r="AE34" s="20">
        <v>0</v>
      </c>
      <c r="AF34" s="20">
        <v>0</v>
      </c>
      <c r="AG34" s="20">
        <f>SUM($AE$34:$AF$34)</f>
        <v>0</v>
      </c>
      <c r="AH34" s="20">
        <f>'TR TUSD'!$AH$34*'TR TUSD'!$AH$60</f>
        <v>35.402179234183421</v>
      </c>
      <c r="AI34" s="20">
        <f>'TR TUSD'!$AI$34*'TR TUSD'!$AI$60</f>
        <v>0</v>
      </c>
      <c r="AJ34" s="20">
        <f ca="1">'TR TUSD'!$AJ$34*'TR TUSD'!$AJ$60</f>
        <v>3.2938079199423642</v>
      </c>
      <c r="AK34" s="20">
        <f ca="1">'TR TUSD'!$AK$34*'TR TUSD'!$AK$60</f>
        <v>0</v>
      </c>
      <c r="AL34" s="20">
        <f ca="1">SUM($AH$34:$AK$34)</f>
        <v>38.695987154125788</v>
      </c>
      <c r="AM34" s="20">
        <f ca="1">SUMIF($L$4:$AL$4,"SUBTOTAL",$L$34:$AL$34)</f>
        <v>2406.3940408431858</v>
      </c>
      <c r="AP34" s="20">
        <f>IF((1 - CUSTOS!$M$29)&lt;&gt;0,1/(1 - CUSTOS!$M$29),1)</f>
        <v>1</v>
      </c>
    </row>
    <row r="35" spans="1:42" ht="11.25" customHeight="1" x14ac:dyDescent="0.25">
      <c r="A35" s="134"/>
      <c r="B35" s="134"/>
      <c r="C35" s="134"/>
      <c r="D35" s="134"/>
      <c r="E35" s="134"/>
      <c r="F35" s="134"/>
      <c r="G35" s="21" t="s">
        <v>84</v>
      </c>
      <c r="H35" s="21" t="s">
        <v>71</v>
      </c>
      <c r="I35" s="21">
        <f>'MERCADO TUSD'!$U$32</f>
        <v>0</v>
      </c>
      <c r="J35" s="17"/>
      <c r="L35" s="20">
        <f>'TR TUSD'!$L$35*'TR TUSD'!$L$60</f>
        <v>23.676382817448843</v>
      </c>
      <c r="M35" s="20">
        <f>'TR TUSD'!$M$35*'TR TUSD'!$M$60</f>
        <v>3.0995814557361197</v>
      </c>
      <c r="N35" s="20">
        <f ca="1">'TR TUSD'!$N$35*'TR TUSD'!$N$60</f>
        <v>0</v>
      </c>
      <c r="O35" s="20">
        <f>'TR TUSD'!$O$35*'TR TUSD'!$O$60</f>
        <v>0</v>
      </c>
      <c r="P35" s="20">
        <f>'TR TUSD'!$P$35*'TR TUSD'!$P$60</f>
        <v>0</v>
      </c>
      <c r="Q35" s="20">
        <f>'TR TUSD'!$Q$35*'TR TUSD'!$Q$60</f>
        <v>88.361225866413548</v>
      </c>
      <c r="R35" s="20">
        <f>'TR TUSD'!$R$35*'TR TUSD'!$R$60</f>
        <v>14.657753077660844</v>
      </c>
      <c r="S35" s="20">
        <f>'TR TUSD'!$S$35*'TR TUSD'!$S$60</f>
        <v>0</v>
      </c>
      <c r="T35" s="20">
        <f ca="1">SUM($L$35:$S$35)</f>
        <v>129.79494321725937</v>
      </c>
      <c r="U35" s="20">
        <f>'TR TUSD'!$U$35*'TR TUSD'!$U$60</f>
        <v>0</v>
      </c>
      <c r="V35" s="20">
        <f>'TR TUSD'!$V$35*'TR TUSD'!$V$60</f>
        <v>0</v>
      </c>
      <c r="W35" s="20">
        <f>'TR TUSD'!$W$35*'TR TUSD'!$W$60</f>
        <v>0</v>
      </c>
      <c r="X35" s="20">
        <f>'TR TUSD'!$X$35*'TR TUSD'!$X$60</f>
        <v>0</v>
      </c>
      <c r="Y35" s="20">
        <f>'TR TUSD'!$Y$35*'TR TUSD'!$Y$60</f>
        <v>309.02282721650835</v>
      </c>
      <c r="Z35" s="20">
        <f>'TR TUSD'!$Z$35</f>
        <v>0</v>
      </c>
      <c r="AA35" s="20">
        <f>'TR TUSD'!$AA$35</f>
        <v>0</v>
      </c>
      <c r="AB35" s="20">
        <f>SUM($U$35:$AA$35)</f>
        <v>309.02282721650835</v>
      </c>
      <c r="AC35" s="20">
        <f>'TR TUSD'!$AC$35*'TR TUSD'!$AC$60</f>
        <v>1033.71897356011</v>
      </c>
      <c r="AD35" s="20">
        <f>SUM($AC$35:$AC$35)</f>
        <v>1033.71897356011</v>
      </c>
      <c r="AE35" s="20">
        <v>0</v>
      </c>
      <c r="AF35" s="20">
        <v>0</v>
      </c>
      <c r="AG35" s="20">
        <f>SUM($AE$35:$AF$35)</f>
        <v>0</v>
      </c>
      <c r="AH35" s="20">
        <f>'TR TUSD'!$AH$35*'TR TUSD'!$AH$60</f>
        <v>35.402179234183421</v>
      </c>
      <c r="AI35" s="20">
        <f>'TR TUSD'!$AI$35*'TR TUSD'!$AI$60</f>
        <v>0</v>
      </c>
      <c r="AJ35" s="20">
        <f ca="1">'TR TUSD'!$AJ$35*'TR TUSD'!$AJ$60</f>
        <v>3.2938079199423642</v>
      </c>
      <c r="AK35" s="20">
        <f ca="1">'TR TUSD'!$AK$35*'TR TUSD'!$AK$60</f>
        <v>0</v>
      </c>
      <c r="AL35" s="20">
        <f ca="1">SUM($AH$35:$AK$35)</f>
        <v>38.695987154125788</v>
      </c>
      <c r="AM35" s="20">
        <f ca="1">SUMIF($L$4:$AL$4,"SUBTOTAL",$L$35:$AL$35)</f>
        <v>1511.2327311480035</v>
      </c>
      <c r="AP35" s="20">
        <f>IF((1 - CUSTOS!$M$29)&lt;&gt;0,1/(1 - CUSTOS!$M$29),1)</f>
        <v>1</v>
      </c>
    </row>
    <row r="36" spans="1:42" ht="11.25" customHeight="1" x14ac:dyDescent="0.25">
      <c r="A36" s="134"/>
      <c r="B36" s="134"/>
      <c r="C36" s="134"/>
      <c r="D36" s="134"/>
      <c r="E36" s="134"/>
      <c r="F36" s="134"/>
      <c r="G36" s="21" t="s">
        <v>73</v>
      </c>
      <c r="H36" s="21" t="s">
        <v>71</v>
      </c>
      <c r="I36" s="21">
        <f>'MERCADO TUSD'!$U$33</f>
        <v>0</v>
      </c>
      <c r="J36" s="17"/>
      <c r="L36" s="20">
        <f>'TR TUSD'!$L$36*'TR TUSD'!$L$60</f>
        <v>23.676382817448843</v>
      </c>
      <c r="M36" s="20">
        <f>'TR TUSD'!$M$36*'TR TUSD'!$M$60</f>
        <v>3.0995814557361197</v>
      </c>
      <c r="N36" s="20">
        <f ca="1">'TR TUSD'!$N$36*'TR TUSD'!$N$60</f>
        <v>0</v>
      </c>
      <c r="O36" s="20">
        <f>'TR TUSD'!$O$36*'TR TUSD'!$O$60</f>
        <v>0</v>
      </c>
      <c r="P36" s="20">
        <f>'TR TUSD'!$P$36*'TR TUSD'!$P$60</f>
        <v>0</v>
      </c>
      <c r="Q36" s="20">
        <f>'TR TUSD'!$Q$36*'TR TUSD'!$Q$60</f>
        <v>88.361225866413548</v>
      </c>
      <c r="R36" s="20">
        <f>'TR TUSD'!$R$36*'TR TUSD'!$R$60</f>
        <v>14.657753077660844</v>
      </c>
      <c r="S36" s="20">
        <f>'TR TUSD'!$S$36*'TR TUSD'!$S$60</f>
        <v>0</v>
      </c>
      <c r="T36" s="20">
        <f ca="1">SUM($L$36:$S$36)</f>
        <v>129.79494321725937</v>
      </c>
      <c r="U36" s="20">
        <f>'TR TUSD'!$U$36*'TR TUSD'!$U$60</f>
        <v>0</v>
      </c>
      <c r="V36" s="20">
        <f>'TR TUSD'!$V$36*'TR TUSD'!$V$60</f>
        <v>0</v>
      </c>
      <c r="W36" s="20">
        <f>'TR TUSD'!$W$36*'TR TUSD'!$W$60</f>
        <v>0</v>
      </c>
      <c r="X36" s="20">
        <f>'TR TUSD'!$X$36*'TR TUSD'!$X$60</f>
        <v>0</v>
      </c>
      <c r="Y36" s="20">
        <f>'TR TUSD'!$Y$36*'TR TUSD'!$Y$60</f>
        <v>103.00723409270417</v>
      </c>
      <c r="Z36" s="20">
        <f>'TR TUSD'!$Z$36</f>
        <v>0</v>
      </c>
      <c r="AA36" s="20">
        <f>'TR TUSD'!$AA$36</f>
        <v>0</v>
      </c>
      <c r="AB36" s="20">
        <f>SUM($U$36:$AA$36)</f>
        <v>103.00723409270417</v>
      </c>
      <c r="AC36" s="20">
        <f>'TR TUSD'!$AC$36*'TR TUSD'!$AC$60</f>
        <v>344.5729911867034</v>
      </c>
      <c r="AD36" s="20">
        <f>SUM($AC$36:$AC$36)</f>
        <v>344.5729911867034</v>
      </c>
      <c r="AE36" s="20">
        <v>0</v>
      </c>
      <c r="AF36" s="20">
        <v>0</v>
      </c>
      <c r="AG36" s="20">
        <f>SUM($AE$36:$AF$36)</f>
        <v>0</v>
      </c>
      <c r="AH36" s="20">
        <f>'TR TUSD'!$AH$36*'TR TUSD'!$AH$60</f>
        <v>35.402179234183421</v>
      </c>
      <c r="AI36" s="20">
        <f>'TR TUSD'!$AI$36*'TR TUSD'!$AI$60</f>
        <v>0</v>
      </c>
      <c r="AJ36" s="20">
        <f ca="1">'TR TUSD'!$AJ$36*'TR TUSD'!$AJ$60</f>
        <v>3.2938079199423642</v>
      </c>
      <c r="AK36" s="20">
        <f ca="1">'TR TUSD'!$AK$36*'TR TUSD'!$AK$60</f>
        <v>0</v>
      </c>
      <c r="AL36" s="20">
        <f ca="1">SUM($AH$36:$AK$36)</f>
        <v>38.695987154125788</v>
      </c>
      <c r="AM36" s="20">
        <f ca="1">SUMIF($L$4:$AL$4,"SUBTOTAL",$L$36:$AL$36)</f>
        <v>616.07115565079266</v>
      </c>
      <c r="AP36" s="20">
        <f>IF((1 - CUSTOS!$M$29)&lt;&gt;0,1/(1 - CUSTOS!$M$29),1)</f>
        <v>1</v>
      </c>
    </row>
    <row r="37" spans="1:42" ht="11.25" customHeight="1" x14ac:dyDescent="0.25">
      <c r="A37" s="134"/>
      <c r="B37" s="22" t="s">
        <v>23</v>
      </c>
      <c r="C37" s="22" t="s">
        <v>44</v>
      </c>
      <c r="D37" s="22" t="s">
        <v>87</v>
      </c>
      <c r="E37" s="22" t="s">
        <v>25</v>
      </c>
      <c r="F37" s="22" t="s">
        <v>25</v>
      </c>
      <c r="G37" s="21" t="s">
        <v>75</v>
      </c>
      <c r="H37" s="21" t="s">
        <v>71</v>
      </c>
      <c r="I37" s="21">
        <f>'MERCADO TUSD'!$U$34</f>
        <v>0</v>
      </c>
      <c r="J37" s="17"/>
      <c r="L37" s="20">
        <f>'TR TUSD'!$L$37*'TR TUSD'!$L$60</f>
        <v>23.676382817448843</v>
      </c>
      <c r="M37" s="20">
        <f>'TR TUSD'!$M$37*'TR TUSD'!$M$60</f>
        <v>3.0995814557361197</v>
      </c>
      <c r="N37" s="20">
        <f ca="1">'TR TUSD'!$N$37*'TR TUSD'!$N$60</f>
        <v>0</v>
      </c>
      <c r="O37" s="20">
        <f>'TR TUSD'!$O$37*'TR TUSD'!$O$60</f>
        <v>0</v>
      </c>
      <c r="P37" s="20">
        <f>'TR TUSD'!$P$37*'TR TUSD'!$P$60</f>
        <v>0</v>
      </c>
      <c r="Q37" s="20">
        <f>'TR TUSD'!$Q$37*'TR TUSD'!$Q$60</f>
        <v>88.361225866413548</v>
      </c>
      <c r="R37" s="20">
        <f>'TR TUSD'!$R$37*'TR TUSD'!$R$60</f>
        <v>14.657753077660844</v>
      </c>
      <c r="S37" s="20">
        <f>'TR TUSD'!$S$37*'TR TUSD'!$S$60</f>
        <v>0</v>
      </c>
      <c r="T37" s="20">
        <f ca="1">SUM($L$37:$S$37)</f>
        <v>129.79494321725937</v>
      </c>
      <c r="U37" s="20">
        <f>'TR TUSD'!$U$37*'TR TUSD'!$U$60</f>
        <v>0</v>
      </c>
      <c r="V37" s="20">
        <f>'TR TUSD'!$V$37*'TR TUSD'!$V$60</f>
        <v>0</v>
      </c>
      <c r="W37" s="20">
        <f>'TR TUSD'!$W$37*'TR TUSD'!$W$60</f>
        <v>0</v>
      </c>
      <c r="X37" s="20">
        <f>'TR TUSD'!$X$37*'TR TUSD'!$X$60</f>
        <v>0</v>
      </c>
      <c r="Y37" s="20">
        <f>'TR TUSD'!$Y$37*'TR TUSD'!$Y$60</f>
        <v>198.09152706344392</v>
      </c>
      <c r="Z37" s="20">
        <f>'TR TUSD'!$Z$37</f>
        <v>0</v>
      </c>
      <c r="AA37" s="20">
        <f>'TR TUSD'!$AA$37</f>
        <v>0</v>
      </c>
      <c r="AB37" s="20">
        <f>SUM($U$37:$AA$37)</f>
        <v>198.09152706344392</v>
      </c>
      <c r="AC37" s="20">
        <f>'TR TUSD'!$AC$37*'TR TUSD'!$AC$60</f>
        <v>662.64046989828671</v>
      </c>
      <c r="AD37" s="20">
        <f>SUM($AC$37:$AC$37)</f>
        <v>662.64046989828671</v>
      </c>
      <c r="AE37" s="20">
        <v>0</v>
      </c>
      <c r="AF37" s="20">
        <v>0</v>
      </c>
      <c r="AG37" s="20">
        <f>SUM($AE$37:$AF$37)</f>
        <v>0</v>
      </c>
      <c r="AH37" s="20">
        <f>'TR TUSD'!$AH$37*'TR TUSD'!$AH$60</f>
        <v>35.402179234183421</v>
      </c>
      <c r="AI37" s="20">
        <f>'TR TUSD'!$AI$37*'TR TUSD'!$AI$60</f>
        <v>0</v>
      </c>
      <c r="AJ37" s="20">
        <f ca="1">'TR TUSD'!$AJ$37*'TR TUSD'!$AJ$60</f>
        <v>3.2938079199423642</v>
      </c>
      <c r="AK37" s="20">
        <f ca="1">'TR TUSD'!$AK$37*'TR TUSD'!$AK$60</f>
        <v>0</v>
      </c>
      <c r="AL37" s="20">
        <f ca="1">SUM($AH$37:$AK$37)</f>
        <v>38.695987154125788</v>
      </c>
      <c r="AM37" s="20">
        <f ca="1">SUMIF($L$4:$AL$4,"SUBTOTAL",$L$37:$AL$37)</f>
        <v>1029.2229273331159</v>
      </c>
      <c r="AP37" s="20">
        <f>IF((1 - CUSTOS!$M$29)&lt;&gt;0,1/(1 - CUSTOS!$M$29),1)</f>
        <v>1</v>
      </c>
    </row>
    <row r="38" spans="1:42" ht="11.25" customHeight="1" x14ac:dyDescent="0.25">
      <c r="A38" s="134"/>
      <c r="B38" s="134" t="s">
        <v>37</v>
      </c>
      <c r="C38" s="134" t="s">
        <v>44</v>
      </c>
      <c r="D38" s="134" t="s">
        <v>88</v>
      </c>
      <c r="E38" s="134" t="s">
        <v>25</v>
      </c>
      <c r="F38" s="134" t="s">
        <v>25</v>
      </c>
      <c r="G38" s="21" t="s">
        <v>72</v>
      </c>
      <c r="H38" s="21" t="s">
        <v>71</v>
      </c>
      <c r="I38" s="21">
        <f>'MERCADO TUSD'!$U$35</f>
        <v>0</v>
      </c>
      <c r="J38" s="17"/>
      <c r="L38" s="20">
        <f>'TR TUSD'!$L$38*'TR TUSD'!$L$60</f>
        <v>23.676382817448843</v>
      </c>
      <c r="M38" s="20">
        <f>'TR TUSD'!$M$38*'TR TUSD'!$M$60</f>
        <v>3.0995814557361197</v>
      </c>
      <c r="N38" s="20">
        <f ca="1">'TR TUSD'!$N$38*'TR TUSD'!$N$60</f>
        <v>0</v>
      </c>
      <c r="O38" s="20">
        <f>'TR TUSD'!$O$38*'TR TUSD'!$O$60</f>
        <v>0</v>
      </c>
      <c r="P38" s="20">
        <f>'TR TUSD'!$P$38*'TR TUSD'!$P$60</f>
        <v>0</v>
      </c>
      <c r="Q38" s="20">
        <f>'TR TUSD'!$Q$38*'TR TUSD'!$Q$60</f>
        <v>88.361225866413548</v>
      </c>
      <c r="R38" s="20">
        <f>'TR TUSD'!$R$38*'TR TUSD'!$R$60</f>
        <v>14.657753077660844</v>
      </c>
      <c r="S38" s="20">
        <f>'TR TUSD'!$S$38*'TR TUSD'!$S$60</f>
        <v>0</v>
      </c>
      <c r="T38" s="20">
        <f ca="1">SUM($L$38:$S$38)</f>
        <v>129.79494321725937</v>
      </c>
      <c r="U38" s="20">
        <f>'TR TUSD'!$U$38*'TR TUSD'!$U$60</f>
        <v>0</v>
      </c>
      <c r="V38" s="20">
        <f>'TR TUSD'!$V$38*'TR TUSD'!$V$60</f>
        <v>0</v>
      </c>
      <c r="W38" s="20">
        <f>'TR TUSD'!$W$38*'TR TUSD'!$W$60</f>
        <v>0</v>
      </c>
      <c r="X38" s="20">
        <f>'TR TUSD'!$X$38*'TR TUSD'!$X$60</f>
        <v>0</v>
      </c>
      <c r="Y38" s="20">
        <f>'TR TUSD'!$Y$38*'TR TUSD'!$Y$60</f>
        <v>515.03842034031254</v>
      </c>
      <c r="Z38" s="20">
        <f>'TR TUSD'!$Z$38</f>
        <v>0</v>
      </c>
      <c r="AA38" s="20">
        <f>'TR TUSD'!$AA$38</f>
        <v>0</v>
      </c>
      <c r="AB38" s="20">
        <f>SUM($U$38:$AA$38)</f>
        <v>515.03842034031254</v>
      </c>
      <c r="AC38" s="20">
        <f>'TR TUSD'!$AC$38*'TR TUSD'!$AC$60</f>
        <v>1722.8646901314883</v>
      </c>
      <c r="AD38" s="20">
        <f>SUM($AC$38:$AC$38)</f>
        <v>1722.8646901314883</v>
      </c>
      <c r="AE38" s="20">
        <v>0</v>
      </c>
      <c r="AF38" s="20">
        <v>0</v>
      </c>
      <c r="AG38" s="20">
        <f>SUM($AE$38:$AF$38)</f>
        <v>0</v>
      </c>
      <c r="AH38" s="20">
        <f>'TR TUSD'!$AH$38*'TR TUSD'!$AH$60</f>
        <v>35.402179234183421</v>
      </c>
      <c r="AI38" s="20">
        <f>'TR TUSD'!$AI$38*'TR TUSD'!$AI$60</f>
        <v>0</v>
      </c>
      <c r="AJ38" s="20">
        <f ca="1">'TR TUSD'!$AJ$38*'TR TUSD'!$AJ$60</f>
        <v>3.2938079199423642</v>
      </c>
      <c r="AK38" s="20">
        <f ca="1">'TR TUSD'!$AK$38*'TR TUSD'!$AK$60</f>
        <v>0</v>
      </c>
      <c r="AL38" s="20">
        <f ca="1">SUM($AH$38:$AK$38)</f>
        <v>38.695987154125788</v>
      </c>
      <c r="AM38" s="20">
        <f ca="1">SUMIF($L$4:$AL$4,"SUBTOTAL",$L$38:$AL$38)</f>
        <v>2406.3940408431858</v>
      </c>
      <c r="AP38" s="20">
        <f>IF((1 - CUSTOS!$M$30)&lt;&gt;0,1/(1 - CUSTOS!$M$30),1)</f>
        <v>1</v>
      </c>
    </row>
    <row r="39" spans="1:42" ht="11.25" customHeight="1" x14ac:dyDescent="0.25">
      <c r="A39" s="134"/>
      <c r="B39" s="134"/>
      <c r="C39" s="134"/>
      <c r="D39" s="134"/>
      <c r="E39" s="134"/>
      <c r="F39" s="134"/>
      <c r="G39" s="21" t="s">
        <v>84</v>
      </c>
      <c r="H39" s="21" t="s">
        <v>71</v>
      </c>
      <c r="I39" s="21">
        <f>'MERCADO TUSD'!$U$36</f>
        <v>0</v>
      </c>
      <c r="J39" s="17"/>
      <c r="L39" s="20">
        <f>'TR TUSD'!$L$39*'TR TUSD'!$L$60</f>
        <v>23.676382817448843</v>
      </c>
      <c r="M39" s="20">
        <f>'TR TUSD'!$M$39*'TR TUSD'!$M$60</f>
        <v>3.0995814557361197</v>
      </c>
      <c r="N39" s="20">
        <f ca="1">'TR TUSD'!$N$39*'TR TUSD'!$N$60</f>
        <v>0</v>
      </c>
      <c r="O39" s="20">
        <f>'TR TUSD'!$O$39*'TR TUSD'!$O$60</f>
        <v>0</v>
      </c>
      <c r="P39" s="20">
        <f>'TR TUSD'!$P$39*'TR TUSD'!$P$60</f>
        <v>0</v>
      </c>
      <c r="Q39" s="20">
        <f>'TR TUSD'!$Q$39*'TR TUSD'!$Q$60</f>
        <v>88.361225866413548</v>
      </c>
      <c r="R39" s="20">
        <f>'TR TUSD'!$R$39*'TR TUSD'!$R$60</f>
        <v>14.657753077660844</v>
      </c>
      <c r="S39" s="20">
        <f>'TR TUSD'!$S$39*'TR TUSD'!$S$60</f>
        <v>0</v>
      </c>
      <c r="T39" s="20">
        <f ca="1">SUM($L$39:$S$39)</f>
        <v>129.79494321725937</v>
      </c>
      <c r="U39" s="20">
        <f>'TR TUSD'!$U$39*'TR TUSD'!$U$60</f>
        <v>0</v>
      </c>
      <c r="V39" s="20">
        <f>'TR TUSD'!$V$39*'TR TUSD'!$V$60</f>
        <v>0</v>
      </c>
      <c r="W39" s="20">
        <f>'TR TUSD'!$W$39*'TR TUSD'!$W$60</f>
        <v>0</v>
      </c>
      <c r="X39" s="20">
        <f>'TR TUSD'!$X$39*'TR TUSD'!$X$60</f>
        <v>0</v>
      </c>
      <c r="Y39" s="20">
        <f>'TR TUSD'!$Y$39*'TR TUSD'!$Y$60</f>
        <v>309.02282721650835</v>
      </c>
      <c r="Z39" s="20">
        <f>'TR TUSD'!$Z$39</f>
        <v>0</v>
      </c>
      <c r="AA39" s="20">
        <f>'TR TUSD'!$AA$39</f>
        <v>0</v>
      </c>
      <c r="AB39" s="20">
        <f>SUM($U$39:$AA$39)</f>
        <v>309.02282721650835</v>
      </c>
      <c r="AC39" s="20">
        <f>'TR TUSD'!$AC$39*'TR TUSD'!$AC$60</f>
        <v>1033.71897356011</v>
      </c>
      <c r="AD39" s="20">
        <f>SUM($AC$39:$AC$39)</f>
        <v>1033.71897356011</v>
      </c>
      <c r="AE39" s="20">
        <v>0</v>
      </c>
      <c r="AF39" s="20">
        <v>0</v>
      </c>
      <c r="AG39" s="20">
        <f>SUM($AE$39:$AF$39)</f>
        <v>0</v>
      </c>
      <c r="AH39" s="20">
        <f>'TR TUSD'!$AH$39*'TR TUSD'!$AH$60</f>
        <v>35.402179234183421</v>
      </c>
      <c r="AI39" s="20">
        <f>'TR TUSD'!$AI$39*'TR TUSD'!$AI$60</f>
        <v>0</v>
      </c>
      <c r="AJ39" s="20">
        <f ca="1">'TR TUSD'!$AJ$39*'TR TUSD'!$AJ$60</f>
        <v>3.2938079199423642</v>
      </c>
      <c r="AK39" s="20">
        <f ca="1">'TR TUSD'!$AK$39*'TR TUSD'!$AK$60</f>
        <v>0</v>
      </c>
      <c r="AL39" s="20">
        <f ca="1">SUM($AH$39:$AK$39)</f>
        <v>38.695987154125788</v>
      </c>
      <c r="AM39" s="20">
        <f ca="1">SUMIF($L$4:$AL$4,"SUBTOTAL",$L$39:$AL$39)</f>
        <v>1511.2327311480035</v>
      </c>
      <c r="AP39" s="20">
        <f>IF((1 - CUSTOS!$M$30)&lt;&gt;0,1/(1 - CUSTOS!$M$30),1)</f>
        <v>1</v>
      </c>
    </row>
    <row r="40" spans="1:42" ht="11.25" customHeight="1" x14ac:dyDescent="0.25">
      <c r="A40" s="134"/>
      <c r="B40" s="134"/>
      <c r="C40" s="134"/>
      <c r="D40" s="134"/>
      <c r="E40" s="134"/>
      <c r="F40" s="134"/>
      <c r="G40" s="21" t="s">
        <v>73</v>
      </c>
      <c r="H40" s="21" t="s">
        <v>71</v>
      </c>
      <c r="I40" s="21">
        <f>'MERCADO TUSD'!$U$37</f>
        <v>0</v>
      </c>
      <c r="J40" s="17"/>
      <c r="L40" s="20">
        <f>'TR TUSD'!$L$40*'TR TUSD'!$L$60</f>
        <v>23.676382817448843</v>
      </c>
      <c r="M40" s="20">
        <f>'TR TUSD'!$M$40*'TR TUSD'!$M$60</f>
        <v>3.0995814557361197</v>
      </c>
      <c r="N40" s="20">
        <f ca="1">'TR TUSD'!$N$40*'TR TUSD'!$N$60</f>
        <v>0</v>
      </c>
      <c r="O40" s="20">
        <f>'TR TUSD'!$O$40*'TR TUSD'!$O$60</f>
        <v>0</v>
      </c>
      <c r="P40" s="20">
        <f>'TR TUSD'!$P$40*'TR TUSD'!$P$60</f>
        <v>0</v>
      </c>
      <c r="Q40" s="20">
        <f>'TR TUSD'!$Q$40*'TR TUSD'!$Q$60</f>
        <v>88.361225866413548</v>
      </c>
      <c r="R40" s="20">
        <f>'TR TUSD'!$R$40*'TR TUSD'!$R$60</f>
        <v>14.657753077660844</v>
      </c>
      <c r="S40" s="20">
        <f>'TR TUSD'!$S$40*'TR TUSD'!$S$60</f>
        <v>0</v>
      </c>
      <c r="T40" s="20">
        <f ca="1">SUM($L$40:$S$40)</f>
        <v>129.79494321725937</v>
      </c>
      <c r="U40" s="20">
        <f>'TR TUSD'!$U$40*'TR TUSD'!$U$60</f>
        <v>0</v>
      </c>
      <c r="V40" s="20">
        <f>'TR TUSD'!$V$40*'TR TUSD'!$V$60</f>
        <v>0</v>
      </c>
      <c r="W40" s="20">
        <f>'TR TUSD'!$W$40*'TR TUSD'!$W$60</f>
        <v>0</v>
      </c>
      <c r="X40" s="20">
        <f>'TR TUSD'!$X$40*'TR TUSD'!$X$60</f>
        <v>0</v>
      </c>
      <c r="Y40" s="20">
        <f>'TR TUSD'!$Y$40*'TR TUSD'!$Y$60</f>
        <v>103.00723409270417</v>
      </c>
      <c r="Z40" s="20">
        <f>'TR TUSD'!$Z$40</f>
        <v>0</v>
      </c>
      <c r="AA40" s="20">
        <f>'TR TUSD'!$AA$40</f>
        <v>0</v>
      </c>
      <c r="AB40" s="20">
        <f>SUM($U$40:$AA$40)</f>
        <v>103.00723409270417</v>
      </c>
      <c r="AC40" s="20">
        <f>'TR TUSD'!$AC$40*'TR TUSD'!$AC$60</f>
        <v>344.5729911867034</v>
      </c>
      <c r="AD40" s="20">
        <f>SUM($AC$40:$AC$40)</f>
        <v>344.5729911867034</v>
      </c>
      <c r="AE40" s="20">
        <v>0</v>
      </c>
      <c r="AF40" s="20">
        <v>0</v>
      </c>
      <c r="AG40" s="20">
        <f>SUM($AE$40:$AF$40)</f>
        <v>0</v>
      </c>
      <c r="AH40" s="20">
        <f>'TR TUSD'!$AH$40*'TR TUSD'!$AH$60</f>
        <v>35.402179234183421</v>
      </c>
      <c r="AI40" s="20">
        <f>'TR TUSD'!$AI$40*'TR TUSD'!$AI$60</f>
        <v>0</v>
      </c>
      <c r="AJ40" s="20">
        <f ca="1">'TR TUSD'!$AJ$40*'TR TUSD'!$AJ$60</f>
        <v>3.2938079199423642</v>
      </c>
      <c r="AK40" s="20">
        <f ca="1">'TR TUSD'!$AK$40*'TR TUSD'!$AK$60</f>
        <v>0</v>
      </c>
      <c r="AL40" s="20">
        <f ca="1">SUM($AH$40:$AK$40)</f>
        <v>38.695987154125788</v>
      </c>
      <c r="AM40" s="20">
        <f ca="1">SUMIF($L$4:$AL$4,"SUBTOTAL",$L$40:$AL$40)</f>
        <v>616.07115565079266</v>
      </c>
      <c r="AP40" s="20">
        <f>IF((1 - CUSTOS!$M$30)&lt;&gt;0,1/(1 - CUSTOS!$M$30),1)</f>
        <v>1</v>
      </c>
    </row>
    <row r="41" spans="1:42" ht="11.25" customHeight="1" x14ac:dyDescent="0.25">
      <c r="A41" s="134"/>
      <c r="B41" s="22" t="s">
        <v>23</v>
      </c>
      <c r="C41" s="22" t="s">
        <v>44</v>
      </c>
      <c r="D41" s="22" t="s">
        <v>88</v>
      </c>
      <c r="E41" s="22" t="s">
        <v>25</v>
      </c>
      <c r="F41" s="22" t="s">
        <v>25</v>
      </c>
      <c r="G41" s="21" t="s">
        <v>75</v>
      </c>
      <c r="H41" s="21" t="s">
        <v>71</v>
      </c>
      <c r="I41" s="21">
        <f>'MERCADO TUSD'!$U$38</f>
        <v>0</v>
      </c>
      <c r="J41" s="17"/>
      <c r="L41" s="20">
        <f>'TR TUSD'!$L$41*'TR TUSD'!$L$60</f>
        <v>23.676382817448843</v>
      </c>
      <c r="M41" s="20">
        <f>'TR TUSD'!$M$41*'TR TUSD'!$M$60</f>
        <v>3.0995814557361197</v>
      </c>
      <c r="N41" s="20">
        <f ca="1">'TR TUSD'!$N$41*'TR TUSD'!$N$60</f>
        <v>0</v>
      </c>
      <c r="O41" s="20">
        <f>'TR TUSD'!$O$41*'TR TUSD'!$O$60</f>
        <v>0</v>
      </c>
      <c r="P41" s="20">
        <f>'TR TUSD'!$P$41*'TR TUSD'!$P$60</f>
        <v>0</v>
      </c>
      <c r="Q41" s="20">
        <f>'TR TUSD'!$Q$41*'TR TUSD'!$Q$60</f>
        <v>88.361225866413548</v>
      </c>
      <c r="R41" s="20">
        <f>'TR TUSD'!$R$41*'TR TUSD'!$R$60</f>
        <v>14.657753077660844</v>
      </c>
      <c r="S41" s="20">
        <f>'TR TUSD'!$S$41*'TR TUSD'!$S$60</f>
        <v>0</v>
      </c>
      <c r="T41" s="20">
        <f ca="1">SUM($L$41:$S$41)</f>
        <v>129.79494321725937</v>
      </c>
      <c r="U41" s="20">
        <f>'TR TUSD'!$U$41*'TR TUSD'!$U$60</f>
        <v>0</v>
      </c>
      <c r="V41" s="20">
        <f>'TR TUSD'!$V$41*'TR TUSD'!$V$60</f>
        <v>0</v>
      </c>
      <c r="W41" s="20">
        <f>'TR TUSD'!$W$41*'TR TUSD'!$W$60</f>
        <v>0</v>
      </c>
      <c r="X41" s="20">
        <f>'TR TUSD'!$X$41*'TR TUSD'!$X$60</f>
        <v>0</v>
      </c>
      <c r="Y41" s="20">
        <f>'TR TUSD'!$Y$41*'TR TUSD'!$Y$60</f>
        <v>198.09152706344392</v>
      </c>
      <c r="Z41" s="20">
        <f>'TR TUSD'!$Z$41</f>
        <v>0</v>
      </c>
      <c r="AA41" s="20">
        <f>'TR TUSD'!$AA$41</f>
        <v>0</v>
      </c>
      <c r="AB41" s="20">
        <f>SUM($U$41:$AA$41)</f>
        <v>198.09152706344392</v>
      </c>
      <c r="AC41" s="20">
        <f>'TR TUSD'!$AC$41*'TR TUSD'!$AC$60</f>
        <v>662.64046989828671</v>
      </c>
      <c r="AD41" s="20">
        <f>SUM($AC$41:$AC$41)</f>
        <v>662.64046989828671</v>
      </c>
      <c r="AE41" s="20">
        <v>0</v>
      </c>
      <c r="AF41" s="20">
        <v>0</v>
      </c>
      <c r="AG41" s="20">
        <f>SUM($AE$41:$AF$41)</f>
        <v>0</v>
      </c>
      <c r="AH41" s="20">
        <f>'TR TUSD'!$AH$41*'TR TUSD'!$AH$60</f>
        <v>35.402179234183421</v>
      </c>
      <c r="AI41" s="20">
        <f>'TR TUSD'!$AI$41*'TR TUSD'!$AI$60</f>
        <v>0</v>
      </c>
      <c r="AJ41" s="20">
        <f ca="1">'TR TUSD'!$AJ$41*'TR TUSD'!$AJ$60</f>
        <v>3.2938079199423642</v>
      </c>
      <c r="AK41" s="20">
        <f ca="1">'TR TUSD'!$AK$41*'TR TUSD'!$AK$60</f>
        <v>0</v>
      </c>
      <c r="AL41" s="20">
        <f ca="1">SUM($AH$41:$AK$41)</f>
        <v>38.695987154125788</v>
      </c>
      <c r="AM41" s="20">
        <f ca="1">SUMIF($L$4:$AL$4,"SUBTOTAL",$L$41:$AL$41)</f>
        <v>1029.2229273331159</v>
      </c>
      <c r="AP41" s="20">
        <f>IF((1 - CUSTOS!$M$30)&lt;&gt;0,1/(1 - CUSTOS!$M$30),1)</f>
        <v>1</v>
      </c>
    </row>
    <row r="42" spans="1:42" ht="11.25" customHeight="1" x14ac:dyDescent="0.25">
      <c r="A42" s="134"/>
      <c r="B42" s="134" t="s">
        <v>86</v>
      </c>
      <c r="C42" s="134" t="s">
        <v>44</v>
      </c>
      <c r="D42" s="22" t="s">
        <v>25</v>
      </c>
      <c r="E42" s="22" t="s">
        <v>25</v>
      </c>
      <c r="F42" s="22" t="s">
        <v>25</v>
      </c>
      <c r="G42" s="21" t="s">
        <v>75</v>
      </c>
      <c r="H42" s="21" t="s">
        <v>71</v>
      </c>
      <c r="I42" s="21">
        <f>'MERCADO TUSD'!$U$39</f>
        <v>0</v>
      </c>
      <c r="J42" s="17"/>
      <c r="L42" s="20">
        <f>'TR TUSD'!$L$42*'TR TUSD'!$L$60</f>
        <v>23.676382817448843</v>
      </c>
      <c r="M42" s="20">
        <f>'TR TUSD'!$M$42*'TR TUSD'!$M$60</f>
        <v>3.0995814557361197</v>
      </c>
      <c r="N42" s="20">
        <f ca="1">'TR TUSD'!$N$42*'TR TUSD'!$N$60</f>
        <v>0</v>
      </c>
      <c r="O42" s="20">
        <f>'TR TUSD'!$O$42*'TR TUSD'!$O$60</f>
        <v>0</v>
      </c>
      <c r="P42" s="20">
        <f>'TR TUSD'!$P$42*'TR TUSD'!$P$60</f>
        <v>0</v>
      </c>
      <c r="Q42" s="20">
        <f>'TR TUSD'!$Q$42*'TR TUSD'!$Q$60</f>
        <v>88.361225866413548</v>
      </c>
      <c r="R42" s="20">
        <f>'TR TUSD'!$R$42*'TR TUSD'!$R$60</f>
        <v>14.657753077660844</v>
      </c>
      <c r="S42" s="20">
        <f>'TR TUSD'!$S$42*'TR TUSD'!$S$60</f>
        <v>0</v>
      </c>
      <c r="T42" s="20">
        <f ca="1">SUM($L$42:$S$42)</f>
        <v>129.79494321725937</v>
      </c>
      <c r="U42" s="20">
        <f>'TR TUSD'!$U$42*'TR TUSD'!$U$60</f>
        <v>0</v>
      </c>
      <c r="V42" s="20">
        <f>'TR TUSD'!$V$42*'TR TUSD'!$V$60</f>
        <v>0</v>
      </c>
      <c r="W42" s="20">
        <f>'TR TUSD'!$W$42*'TR TUSD'!$W$60</f>
        <v>0</v>
      </c>
      <c r="X42" s="20">
        <f>'TR TUSD'!$X$42*'TR TUSD'!$X$60</f>
        <v>0</v>
      </c>
      <c r="Y42" s="20">
        <f>'TR TUSD'!$Y$42*'TR TUSD'!$Y$60</f>
        <v>198.09152706344392</v>
      </c>
      <c r="Z42" s="20">
        <f>'TR TUSD'!$Z$42</f>
        <v>0</v>
      </c>
      <c r="AA42" s="20">
        <f>'TR TUSD'!$AA$42</f>
        <v>0</v>
      </c>
      <c r="AB42" s="20">
        <f>SUM($U$42:$AA$42)</f>
        <v>198.09152706344392</v>
      </c>
      <c r="AC42" s="20">
        <f>'TR TUSD'!$AC$42*'TR TUSD'!$AC$60</f>
        <v>662.64046989828671</v>
      </c>
      <c r="AD42" s="20">
        <f>SUM($AC$42:$AC$42)</f>
        <v>662.64046989828671</v>
      </c>
      <c r="AE42" s="20">
        <v>0</v>
      </c>
      <c r="AF42" s="20">
        <v>0</v>
      </c>
      <c r="AG42" s="20">
        <f>SUM($AE$42:$AF$42)</f>
        <v>0</v>
      </c>
      <c r="AH42" s="20">
        <f>'TR TUSD'!$AH$42*'TR TUSD'!$AH$60</f>
        <v>35.402179234183421</v>
      </c>
      <c r="AI42" s="20">
        <f>'TR TUSD'!$AI$42*'TR TUSD'!$AI$60</f>
        <v>0</v>
      </c>
      <c r="AJ42" s="20">
        <f ca="1">'TR TUSD'!$AJ$42*'TR TUSD'!$AJ$60</f>
        <v>3.2938079199423642</v>
      </c>
      <c r="AK42" s="20">
        <f ca="1">'TR TUSD'!$AK$42*'TR TUSD'!$AK$60</f>
        <v>0</v>
      </c>
      <c r="AL42" s="20">
        <f ca="1">SUM($AH$42:$AK$42)</f>
        <v>38.695987154125788</v>
      </c>
      <c r="AM42" s="20">
        <f ca="1">SUMIF($L$4:$AL$4,"SUBTOTAL",$L$42:$AL$42)</f>
        <v>1029.2229273331159</v>
      </c>
      <c r="AP42" s="20">
        <f>IF((1 - CUSTOS!$M$28)&lt;&gt;0,1/(1 - CUSTOS!$M$28),1)</f>
        <v>1</v>
      </c>
    </row>
    <row r="43" spans="1:42" ht="11.25" customHeight="1" x14ac:dyDescent="0.25">
      <c r="A43" s="134"/>
      <c r="B43" s="134"/>
      <c r="C43" s="134"/>
      <c r="D43" s="22" t="s">
        <v>87</v>
      </c>
      <c r="E43" s="22" t="s">
        <v>25</v>
      </c>
      <c r="F43" s="22" t="s">
        <v>25</v>
      </c>
      <c r="G43" s="21" t="s">
        <v>75</v>
      </c>
      <c r="H43" s="21" t="s">
        <v>71</v>
      </c>
      <c r="I43" s="21">
        <f>'MERCADO TUSD'!$U$40</f>
        <v>0</v>
      </c>
      <c r="J43" s="17"/>
      <c r="L43" s="20">
        <f>'TR TUSD'!$L$43*'TR TUSD'!$L$60</f>
        <v>23.676382817448843</v>
      </c>
      <c r="M43" s="20">
        <f>'TR TUSD'!$M$43*'TR TUSD'!$M$60</f>
        <v>3.0995814557361197</v>
      </c>
      <c r="N43" s="20">
        <f ca="1">'TR TUSD'!$N$43*'TR TUSD'!$N$60</f>
        <v>0</v>
      </c>
      <c r="O43" s="20">
        <f>'TR TUSD'!$O$43*'TR TUSD'!$O$60</f>
        <v>0</v>
      </c>
      <c r="P43" s="20">
        <f>'TR TUSD'!$P$43*'TR TUSD'!$P$60</f>
        <v>0</v>
      </c>
      <c r="Q43" s="20">
        <f>'TR TUSD'!$Q$43*'TR TUSD'!$Q$60</f>
        <v>88.361225866413548</v>
      </c>
      <c r="R43" s="20">
        <f>'TR TUSD'!$R$43*'TR TUSD'!$R$60</f>
        <v>14.657753077660844</v>
      </c>
      <c r="S43" s="20">
        <f>'TR TUSD'!$S$43*'TR TUSD'!$S$60</f>
        <v>0</v>
      </c>
      <c r="T43" s="20">
        <f ca="1">SUM($L$43:$S$43)</f>
        <v>129.79494321725937</v>
      </c>
      <c r="U43" s="20">
        <f>'TR TUSD'!$U$43*'TR TUSD'!$U$60</f>
        <v>0</v>
      </c>
      <c r="V43" s="20">
        <f>'TR TUSD'!$V$43*'TR TUSD'!$V$60</f>
        <v>0</v>
      </c>
      <c r="W43" s="20">
        <f>'TR TUSD'!$W$43*'TR TUSD'!$W$60</f>
        <v>0</v>
      </c>
      <c r="X43" s="20">
        <f>'TR TUSD'!$X$43*'TR TUSD'!$X$60</f>
        <v>0</v>
      </c>
      <c r="Y43" s="20">
        <f>'TR TUSD'!$Y$43*'TR TUSD'!$Y$60</f>
        <v>198.09152706344392</v>
      </c>
      <c r="Z43" s="20">
        <f>'TR TUSD'!$Z$43</f>
        <v>0</v>
      </c>
      <c r="AA43" s="20">
        <f>'TR TUSD'!$AA$43</f>
        <v>0</v>
      </c>
      <c r="AB43" s="20">
        <f>SUM($U$43:$AA$43)</f>
        <v>198.09152706344392</v>
      </c>
      <c r="AC43" s="20">
        <f>'TR TUSD'!$AC$43*'TR TUSD'!$AC$60</f>
        <v>662.64046989828671</v>
      </c>
      <c r="AD43" s="20">
        <f>SUM($AC$43:$AC$43)</f>
        <v>662.64046989828671</v>
      </c>
      <c r="AE43" s="20">
        <v>0</v>
      </c>
      <c r="AF43" s="20">
        <v>0</v>
      </c>
      <c r="AG43" s="20">
        <f>SUM($AE$43:$AF$43)</f>
        <v>0</v>
      </c>
      <c r="AH43" s="20">
        <f>'TR TUSD'!$AH$43*'TR TUSD'!$AH$60</f>
        <v>35.402179234183421</v>
      </c>
      <c r="AI43" s="20">
        <f>'TR TUSD'!$AI$43*'TR TUSD'!$AI$60</f>
        <v>0</v>
      </c>
      <c r="AJ43" s="20">
        <f ca="1">'TR TUSD'!$AJ$43*'TR TUSD'!$AJ$60</f>
        <v>3.2938079199423642</v>
      </c>
      <c r="AK43" s="20">
        <f ca="1">'TR TUSD'!$AK$43*'TR TUSD'!$AK$60</f>
        <v>0</v>
      </c>
      <c r="AL43" s="20">
        <f ca="1">SUM($AH$43:$AK$43)</f>
        <v>38.695987154125788</v>
      </c>
      <c r="AM43" s="20">
        <f ca="1">SUMIF($L$4:$AL$4,"SUBTOTAL",$L$43:$AL$43)</f>
        <v>1029.2229273331159</v>
      </c>
      <c r="AP43" s="20">
        <f>IF((1 - CUSTOS!$M$29)&lt;&gt;0,1/(1 - CUSTOS!$M$29),1)</f>
        <v>1</v>
      </c>
    </row>
    <row r="44" spans="1:42" ht="11.25" customHeight="1" x14ac:dyDescent="0.25">
      <c r="A44" s="134"/>
      <c r="B44" s="134"/>
      <c r="C44" s="134"/>
      <c r="D44" s="22" t="s">
        <v>88</v>
      </c>
      <c r="E44" s="22" t="s">
        <v>25</v>
      </c>
      <c r="F44" s="22" t="s">
        <v>25</v>
      </c>
      <c r="G44" s="21" t="s">
        <v>75</v>
      </c>
      <c r="H44" s="21" t="s">
        <v>71</v>
      </c>
      <c r="I44" s="21">
        <f>'MERCADO TUSD'!$U$41</f>
        <v>0</v>
      </c>
      <c r="J44" s="17"/>
      <c r="L44" s="20">
        <f>'TR TUSD'!$L$44*'TR TUSD'!$L$60</f>
        <v>23.676382817448843</v>
      </c>
      <c r="M44" s="20">
        <f>'TR TUSD'!$M$44*'TR TUSD'!$M$60</f>
        <v>3.0995814557361197</v>
      </c>
      <c r="N44" s="20">
        <f ca="1">'TR TUSD'!$N$44*'TR TUSD'!$N$60</f>
        <v>0</v>
      </c>
      <c r="O44" s="20">
        <f>'TR TUSD'!$O$44*'TR TUSD'!$O$60</f>
        <v>0</v>
      </c>
      <c r="P44" s="20">
        <f>'TR TUSD'!$P$44*'TR TUSD'!$P$60</f>
        <v>0</v>
      </c>
      <c r="Q44" s="20">
        <f>'TR TUSD'!$Q$44*'TR TUSD'!$Q$60</f>
        <v>88.361225866413548</v>
      </c>
      <c r="R44" s="20">
        <f>'TR TUSD'!$R$44*'TR TUSD'!$R$60</f>
        <v>14.657753077660844</v>
      </c>
      <c r="S44" s="20">
        <f>'TR TUSD'!$S$44*'TR TUSD'!$S$60</f>
        <v>0</v>
      </c>
      <c r="T44" s="20">
        <f ca="1">SUM($L$44:$S$44)</f>
        <v>129.79494321725937</v>
      </c>
      <c r="U44" s="20">
        <f>'TR TUSD'!$U$44*'TR TUSD'!$U$60</f>
        <v>0</v>
      </c>
      <c r="V44" s="20">
        <f>'TR TUSD'!$V$44*'TR TUSD'!$V$60</f>
        <v>0</v>
      </c>
      <c r="W44" s="20">
        <f>'TR TUSD'!$W$44*'TR TUSD'!$W$60</f>
        <v>0</v>
      </c>
      <c r="X44" s="20">
        <f>'TR TUSD'!$X$44*'TR TUSD'!$X$60</f>
        <v>0</v>
      </c>
      <c r="Y44" s="20">
        <f>'TR TUSD'!$Y$44*'TR TUSD'!$Y$60</f>
        <v>198.09152706344392</v>
      </c>
      <c r="Z44" s="20">
        <f>'TR TUSD'!$Z$44</f>
        <v>0</v>
      </c>
      <c r="AA44" s="20">
        <f>'TR TUSD'!$AA$44</f>
        <v>0</v>
      </c>
      <c r="AB44" s="20">
        <f>SUM($U$44:$AA$44)</f>
        <v>198.09152706344392</v>
      </c>
      <c r="AC44" s="20">
        <f>'TR TUSD'!$AC$44*'TR TUSD'!$AC$60</f>
        <v>662.64046989828671</v>
      </c>
      <c r="AD44" s="20">
        <f>SUM($AC$44:$AC$44)</f>
        <v>662.64046989828671</v>
      </c>
      <c r="AE44" s="20">
        <v>0</v>
      </c>
      <c r="AF44" s="20">
        <v>0</v>
      </c>
      <c r="AG44" s="20">
        <f>SUM($AE$44:$AF$44)</f>
        <v>0</v>
      </c>
      <c r="AH44" s="20">
        <f>'TR TUSD'!$AH$44*'TR TUSD'!$AH$60</f>
        <v>35.402179234183421</v>
      </c>
      <c r="AI44" s="20">
        <f>'TR TUSD'!$AI$44*'TR TUSD'!$AI$60</f>
        <v>0</v>
      </c>
      <c r="AJ44" s="20">
        <f ca="1">'TR TUSD'!$AJ$44*'TR TUSD'!$AJ$60</f>
        <v>3.2938079199423642</v>
      </c>
      <c r="AK44" s="20">
        <f ca="1">'TR TUSD'!$AK$44*'TR TUSD'!$AK$60</f>
        <v>0</v>
      </c>
      <c r="AL44" s="20">
        <f ca="1">SUM($AH$44:$AK$44)</f>
        <v>38.695987154125788</v>
      </c>
      <c r="AM44" s="20">
        <f ca="1">SUMIF($L$4:$AL$4,"SUBTOTAL",$L$44:$AL$44)</f>
        <v>1029.2229273331159</v>
      </c>
      <c r="AP44" s="20">
        <f>IF((1 - CUSTOS!$M$30)&lt;&gt;0,1/(1 - CUSTOS!$M$30),1)</f>
        <v>1</v>
      </c>
    </row>
    <row r="45" spans="1:42" ht="11.25" customHeight="1" x14ac:dyDescent="0.25">
      <c r="A45" s="134" t="s">
        <v>39</v>
      </c>
      <c r="B45" s="134" t="s">
        <v>37</v>
      </c>
      <c r="C45" s="134" t="s">
        <v>25</v>
      </c>
      <c r="D45" s="134" t="s">
        <v>25</v>
      </c>
      <c r="E45" s="134" t="s">
        <v>25</v>
      </c>
      <c r="F45" s="134" t="s">
        <v>25</v>
      </c>
      <c r="G45" s="21" t="s">
        <v>72</v>
      </c>
      <c r="H45" s="21" t="s">
        <v>71</v>
      </c>
      <c r="I45" s="21">
        <f>'MERCADO TUSD'!$U$42</f>
        <v>0</v>
      </c>
      <c r="J45" s="17"/>
      <c r="L45" s="20">
        <f>'TR TUSD'!$L$45*'TR TUSD'!$L$60</f>
        <v>23.676382817448843</v>
      </c>
      <c r="M45" s="20">
        <f>'TR TUSD'!$M$45*'TR TUSD'!$M$60</f>
        <v>3.0995814557361197</v>
      </c>
      <c r="N45" s="20">
        <f ca="1">'TR TUSD'!$N$45*'TR TUSD'!$N$60</f>
        <v>0</v>
      </c>
      <c r="O45" s="20">
        <f>'TR TUSD'!$O$45*'TR TUSD'!$O$60</f>
        <v>0</v>
      </c>
      <c r="P45" s="20">
        <f>'TR TUSD'!$P$45*'TR TUSD'!$P$60</f>
        <v>0</v>
      </c>
      <c r="Q45" s="20">
        <f>'TR TUSD'!$Q$45*'TR TUSD'!$Q$60</f>
        <v>88.361225866413548</v>
      </c>
      <c r="R45" s="20">
        <f>'TR TUSD'!$R$45*'TR TUSD'!$R$60</f>
        <v>14.657753077660844</v>
      </c>
      <c r="S45" s="20">
        <f>'TR TUSD'!$S$45*'TR TUSD'!$S$60</f>
        <v>0</v>
      </c>
      <c r="T45" s="20">
        <f ca="1">SUM($L$45:$S$45)</f>
        <v>129.79494321725937</v>
      </c>
      <c r="U45" s="20">
        <f>'TR TUSD'!$U$45*'TR TUSD'!$U$60</f>
        <v>0</v>
      </c>
      <c r="V45" s="20">
        <f>'TR TUSD'!$V$45*'TR TUSD'!$V$60</f>
        <v>0</v>
      </c>
      <c r="W45" s="20">
        <f>'TR TUSD'!$W$45*'TR TUSD'!$W$60</f>
        <v>0</v>
      </c>
      <c r="X45" s="20">
        <f>'TR TUSD'!$X$45*'TR TUSD'!$X$60</f>
        <v>0</v>
      </c>
      <c r="Y45" s="20">
        <f>'TR TUSD'!$Y$45*'TR TUSD'!$Y$60</f>
        <v>604.17966376578204</v>
      </c>
      <c r="Z45" s="20">
        <f>'TR TUSD'!$Z$45</f>
        <v>0</v>
      </c>
      <c r="AA45" s="20">
        <f>'TR TUSD'!$AA$45</f>
        <v>0</v>
      </c>
      <c r="AB45" s="20">
        <f>SUM($U$45:$AA$45)</f>
        <v>604.17966376578204</v>
      </c>
      <c r="AC45" s="20">
        <f>'TR TUSD'!$AC$45*'TR TUSD'!$AC$60</f>
        <v>2021.052569333182</v>
      </c>
      <c r="AD45" s="20">
        <f>SUM($AC$45:$AC$45)</f>
        <v>2021.052569333182</v>
      </c>
      <c r="AE45" s="20">
        <v>0</v>
      </c>
      <c r="AF45" s="20">
        <v>0</v>
      </c>
      <c r="AG45" s="20">
        <f>SUM($AE$45:$AF$45)</f>
        <v>0</v>
      </c>
      <c r="AH45" s="20">
        <f>'TR TUSD'!$AH$45*'TR TUSD'!$AH$60</f>
        <v>35.402179234183421</v>
      </c>
      <c r="AI45" s="20">
        <f>'TR TUSD'!$AI$45*'TR TUSD'!$AI$60</f>
        <v>0</v>
      </c>
      <c r="AJ45" s="20">
        <f ca="1">'TR TUSD'!$AJ$45*'TR TUSD'!$AJ$60</f>
        <v>3.2938079199423642</v>
      </c>
      <c r="AK45" s="20">
        <f ca="1">'TR TUSD'!$AK$45*'TR TUSD'!$AK$60</f>
        <v>0</v>
      </c>
      <c r="AL45" s="20">
        <f ca="1">SUM($AH$45:$AK$45)</f>
        <v>38.695987154125788</v>
      </c>
      <c r="AM45" s="20">
        <f ca="1">SUMIF($L$4:$AL$4,"SUBTOTAL",$L$45:$AL$45)</f>
        <v>2793.7231634703494</v>
      </c>
      <c r="AP45" s="20">
        <f>IF((1 - CUSTOS!$M$31)&lt;&gt;0,1/(1 - CUSTOS!$M$31),1)</f>
        <v>1</v>
      </c>
    </row>
    <row r="46" spans="1:42" ht="11.25" customHeight="1" x14ac:dyDescent="0.25">
      <c r="A46" s="134"/>
      <c r="B46" s="134"/>
      <c r="C46" s="134"/>
      <c r="D46" s="134"/>
      <c r="E46" s="134"/>
      <c r="F46" s="134"/>
      <c r="G46" s="21" t="s">
        <v>84</v>
      </c>
      <c r="H46" s="21" t="s">
        <v>71</v>
      </c>
      <c r="I46" s="21">
        <f>'MERCADO TUSD'!$U$43</f>
        <v>0</v>
      </c>
      <c r="J46" s="17"/>
      <c r="L46" s="20">
        <f>'TR TUSD'!$L$46*'TR TUSD'!$L$60</f>
        <v>23.676382817448843</v>
      </c>
      <c r="M46" s="20">
        <f>'TR TUSD'!$M$46*'TR TUSD'!$M$60</f>
        <v>3.0995814557361197</v>
      </c>
      <c r="N46" s="20">
        <f ca="1">'TR TUSD'!$N$46*'TR TUSD'!$N$60</f>
        <v>0</v>
      </c>
      <c r="O46" s="20">
        <f>'TR TUSD'!$O$46*'TR TUSD'!$O$60</f>
        <v>0</v>
      </c>
      <c r="P46" s="20">
        <f>'TR TUSD'!$P$46*'TR TUSD'!$P$60</f>
        <v>0</v>
      </c>
      <c r="Q46" s="20">
        <f>'TR TUSD'!$Q$46*'TR TUSD'!$Q$60</f>
        <v>88.361225866413548</v>
      </c>
      <c r="R46" s="20">
        <f>'TR TUSD'!$R$46*'TR TUSD'!$R$60</f>
        <v>14.657753077660844</v>
      </c>
      <c r="S46" s="20">
        <f>'TR TUSD'!$S$46*'TR TUSD'!$S$60</f>
        <v>0</v>
      </c>
      <c r="T46" s="20">
        <f ca="1">SUM($L$46:$S$46)</f>
        <v>129.79494321725937</v>
      </c>
      <c r="U46" s="20">
        <f>'TR TUSD'!$U$46*'TR TUSD'!$U$60</f>
        <v>0</v>
      </c>
      <c r="V46" s="20">
        <f>'TR TUSD'!$V$46*'TR TUSD'!$V$60</f>
        <v>0</v>
      </c>
      <c r="W46" s="20">
        <f>'TR TUSD'!$W$46*'TR TUSD'!$W$60</f>
        <v>0</v>
      </c>
      <c r="X46" s="20">
        <f>'TR TUSD'!$X$46*'TR TUSD'!$X$60</f>
        <v>0</v>
      </c>
      <c r="Y46" s="20">
        <f>'TR TUSD'!$Y$46*'TR TUSD'!$Y$60</f>
        <v>362.5080232471484</v>
      </c>
      <c r="Z46" s="20">
        <f>'TR TUSD'!$Z$46</f>
        <v>0</v>
      </c>
      <c r="AA46" s="20">
        <f>'TR TUSD'!$AA$46</f>
        <v>0</v>
      </c>
      <c r="AB46" s="20">
        <f>SUM($U$46:$AA$46)</f>
        <v>362.5080232471484</v>
      </c>
      <c r="AC46" s="20">
        <f>'TR TUSD'!$AC$46*'TR TUSD'!$AC$60</f>
        <v>1212.6316479207205</v>
      </c>
      <c r="AD46" s="20">
        <f>SUM($AC$46:$AC$46)</f>
        <v>1212.6316479207205</v>
      </c>
      <c r="AE46" s="20">
        <v>0</v>
      </c>
      <c r="AF46" s="20">
        <v>0</v>
      </c>
      <c r="AG46" s="20">
        <f>SUM($AE$46:$AF$46)</f>
        <v>0</v>
      </c>
      <c r="AH46" s="20">
        <f>'TR TUSD'!$AH$46*'TR TUSD'!$AH$60</f>
        <v>35.402179234183421</v>
      </c>
      <c r="AI46" s="20">
        <f>'TR TUSD'!$AI$46*'TR TUSD'!$AI$60</f>
        <v>0</v>
      </c>
      <c r="AJ46" s="20">
        <f ca="1">'TR TUSD'!$AJ$46*'TR TUSD'!$AJ$60</f>
        <v>3.2938079199423642</v>
      </c>
      <c r="AK46" s="20">
        <f ca="1">'TR TUSD'!$AK$46*'TR TUSD'!$AK$60</f>
        <v>0</v>
      </c>
      <c r="AL46" s="20">
        <f ca="1">SUM($AH$46:$AK$46)</f>
        <v>38.695987154125788</v>
      </c>
      <c r="AM46" s="20">
        <f ca="1">SUMIF($L$4:$AL$4,"SUBTOTAL",$L$46:$AL$46)</f>
        <v>1743.630601539254</v>
      </c>
      <c r="AP46" s="20">
        <f>IF((1 - CUSTOS!$M$31)&lt;&gt;0,1/(1 - CUSTOS!$M$31),1)</f>
        <v>1</v>
      </c>
    </row>
    <row r="47" spans="1:42" ht="11.25" customHeight="1" x14ac:dyDescent="0.25">
      <c r="A47" s="134"/>
      <c r="B47" s="134"/>
      <c r="C47" s="134"/>
      <c r="D47" s="134"/>
      <c r="E47" s="134"/>
      <c r="F47" s="134"/>
      <c r="G47" s="21" t="s">
        <v>73</v>
      </c>
      <c r="H47" s="21" t="s">
        <v>71</v>
      </c>
      <c r="I47" s="21">
        <f>'MERCADO TUSD'!$U$44</f>
        <v>0</v>
      </c>
      <c r="J47" s="17"/>
      <c r="L47" s="20">
        <f>'TR TUSD'!$L$47*'TR TUSD'!$L$60</f>
        <v>23.676382817448843</v>
      </c>
      <c r="M47" s="20">
        <f>'TR TUSD'!$M$47*'TR TUSD'!$M$60</f>
        <v>3.0995814557361197</v>
      </c>
      <c r="N47" s="20">
        <f ca="1">'TR TUSD'!$N$47*'TR TUSD'!$N$60</f>
        <v>0</v>
      </c>
      <c r="O47" s="20">
        <f>'TR TUSD'!$O$47*'TR TUSD'!$O$60</f>
        <v>0</v>
      </c>
      <c r="P47" s="20">
        <f>'TR TUSD'!$P$47*'TR TUSD'!$P$60</f>
        <v>0</v>
      </c>
      <c r="Q47" s="20">
        <f>'TR TUSD'!$Q$47*'TR TUSD'!$Q$60</f>
        <v>88.361225866413548</v>
      </c>
      <c r="R47" s="20">
        <f>'TR TUSD'!$R$47*'TR TUSD'!$R$60</f>
        <v>14.657753077660844</v>
      </c>
      <c r="S47" s="20">
        <f>'TR TUSD'!$S$47*'TR TUSD'!$S$60</f>
        <v>0</v>
      </c>
      <c r="T47" s="20">
        <f ca="1">SUM($L$47:$S$47)</f>
        <v>129.79494321725937</v>
      </c>
      <c r="U47" s="20">
        <f>'TR TUSD'!$U$47*'TR TUSD'!$U$60</f>
        <v>0</v>
      </c>
      <c r="V47" s="20">
        <f>'TR TUSD'!$V$47*'TR TUSD'!$V$60</f>
        <v>0</v>
      </c>
      <c r="W47" s="20">
        <f>'TR TUSD'!$W$47*'TR TUSD'!$W$60</f>
        <v>0</v>
      </c>
      <c r="X47" s="20">
        <f>'TR TUSD'!$X$47*'TR TUSD'!$X$60</f>
        <v>0</v>
      </c>
      <c r="Y47" s="20">
        <f>'TR TUSD'!$Y$47*'TR TUSD'!$Y$60</f>
        <v>120.83638272851475</v>
      </c>
      <c r="Z47" s="20">
        <f>'TR TUSD'!$Z$47</f>
        <v>0</v>
      </c>
      <c r="AA47" s="20">
        <f>'TR TUSD'!$AA$47</f>
        <v>0</v>
      </c>
      <c r="AB47" s="20">
        <f>SUM($U$47:$AA$47)</f>
        <v>120.83638272851475</v>
      </c>
      <c r="AC47" s="20">
        <f>'TR TUSD'!$AC$47*'TR TUSD'!$AC$60</f>
        <v>404.21046070623072</v>
      </c>
      <c r="AD47" s="20">
        <f>SUM($AC$47:$AC$47)</f>
        <v>404.21046070623072</v>
      </c>
      <c r="AE47" s="20">
        <v>0</v>
      </c>
      <c r="AF47" s="20">
        <v>0</v>
      </c>
      <c r="AG47" s="20">
        <f>SUM($AE$47:$AF$47)</f>
        <v>0</v>
      </c>
      <c r="AH47" s="20">
        <f>'TR TUSD'!$AH$47*'TR TUSD'!$AH$60</f>
        <v>35.402179234183421</v>
      </c>
      <c r="AI47" s="20">
        <f>'TR TUSD'!$AI$47*'TR TUSD'!$AI$60</f>
        <v>0</v>
      </c>
      <c r="AJ47" s="20">
        <f ca="1">'TR TUSD'!$AJ$47*'TR TUSD'!$AJ$60</f>
        <v>3.2938079199423642</v>
      </c>
      <c r="AK47" s="20">
        <f ca="1">'TR TUSD'!$AK$47*'TR TUSD'!$AK$60</f>
        <v>0</v>
      </c>
      <c r="AL47" s="20">
        <f ca="1">SUM($AH$47:$AK$47)</f>
        <v>38.695987154125788</v>
      </c>
      <c r="AM47" s="20">
        <f ca="1">SUMIF($L$4:$AL$4,"SUBTOTAL",$L$47:$AL$47)</f>
        <v>693.53777380613064</v>
      </c>
      <c r="AP47" s="20">
        <f>IF((1 - CUSTOS!$M$31)&lt;&gt;0,1/(1 - CUSTOS!$M$31),1)</f>
        <v>1</v>
      </c>
    </row>
    <row r="48" spans="1:42" ht="11.25" customHeight="1" x14ac:dyDescent="0.25">
      <c r="A48" s="134"/>
      <c r="B48" s="22" t="s">
        <v>23</v>
      </c>
      <c r="C48" s="22" t="s">
        <v>25</v>
      </c>
      <c r="D48" s="22" t="s">
        <v>25</v>
      </c>
      <c r="E48" s="22" t="s">
        <v>25</v>
      </c>
      <c r="F48" s="22" t="s">
        <v>25</v>
      </c>
      <c r="G48" s="21" t="s">
        <v>75</v>
      </c>
      <c r="H48" s="21" t="s">
        <v>71</v>
      </c>
      <c r="I48" s="21">
        <f>'MERCADO TUSD'!$U$45</f>
        <v>4622.2640000000001</v>
      </c>
      <c r="J48" s="17"/>
      <c r="L48" s="20">
        <f>'TR TUSD'!$L$48*'TR TUSD'!$L$60</f>
        <v>23.676382817448843</v>
      </c>
      <c r="M48" s="20">
        <f>'TR TUSD'!$M$48*'TR TUSD'!$M$60</f>
        <v>3.0995814557361197</v>
      </c>
      <c r="N48" s="20">
        <f ca="1">'TR TUSD'!$N$48*'TR TUSD'!$N$60</f>
        <v>0</v>
      </c>
      <c r="O48" s="20">
        <f>'TR TUSD'!$O$48*'TR TUSD'!$O$60</f>
        <v>0</v>
      </c>
      <c r="P48" s="20">
        <f>'TR TUSD'!$P$48*'TR TUSD'!$P$60</f>
        <v>0</v>
      </c>
      <c r="Q48" s="20">
        <f>'TR TUSD'!$Q$48*'TR TUSD'!$Q$60</f>
        <v>88.361225866413548</v>
      </c>
      <c r="R48" s="20">
        <f>'TR TUSD'!$R$48*'TR TUSD'!$R$60</f>
        <v>14.657753077660844</v>
      </c>
      <c r="S48" s="20">
        <f>'TR TUSD'!$S$48*'TR TUSD'!$S$60</f>
        <v>0</v>
      </c>
      <c r="T48" s="20">
        <f ca="1">SUM($L$48:$S$48)</f>
        <v>129.79494321725937</v>
      </c>
      <c r="U48" s="20">
        <f>'TR TUSD'!$U$48*'TR TUSD'!$U$60</f>
        <v>0</v>
      </c>
      <c r="V48" s="20">
        <f>'TR TUSD'!$V$48*'TR TUSD'!$V$60</f>
        <v>0</v>
      </c>
      <c r="W48" s="20">
        <f>'TR TUSD'!$W$48*'TR TUSD'!$W$60</f>
        <v>0</v>
      </c>
      <c r="X48" s="20">
        <f>'TR TUSD'!$X$48*'TR TUSD'!$X$60</f>
        <v>0</v>
      </c>
      <c r="Y48" s="20">
        <f>'TR TUSD'!$Y$48*'TR TUSD'!$Y$60</f>
        <v>198.09152706344392</v>
      </c>
      <c r="Z48" s="20">
        <f>'TR TUSD'!$Z$48</f>
        <v>0</v>
      </c>
      <c r="AA48" s="20">
        <f>'TR TUSD'!$AA$48</f>
        <v>0</v>
      </c>
      <c r="AB48" s="20">
        <f>SUM($U$48:$AA$48)</f>
        <v>198.09152706344392</v>
      </c>
      <c r="AC48" s="20">
        <f>'TR TUSD'!$AC$48*'TR TUSD'!$AC$60</f>
        <v>662.64046989828671</v>
      </c>
      <c r="AD48" s="20">
        <f>SUM($AC$48:$AC$48)</f>
        <v>662.64046989828671</v>
      </c>
      <c r="AE48" s="20">
        <v>0</v>
      </c>
      <c r="AF48" s="20">
        <v>0</v>
      </c>
      <c r="AG48" s="20">
        <f>SUM($AE$48:$AF$48)</f>
        <v>0</v>
      </c>
      <c r="AH48" s="20">
        <f>'TR TUSD'!$AH$48*'TR TUSD'!$AH$60</f>
        <v>35.402179234183421</v>
      </c>
      <c r="AI48" s="20">
        <f>'TR TUSD'!$AI$48*'TR TUSD'!$AI$60</f>
        <v>0</v>
      </c>
      <c r="AJ48" s="20">
        <f ca="1">'TR TUSD'!$AJ$48*'TR TUSD'!$AJ$60</f>
        <v>3.2938079199423642</v>
      </c>
      <c r="AK48" s="20">
        <f ca="1">'TR TUSD'!$AK$48*'TR TUSD'!$AK$60</f>
        <v>0</v>
      </c>
      <c r="AL48" s="20">
        <f ca="1">SUM($AH$48:$AK$48)</f>
        <v>38.695987154125788</v>
      </c>
      <c r="AM48" s="20">
        <f ca="1">SUMIF($L$4:$AL$4,"SUBTOTAL",$L$48:$AL$48)</f>
        <v>1029.2229273331159</v>
      </c>
      <c r="AP48" s="20">
        <f>IF((1 - CUSTOS!$M$31)&lt;&gt;0,1/(1 - CUSTOS!$M$31),1)</f>
        <v>1</v>
      </c>
    </row>
    <row r="49" spans="1:42" ht="11.25" customHeight="1" x14ac:dyDescent="0.25">
      <c r="A49" s="134"/>
      <c r="B49" s="22" t="s">
        <v>86</v>
      </c>
      <c r="C49" s="22" t="s">
        <v>25</v>
      </c>
      <c r="D49" s="22" t="s">
        <v>25</v>
      </c>
      <c r="E49" s="22" t="s">
        <v>25</v>
      </c>
      <c r="F49" s="22" t="s">
        <v>25</v>
      </c>
      <c r="G49" s="21" t="s">
        <v>75</v>
      </c>
      <c r="H49" s="21" t="s">
        <v>71</v>
      </c>
      <c r="I49" s="21">
        <f>'MERCADO TUSD'!$U$46</f>
        <v>0</v>
      </c>
      <c r="J49" s="17"/>
      <c r="L49" s="20">
        <f>'TR TUSD'!$L$49*'TR TUSD'!$L$60</f>
        <v>23.676382817448843</v>
      </c>
      <c r="M49" s="20">
        <f>'TR TUSD'!$M$49*'TR TUSD'!$M$60</f>
        <v>3.0995814557361197</v>
      </c>
      <c r="N49" s="20">
        <f ca="1">'TR TUSD'!$N$49*'TR TUSD'!$N$60</f>
        <v>0</v>
      </c>
      <c r="O49" s="20">
        <f>'TR TUSD'!$O$49*'TR TUSD'!$O$60</f>
        <v>0</v>
      </c>
      <c r="P49" s="20">
        <f>'TR TUSD'!$P$49*'TR TUSD'!$P$60</f>
        <v>0</v>
      </c>
      <c r="Q49" s="20">
        <f>'TR TUSD'!$Q$49*'TR TUSD'!$Q$60</f>
        <v>88.361225866413548</v>
      </c>
      <c r="R49" s="20">
        <f>'TR TUSD'!$R$49*'TR TUSD'!$R$60</f>
        <v>14.657753077660844</v>
      </c>
      <c r="S49" s="20">
        <f>'TR TUSD'!$S$49*'TR TUSD'!$S$60</f>
        <v>0</v>
      </c>
      <c r="T49" s="20">
        <f ca="1">SUM($L$49:$S$49)</f>
        <v>129.79494321725937</v>
      </c>
      <c r="U49" s="20">
        <f>'TR TUSD'!$U$49*'TR TUSD'!$U$60</f>
        <v>0</v>
      </c>
      <c r="V49" s="20">
        <f>'TR TUSD'!$V$49*'TR TUSD'!$V$60</f>
        <v>0</v>
      </c>
      <c r="W49" s="20">
        <f>'TR TUSD'!$W$49*'TR TUSD'!$W$60</f>
        <v>0</v>
      </c>
      <c r="X49" s="20">
        <f>'TR TUSD'!$X$49*'TR TUSD'!$X$60</f>
        <v>0</v>
      </c>
      <c r="Y49" s="20">
        <f>'TR TUSD'!$Y$49*'TR TUSD'!$Y$60</f>
        <v>198.09152706344392</v>
      </c>
      <c r="Z49" s="20">
        <f>'TR TUSD'!$Z$49</f>
        <v>0</v>
      </c>
      <c r="AA49" s="20">
        <f>'TR TUSD'!$AA$49</f>
        <v>0</v>
      </c>
      <c r="AB49" s="20">
        <f>SUM($U$49:$AA$49)</f>
        <v>198.09152706344392</v>
      </c>
      <c r="AC49" s="20">
        <f>'TR TUSD'!$AC$49*'TR TUSD'!$AC$60</f>
        <v>662.64046989828671</v>
      </c>
      <c r="AD49" s="20">
        <f>SUM($AC$49:$AC$49)</f>
        <v>662.64046989828671</v>
      </c>
      <c r="AE49" s="20">
        <v>0</v>
      </c>
      <c r="AF49" s="20">
        <v>0</v>
      </c>
      <c r="AG49" s="20">
        <f>SUM($AE$49:$AF$49)</f>
        <v>0</v>
      </c>
      <c r="AH49" s="20">
        <f>'TR TUSD'!$AH$49*'TR TUSD'!$AH$60</f>
        <v>35.402179234183421</v>
      </c>
      <c r="AI49" s="20">
        <f>'TR TUSD'!$AI$49*'TR TUSD'!$AI$60</f>
        <v>0</v>
      </c>
      <c r="AJ49" s="20">
        <f ca="1">'TR TUSD'!$AJ$49*'TR TUSD'!$AJ$60</f>
        <v>3.2938079199423642</v>
      </c>
      <c r="AK49" s="20">
        <f ca="1">'TR TUSD'!$AK$49*'TR TUSD'!$AK$60</f>
        <v>0</v>
      </c>
      <c r="AL49" s="20">
        <f ca="1">SUM($AH$49:$AK$49)</f>
        <v>38.695987154125788</v>
      </c>
      <c r="AM49" s="20">
        <f ca="1">SUMIF($L$4:$AL$4,"SUBTOTAL",$L$49:$AL$49)</f>
        <v>1029.2229273331159</v>
      </c>
      <c r="AP49" s="20">
        <f>IF((1 - CUSTOS!$M$31)&lt;&gt;0,1/(1 - CUSTOS!$M$31),1)</f>
        <v>1</v>
      </c>
    </row>
    <row r="50" spans="1:42" ht="11.25" customHeight="1" x14ac:dyDescent="0.25">
      <c r="A50" s="134" t="s">
        <v>46</v>
      </c>
      <c r="B50" s="134" t="s">
        <v>23</v>
      </c>
      <c r="C50" s="134" t="s">
        <v>47</v>
      </c>
      <c r="D50" s="22" t="s">
        <v>48</v>
      </c>
      <c r="E50" s="22" t="s">
        <v>25</v>
      </c>
      <c r="F50" s="22" t="s">
        <v>25</v>
      </c>
      <c r="G50" s="21" t="s">
        <v>75</v>
      </c>
      <c r="H50" s="21" t="s">
        <v>71</v>
      </c>
      <c r="I50" s="21">
        <f>'MERCADO TUSD'!$U$47</f>
        <v>3347.1679999999992</v>
      </c>
      <c r="J50" s="17"/>
      <c r="L50" s="20">
        <f>'TR TUSD'!$L$50*'TR TUSD'!$L$60</f>
        <v>13.022010549596864</v>
      </c>
      <c r="M50" s="20">
        <f>'TR TUSD'!$M$50*'TR TUSD'!$M$60</f>
        <v>1.7047698006548659</v>
      </c>
      <c r="N50" s="20">
        <f ca="1">'TR TUSD'!$N$50*'TR TUSD'!$N$60</f>
        <v>0</v>
      </c>
      <c r="O50" s="20">
        <f>'TR TUSD'!$O$50*'TR TUSD'!$O$60</f>
        <v>0</v>
      </c>
      <c r="P50" s="20">
        <f>'TR TUSD'!$P$50*'TR TUSD'!$P$60</f>
        <v>0</v>
      </c>
      <c r="Q50" s="20">
        <f>'TR TUSD'!$Q$50*'TR TUSD'!$Q$60</f>
        <v>48.598674226527457</v>
      </c>
      <c r="R50" s="20">
        <f>'TR TUSD'!$R$50*'TR TUSD'!$R$60</f>
        <v>8.0617641927134649</v>
      </c>
      <c r="S50" s="20">
        <f>'TR TUSD'!$S$50*'TR TUSD'!$S$60</f>
        <v>0</v>
      </c>
      <c r="T50" s="20">
        <f ca="1">SUM($L$50:$S$50)</f>
        <v>71.387218769492648</v>
      </c>
      <c r="U50" s="20">
        <f>'TR TUSD'!$U$50*'TR TUSD'!$U$60</f>
        <v>0</v>
      </c>
      <c r="V50" s="20">
        <f>'TR TUSD'!$V$50*'TR TUSD'!$V$60</f>
        <v>0</v>
      </c>
      <c r="W50" s="20">
        <f>'TR TUSD'!$W$50*'TR TUSD'!$W$60</f>
        <v>0</v>
      </c>
      <c r="X50" s="20">
        <f>'TR TUSD'!$X$50*'TR TUSD'!$X$60</f>
        <v>0</v>
      </c>
      <c r="Y50" s="20">
        <f>'TR TUSD'!$Y$50*'TR TUSD'!$Y$60</f>
        <v>108.95033988489418</v>
      </c>
      <c r="Z50" s="20">
        <f>'TR TUSD'!$Z$50</f>
        <v>0</v>
      </c>
      <c r="AA50" s="20">
        <f>'TR TUSD'!$AA$50</f>
        <v>0</v>
      </c>
      <c r="AB50" s="20">
        <f>SUM($U$50:$AA$50)</f>
        <v>108.95033988489418</v>
      </c>
      <c r="AC50" s="20">
        <f>'TR TUSD'!$AC$50*'TR TUSD'!$AC$60</f>
        <v>364.45225844405775</v>
      </c>
      <c r="AD50" s="20">
        <f>SUM($AC$50:$AC$50)</f>
        <v>364.45225844405775</v>
      </c>
      <c r="AE50" s="20">
        <v>0</v>
      </c>
      <c r="AF50" s="20">
        <v>0</v>
      </c>
      <c r="AG50" s="20">
        <f>SUM($AE$50:$AF$50)</f>
        <v>0</v>
      </c>
      <c r="AH50" s="20">
        <f>'TR TUSD'!$AH$50*'TR TUSD'!$AH$60</f>
        <v>19.471198578800884</v>
      </c>
      <c r="AI50" s="20">
        <f>'TR TUSD'!$AI$50*'TR TUSD'!$AI$60</f>
        <v>0</v>
      </c>
      <c r="AJ50" s="20">
        <f ca="1">'TR TUSD'!$AJ$50*'TR TUSD'!$AJ$60</f>
        <v>1.8115943559683008</v>
      </c>
      <c r="AK50" s="20">
        <f ca="1">'TR TUSD'!$AK$50*'TR TUSD'!$AK$60</f>
        <v>0</v>
      </c>
      <c r="AL50" s="20">
        <f ca="1">SUM($AH$50:$AK$50)</f>
        <v>21.282792934769184</v>
      </c>
      <c r="AM50" s="20">
        <f ca="1">SUMIF($L$4:$AL$4,"SUBTOTAL",$L$50:$AL$50)</f>
        <v>566.07261003321378</v>
      </c>
      <c r="AP50" s="20">
        <f>IF((1 - CUSTOS!$M$32)&lt;&gt;0,1/(1 - CUSTOS!$M$32),1)</f>
        <v>1.8181818181818181</v>
      </c>
    </row>
    <row r="51" spans="1:42" ht="11.25" customHeight="1" x14ac:dyDescent="0.25">
      <c r="A51" s="134"/>
      <c r="B51" s="134"/>
      <c r="C51" s="134"/>
      <c r="D51" s="21" t="s">
        <v>89</v>
      </c>
      <c r="E51" s="21" t="s">
        <v>25</v>
      </c>
      <c r="F51" s="21" t="s">
        <v>25</v>
      </c>
      <c r="G51" s="21" t="s">
        <v>75</v>
      </c>
      <c r="H51" s="21" t="s">
        <v>71</v>
      </c>
      <c r="I51" s="21">
        <f>'MERCADO TUSD'!$U$48</f>
        <v>0</v>
      </c>
      <c r="J51" s="17"/>
      <c r="L51" s="20">
        <f>'TR TUSD'!$L$51*'TR TUSD'!$L$60</f>
        <v>14.205829690469306</v>
      </c>
      <c r="M51" s="20">
        <f>'TR TUSD'!$M$51*'TR TUSD'!$M$60</f>
        <v>1.8597488734416718</v>
      </c>
      <c r="N51" s="20">
        <f ca="1">'TR TUSD'!$N$51*'TR TUSD'!$N$60</f>
        <v>0</v>
      </c>
      <c r="O51" s="20">
        <f>'TR TUSD'!$O$51*'TR TUSD'!$O$60</f>
        <v>0</v>
      </c>
      <c r="P51" s="20">
        <f>'TR TUSD'!$P$51*'TR TUSD'!$P$60</f>
        <v>0</v>
      </c>
      <c r="Q51" s="20">
        <f>'TR TUSD'!$Q$51*'TR TUSD'!$Q$60</f>
        <v>53.016735519848126</v>
      </c>
      <c r="R51" s="20">
        <f>'TR TUSD'!$R$51*'TR TUSD'!$R$60</f>
        <v>8.7946518465965067</v>
      </c>
      <c r="S51" s="20">
        <f>'TR TUSD'!$S$51*'TR TUSD'!$S$60</f>
        <v>0</v>
      </c>
      <c r="T51" s="20">
        <f ca="1">SUM($L$51:$S$51)</f>
        <v>77.87696593035561</v>
      </c>
      <c r="U51" s="20">
        <f>'TR TUSD'!$U$51*'TR TUSD'!$U$60</f>
        <v>0</v>
      </c>
      <c r="V51" s="20">
        <f>'TR TUSD'!$V$51*'TR TUSD'!$V$60</f>
        <v>0</v>
      </c>
      <c r="W51" s="20">
        <f>'TR TUSD'!$W$51*'TR TUSD'!$W$60</f>
        <v>0</v>
      </c>
      <c r="X51" s="20">
        <f>'TR TUSD'!$X$51*'TR TUSD'!$X$60</f>
        <v>0</v>
      </c>
      <c r="Y51" s="20">
        <f>'TR TUSD'!$Y$51*'TR TUSD'!$Y$60</f>
        <v>118.85491623806635</v>
      </c>
      <c r="Z51" s="20">
        <f>'TR TUSD'!$Z$51</f>
        <v>0</v>
      </c>
      <c r="AA51" s="20">
        <f>'TR TUSD'!$AA$51</f>
        <v>0</v>
      </c>
      <c r="AB51" s="20">
        <f>SUM($U$51:$AA$51)</f>
        <v>118.85491623806635</v>
      </c>
      <c r="AC51" s="20">
        <f>'TR TUSD'!$AC$51*'TR TUSD'!$AC$60</f>
        <v>397.58428193897197</v>
      </c>
      <c r="AD51" s="20">
        <f>SUM($AC$51:$AC$51)</f>
        <v>397.58428193897197</v>
      </c>
      <c r="AE51" s="20">
        <v>0</v>
      </c>
      <c r="AF51" s="20">
        <v>0</v>
      </c>
      <c r="AG51" s="20">
        <f>SUM($AE$51:$AF$51)</f>
        <v>0</v>
      </c>
      <c r="AH51" s="20">
        <f>'TR TUSD'!$AH$51*'TR TUSD'!$AH$60</f>
        <v>21.24130754051005</v>
      </c>
      <c r="AI51" s="20">
        <f>'TR TUSD'!$AI$51*'TR TUSD'!$AI$60</f>
        <v>0</v>
      </c>
      <c r="AJ51" s="20">
        <f ca="1">'TR TUSD'!$AJ$51*'TR TUSD'!$AJ$60</f>
        <v>1.9762847519654185</v>
      </c>
      <c r="AK51" s="20">
        <f ca="1">'TR TUSD'!$AK$51*'TR TUSD'!$AK$60</f>
        <v>0</v>
      </c>
      <c r="AL51" s="20">
        <f ca="1">SUM($AH$51:$AK$51)</f>
        <v>23.217592292475469</v>
      </c>
      <c r="AM51" s="20">
        <f ca="1">SUMIF($L$4:$AL$4,"SUBTOTAL",$L$51:$AL$51)</f>
        <v>617.53375639986939</v>
      </c>
      <c r="AP51" s="20">
        <f>IF((1 - CUSTOS!$M$33)&lt;&gt;0,1/(1 - CUSTOS!$M$33),1)</f>
        <v>1.6666666666666667</v>
      </c>
    </row>
    <row r="53" spans="1:42" ht="11.25" customHeight="1" x14ac:dyDescent="0.25">
      <c r="K53" s="24" t="s">
        <v>554</v>
      </c>
      <c r="L53" s="20">
        <f>SUMPRODUCT($I$5:$I51,$L$5:$L51)</f>
        <v>939575.29936830886</v>
      </c>
      <c r="M53" s="20">
        <f>SUMPRODUCT($I$5:$I51,$M$5:$M51)</f>
        <v>122510.74929264616</v>
      </c>
      <c r="N53" s="20">
        <f ca="1">SUMPRODUCT($I$5:$I51,$N$5:$N51)</f>
        <v>0</v>
      </c>
      <c r="O53" s="20">
        <f>SUMPRODUCT($I$5:$I51,$O$5:$O51)</f>
        <v>0</v>
      </c>
      <c r="P53" s="20">
        <f>SUMPRODUCT($I$5:$I51,$P$5:$P51)</f>
        <v>0</v>
      </c>
      <c r="Q53" s="20">
        <f>SUMPRODUCT($I$5:$I51,$Q$5:$Q51)</f>
        <v>3506533.3199799983</v>
      </c>
      <c r="R53" s="20">
        <f>SUMPRODUCT($I$5:$I51,$R$5:$R51)</f>
        <v>591110.68967999972</v>
      </c>
      <c r="S53" s="20">
        <f>SUMPRODUCT($I$5:$I51,$S$5:$S51)</f>
        <v>0</v>
      </c>
      <c r="T53" s="20">
        <f ca="1">SUMPRODUCT($I$5:$I51,$T$5:$T51)</f>
        <v>5159730.0583209535</v>
      </c>
      <c r="U53" s="20">
        <f>SUMPRODUCT($I$5:$I51,$U$5:$U51)</f>
        <v>0</v>
      </c>
      <c r="V53" s="20">
        <f>SUMPRODUCT($I$5:$I51,$V$5:$V51)</f>
        <v>0</v>
      </c>
      <c r="W53" s="20">
        <f>SUMPRODUCT($I$5:$I51,$W$5:$W51)</f>
        <v>0</v>
      </c>
      <c r="X53" s="20">
        <f>SUMPRODUCT($I$5:$I51,$X$5:$X51)</f>
        <v>0</v>
      </c>
      <c r="Y53" s="20">
        <f>SUMPRODUCT($I$5:$I51,$Y$5:$Y51)</f>
        <v>8087693.3765699333</v>
      </c>
      <c r="Z53" s="20">
        <f>SUMPRODUCT($I$5:$I51,$Z$5:$Z51)</f>
        <v>0</v>
      </c>
      <c r="AA53" s="20">
        <f>SUMPRODUCT($I$5:$I51,$AA$5:$AA51)</f>
        <v>0</v>
      </c>
      <c r="AB53" s="20">
        <f>SUMPRODUCT($I$5:$I51,$AB$5:$AB51)</f>
        <v>8087693.3765699333</v>
      </c>
      <c r="AC53" s="20">
        <f>SUMPRODUCT($I$5:$I51,$AC$5:$AC51)</f>
        <v>26189026.160000008</v>
      </c>
      <c r="AD53" s="20">
        <f>SUMPRODUCT($I$5:$I51,$AD$5:$AD51)</f>
        <v>26189026.160000008</v>
      </c>
      <c r="AE53" s="20">
        <f>SUMPRODUCT($I$5:$I51,$AE$5:$AE51)</f>
        <v>0</v>
      </c>
      <c r="AF53" s="20">
        <f>SUMPRODUCT($I$5:$I51,$AF$5:$AF51)</f>
        <v>0</v>
      </c>
      <c r="AG53" s="20">
        <f>SUMPRODUCT($I$5:$I51,$AG$5:$AG51)</f>
        <v>0</v>
      </c>
      <c r="AH53" s="20">
        <f>SUMPRODUCT($I$5:$I51,$AH$5:$AH51)</f>
        <v>1385980.7356645614</v>
      </c>
      <c r="AI53" s="20">
        <f>SUMPRODUCT($I$5:$I51,$AI$5:$AI51)</f>
        <v>0</v>
      </c>
      <c r="AJ53" s="20">
        <f ca="1">SUMPRODUCT($I$5:$I51,$AJ$5:$AJ51)</f>
        <v>131892.92649229264</v>
      </c>
      <c r="AK53" s="20">
        <f ca="1">SUMPRODUCT($I$5:$I51,$AK$5:$AK51)</f>
        <v>0</v>
      </c>
      <c r="AL53" s="20">
        <f ca="1">SUMPRODUCT($I$5:$I51,$AL$5:$AL51)</f>
        <v>1517873.6621568545</v>
      </c>
      <c r="AM53" s="20">
        <f ca="1">SUMPRODUCT($I$5:$I51,$AM$5:$AM51)</f>
        <v>40954323.25704775</v>
      </c>
    </row>
    <row r="54" spans="1:42" ht="11.25" customHeight="1" x14ac:dyDescent="0.25">
      <c r="K54" s="24" t="s">
        <v>486</v>
      </c>
      <c r="L54" s="20">
        <f>'TR TUSD'!$L$56</f>
        <v>939575.29936830897</v>
      </c>
      <c r="M54" s="20">
        <f>'TR TUSD'!$M$56</f>
        <v>122510.74929264619</v>
      </c>
      <c r="N54" s="20">
        <f>'TR TUSD'!$N$56</f>
        <v>0</v>
      </c>
      <c r="O54" s="20">
        <f>'TR TUSD'!$O$56</f>
        <v>0</v>
      </c>
      <c r="P54" s="20">
        <f>'TR TUSD'!$P$56</f>
        <v>0</v>
      </c>
      <c r="Q54" s="20">
        <f>'TR TUSD'!$Q$56</f>
        <v>3506533.3199799983</v>
      </c>
      <c r="R54" s="20">
        <f>'TR TUSD'!$R$56</f>
        <v>591110.68967999984</v>
      </c>
      <c r="S54" s="20">
        <f>'TR TUSD'!$S$56</f>
        <v>0</v>
      </c>
      <c r="T54" s="20">
        <f>'TR TUSD'!$T$56</f>
        <v>5159730.0583209535</v>
      </c>
      <c r="U54" s="20">
        <f>'TR TUSD'!$U$56</f>
        <v>0</v>
      </c>
      <c r="V54" s="20">
        <f>'TR TUSD'!$V$56</f>
        <v>0</v>
      </c>
      <c r="W54" s="20">
        <f>'TR TUSD'!$W$56</f>
        <v>0</v>
      </c>
      <c r="X54" s="20">
        <f>'TR TUSD'!$X$56</f>
        <v>0</v>
      </c>
      <c r="Y54" s="20">
        <f>'TR TUSD'!$Y$56</f>
        <v>8087693.3765699323</v>
      </c>
      <c r="Z54" s="20">
        <f>'TR TUSD'!$Z$56</f>
        <v>0</v>
      </c>
      <c r="AA54" s="20">
        <f>'TR TUSD'!$AA$56</f>
        <v>0</v>
      </c>
      <c r="AB54" s="20">
        <f>'TR TUSD'!$AB$56</f>
        <v>8087693.3765699323</v>
      </c>
      <c r="AC54" s="20">
        <f>'TR TUSD'!$AC$56</f>
        <v>26189026.16</v>
      </c>
      <c r="AD54" s="20">
        <f>'TR TUSD'!$AD$56</f>
        <v>26189026.16</v>
      </c>
      <c r="AE54" s="20">
        <f>'TR TUSD'!$AE$56</f>
        <v>0</v>
      </c>
      <c r="AF54" s="20">
        <f>'TR TUSD'!$AF$56</f>
        <v>0</v>
      </c>
      <c r="AG54" s="20">
        <f>'TR TUSD'!$AG$56</f>
        <v>0</v>
      </c>
      <c r="AH54" s="20">
        <f>'TR TUSD'!$AH$56</f>
        <v>1385980.7356645614</v>
      </c>
      <c r="AI54" s="20">
        <f>'TR TUSD'!$AI$56</f>
        <v>0</v>
      </c>
      <c r="AJ54" s="20">
        <f>'TR TUSD'!$AJ$56</f>
        <v>131892.92649229267</v>
      </c>
      <c r="AK54" s="20">
        <f>'TR TUSD'!$AK$56</f>
        <v>0</v>
      </c>
      <c r="AL54" s="20">
        <f>'TR TUSD'!$AL$56</f>
        <v>1517873.6621568541</v>
      </c>
      <c r="AM54" s="20">
        <f>CUSTOS!$D$29</f>
        <v>40954323.257047743</v>
      </c>
    </row>
    <row r="55" spans="1:42" ht="11.25" customHeight="1" x14ac:dyDescent="0.25">
      <c r="K55" s="24" t="s">
        <v>487</v>
      </c>
      <c r="L55" s="20">
        <f>CUSTOS!$E$2</f>
        <v>0</v>
      </c>
      <c r="M55" s="20">
        <f>CUSTOS!$E$3</f>
        <v>5151.4439600447486</v>
      </c>
      <c r="N55" s="20">
        <f>CUSTOS!$E$4</f>
        <v>0</v>
      </c>
      <c r="O55" s="20">
        <f>CUSTOS!$E$5</f>
        <v>0</v>
      </c>
      <c r="P55" s="20">
        <f>CUSTOS!$E$6</f>
        <v>0</v>
      </c>
      <c r="Q55" s="20">
        <f>CUSTOS!$E$7</f>
        <v>180147.7937953643</v>
      </c>
      <c r="R55" s="20">
        <f>CUSTOS!$E$8</f>
        <v>19778.411797242152</v>
      </c>
      <c r="S55" s="20">
        <f>CUSTOS!$E$9</f>
        <v>0</v>
      </c>
      <c r="T55" s="20">
        <f>CUSTOS!$E$10</f>
        <v>205077.64955265119</v>
      </c>
      <c r="U55" s="20">
        <f>CUSTOS!$E$11</f>
        <v>0</v>
      </c>
      <c r="V55" s="20">
        <f>CUSTOS!$E$12</f>
        <v>0</v>
      </c>
      <c r="W55" s="20">
        <f>CUSTOS!$E$13</f>
        <v>0</v>
      </c>
      <c r="X55" s="20">
        <f>CUSTOS!$E$14</f>
        <v>0</v>
      </c>
      <c r="Y55" s="20">
        <f>CUSTOS!$E$15</f>
        <v>2057012.1713465147</v>
      </c>
      <c r="Z55" s="20">
        <f>CUSTOS!$E$16</f>
        <v>0</v>
      </c>
      <c r="AA55" s="20">
        <f>CUSTOS!$E$17</f>
        <v>0</v>
      </c>
      <c r="AB55" s="20">
        <f>CUSTOS!$E$18</f>
        <v>2057012.1713465147</v>
      </c>
      <c r="AC55" s="20">
        <f>CUSTOS!$E$19</f>
        <v>-4988536.0950042587</v>
      </c>
      <c r="AD55" s="20">
        <f>CUSTOS!$E$20</f>
        <v>-4988536.0950042587</v>
      </c>
      <c r="AE55" s="20">
        <f>CUSTOS!$E$21</f>
        <v>0</v>
      </c>
      <c r="AF55" s="20">
        <f>CUSTOS!$E$22</f>
        <v>0</v>
      </c>
      <c r="AG55" s="20">
        <f>CUSTOS!$E$23</f>
        <v>0</v>
      </c>
      <c r="AH55" s="20">
        <f>CUSTOS!$E$24</f>
        <v>393198.64148726751</v>
      </c>
      <c r="AI55" s="20">
        <f>CUSTOS!$E$25</f>
        <v>0</v>
      </c>
      <c r="AJ55" s="20">
        <f>CUSTOS!$E$26</f>
        <v>37417.63372611611</v>
      </c>
      <c r="AK55" s="20">
        <f>CUSTOS!$E$27</f>
        <v>0</v>
      </c>
      <c r="AL55" s="20">
        <f>CUSTOS!$E$28</f>
        <v>430616.2752133836</v>
      </c>
      <c r="AM55" s="20">
        <f>CUSTOS!$E$29</f>
        <v>-2295829.9988917094</v>
      </c>
    </row>
    <row r="56" spans="1:42" ht="11.25" customHeight="1" x14ac:dyDescent="0.25">
      <c r="K56" s="24" t="s">
        <v>488</v>
      </c>
      <c r="L56" s="20">
        <f>CUSTOS!$F$2</f>
        <v>0</v>
      </c>
      <c r="M56" s="20">
        <f>CUSTOS!$F$3</f>
        <v>0</v>
      </c>
      <c r="N56" s="20">
        <f>CUSTOS!$F$4</f>
        <v>0</v>
      </c>
      <c r="O56" s="20">
        <f>CUSTOS!$F$5</f>
        <v>0</v>
      </c>
      <c r="P56" s="20">
        <f>CUSTOS!$F$6</f>
        <v>0</v>
      </c>
      <c r="Q56" s="20">
        <f>CUSTOS!$F$7</f>
        <v>0</v>
      </c>
      <c r="R56" s="20">
        <f>CUSTOS!$F$8</f>
        <v>0</v>
      </c>
      <c r="S56" s="20">
        <f>CUSTOS!$F$9</f>
        <v>0</v>
      </c>
      <c r="T56" s="20">
        <f>CUSTOS!$F$10</f>
        <v>0</v>
      </c>
      <c r="U56" s="20">
        <f>CUSTOS!$F$11</f>
        <v>0</v>
      </c>
      <c r="V56" s="20">
        <f>CUSTOS!$F$12</f>
        <v>0</v>
      </c>
      <c r="W56" s="20">
        <f>CUSTOS!$F$13</f>
        <v>0</v>
      </c>
      <c r="X56" s="20">
        <f>CUSTOS!$F$14</f>
        <v>0</v>
      </c>
      <c r="Y56" s="20">
        <f>CUSTOS!$F$15</f>
        <v>0</v>
      </c>
      <c r="Z56" s="20">
        <f>CUSTOS!$F$16</f>
        <v>0</v>
      </c>
      <c r="AA56" s="20">
        <f>CUSTOS!$F$17</f>
        <v>0</v>
      </c>
      <c r="AB56" s="20">
        <f>CUSTOS!$F$18</f>
        <v>0</v>
      </c>
      <c r="AC56" s="20">
        <f>CUSTOS!$F$19</f>
        <v>0</v>
      </c>
      <c r="AD56" s="20">
        <f>CUSTOS!$F$20</f>
        <v>0</v>
      </c>
      <c r="AE56" s="20">
        <f>CUSTOS!$F$21</f>
        <v>0</v>
      </c>
      <c r="AF56" s="20">
        <f>CUSTOS!$F$22</f>
        <v>0</v>
      </c>
      <c r="AG56" s="20">
        <f>CUSTOS!$F$23</f>
        <v>0</v>
      </c>
      <c r="AH56" s="20">
        <f>CUSTOS!$F$24</f>
        <v>0</v>
      </c>
      <c r="AI56" s="20">
        <f>CUSTOS!$F$25</f>
        <v>0</v>
      </c>
      <c r="AJ56" s="20">
        <f>CUSTOS!$F$26</f>
        <v>0</v>
      </c>
      <c r="AK56" s="20">
        <f>CUSTOS!$F$27</f>
        <v>0</v>
      </c>
      <c r="AL56" s="20">
        <f>CUSTOS!$F$28</f>
        <v>0</v>
      </c>
      <c r="AM56" s="20">
        <f>CUSTOS!$F$29</f>
        <v>0</v>
      </c>
    </row>
    <row r="57" spans="1:42" ht="11.25" customHeight="1" x14ac:dyDescent="0.25">
      <c r="K57" s="24" t="s">
        <v>551</v>
      </c>
      <c r="L57" s="20">
        <v>0</v>
      </c>
      <c r="M57" s="20">
        <v>0</v>
      </c>
      <c r="N57" s="20">
        <v>0</v>
      </c>
      <c r="O57" s="20">
        <v>0</v>
      </c>
      <c r="P57" s="20">
        <v>0</v>
      </c>
      <c r="Q57" s="20">
        <v>0</v>
      </c>
      <c r="R57" s="20">
        <v>0</v>
      </c>
      <c r="S57" s="20">
        <v>0</v>
      </c>
      <c r="T57" s="20">
        <f>SUM($L$57:$S$57)</f>
        <v>0</v>
      </c>
      <c r="U57" s="20">
        <v>0</v>
      </c>
      <c r="V57" s="20">
        <v>0</v>
      </c>
      <c r="W57" s="20">
        <v>0</v>
      </c>
      <c r="X57" s="20">
        <v>0</v>
      </c>
      <c r="Y57" s="20">
        <v>0</v>
      </c>
      <c r="Z57" s="20">
        <v>0</v>
      </c>
      <c r="AA57" s="20">
        <v>0</v>
      </c>
      <c r="AB57" s="20">
        <f>SUM($U$57:$AA$57)</f>
        <v>0</v>
      </c>
      <c r="AC57" s="20">
        <v>0</v>
      </c>
      <c r="AD57" s="20">
        <f>SUM($AC$57:$AC$57)</f>
        <v>0</v>
      </c>
      <c r="AE57" s="20">
        <v>0</v>
      </c>
      <c r="AF57" s="20">
        <v>0</v>
      </c>
      <c r="AG57" s="20">
        <f>SUM($AE$57:$AF$57)</f>
        <v>0</v>
      </c>
      <c r="AH57" s="20">
        <v>0</v>
      </c>
      <c r="AI57" s="20">
        <v>0</v>
      </c>
      <c r="AJ57" s="20">
        <v>0</v>
      </c>
      <c r="AK57" s="20">
        <v>0</v>
      </c>
      <c r="AL57" s="20">
        <f>SUM($AH$57:$AK$57)</f>
        <v>0</v>
      </c>
      <c r="AM57" s="20">
        <f>SUMIF($L$4:$AL$4,"SUBTOTAL",$L$57:$AL$57)</f>
        <v>0</v>
      </c>
    </row>
    <row r="58" spans="1:42" ht="11.25" customHeight="1" x14ac:dyDescent="0.25">
      <c r="K58" s="24" t="s">
        <v>555</v>
      </c>
      <c r="L58" s="20">
        <f t="shared" ref="L58:R58" si="0">IF((L53-(0))&lt;&gt;0,(L55)/(L53-(0)),0)</f>
        <v>0</v>
      </c>
      <c r="M58" s="20">
        <f t="shared" si="0"/>
        <v>4.2048913991533064E-2</v>
      </c>
      <c r="N58" s="20">
        <f t="shared" ca="1" si="0"/>
        <v>0</v>
      </c>
      <c r="O58" s="20">
        <f t="shared" si="0"/>
        <v>0</v>
      </c>
      <c r="P58" s="20">
        <f t="shared" si="0"/>
        <v>0</v>
      </c>
      <c r="Q58" s="20">
        <f t="shared" si="0"/>
        <v>5.1374898612511086E-2</v>
      </c>
      <c r="R58" s="20">
        <f t="shared" si="0"/>
        <v>3.3459743060896566E-2</v>
      </c>
      <c r="S58" s="20">
        <f>IF((R53-(0)&lt;&gt;0),(S55)/(R53-(0)),0)</f>
        <v>0</v>
      </c>
      <c r="T58" s="20"/>
      <c r="U58" s="20">
        <f t="shared" ref="U58:AA58" si="1">IF((U53-(0))&lt;&gt;0,(U55)/(U53-(0)),0)</f>
        <v>0</v>
      </c>
      <c r="V58" s="20">
        <f t="shared" si="1"/>
        <v>0</v>
      </c>
      <c r="W58" s="20">
        <f t="shared" si="1"/>
        <v>0</v>
      </c>
      <c r="X58" s="20">
        <f t="shared" si="1"/>
        <v>0</v>
      </c>
      <c r="Y58" s="20">
        <f t="shared" si="1"/>
        <v>0.25433854568543407</v>
      </c>
      <c r="Z58" s="20">
        <f t="shared" si="1"/>
        <v>0</v>
      </c>
      <c r="AA58" s="20">
        <f t="shared" si="1"/>
        <v>0</v>
      </c>
      <c r="AB58" s="20"/>
      <c r="AC58" s="20">
        <f>IF((AC53-(0))&lt;&gt;0,(AC55)/(AC53-(0)),0)</f>
        <v>-0.19048192416652493</v>
      </c>
      <c r="AD58" s="20"/>
      <c r="AE58" s="20">
        <f ca="1">IF(($AM53-(0))&lt;&gt;0,(AE55)/($AM53-(0)),0)</f>
        <v>0</v>
      </c>
      <c r="AF58" s="20">
        <f ca="1">IF(($AM53-(0))&lt;&gt;0,(AF55)/($AM53-(0)),0)</f>
        <v>0</v>
      </c>
      <c r="AG58" s="20"/>
      <c r="AH58" s="20">
        <f>IF((AH53-(0))&lt;&gt;0,(AH55)/(AH53-(0)),0)</f>
        <v>0.28369704669721357</v>
      </c>
      <c r="AI58" s="20">
        <f>IF((AI53-(0))&lt;&gt;0,(AI55)/(AI53-(0)),0)</f>
        <v>0</v>
      </c>
      <c r="AJ58" s="20">
        <f ca="1">IF((AJ53-(0))&lt;&gt;0,(AJ55)/(AJ53-(0)),0)</f>
        <v>0.28369704669721363</v>
      </c>
      <c r="AK58" s="20">
        <f ca="1">IF((AK53-(0))&lt;&gt;0,(AK55)/(AK53-(0)),0)</f>
        <v>0</v>
      </c>
      <c r="AL58" s="20"/>
      <c r="AM58" s="20"/>
    </row>
  </sheetData>
  <mergeCells count="73">
    <mergeCell ref="E45:E47"/>
    <mergeCell ref="F45:F47"/>
    <mergeCell ref="A50:A51"/>
    <mergeCell ref="B50:B51"/>
    <mergeCell ref="C50:C51"/>
    <mergeCell ref="D45:D47"/>
    <mergeCell ref="B42:B44"/>
    <mergeCell ref="C42:C44"/>
    <mergeCell ref="A45:A49"/>
    <mergeCell ref="B45:B47"/>
    <mergeCell ref="C45:C47"/>
    <mergeCell ref="A30:A44"/>
    <mergeCell ref="B30:B32"/>
    <mergeCell ref="C30:C32"/>
    <mergeCell ref="B38:B40"/>
    <mergeCell ref="C38:C40"/>
    <mergeCell ref="B34:B36"/>
    <mergeCell ref="C34:C36"/>
    <mergeCell ref="D38:D40"/>
    <mergeCell ref="E38:E40"/>
    <mergeCell ref="F38:F40"/>
    <mergeCell ref="D30:D32"/>
    <mergeCell ref="E30:E32"/>
    <mergeCell ref="F30:F32"/>
    <mergeCell ref="D34:D36"/>
    <mergeCell ref="E34:E36"/>
    <mergeCell ref="F34:F36"/>
    <mergeCell ref="E17:E19"/>
    <mergeCell ref="F17:F19"/>
    <mergeCell ref="B20:B24"/>
    <mergeCell ref="C20:C24"/>
    <mergeCell ref="B25:B29"/>
    <mergeCell ref="C25:C29"/>
    <mergeCell ref="A15:A16"/>
    <mergeCell ref="B15:B16"/>
    <mergeCell ref="C15:C16"/>
    <mergeCell ref="D15:D16"/>
    <mergeCell ref="A17:A29"/>
    <mergeCell ref="B17:B19"/>
    <mergeCell ref="C17:C19"/>
    <mergeCell ref="D17:D19"/>
    <mergeCell ref="A1:A4"/>
    <mergeCell ref="C10:C14"/>
    <mergeCell ref="D10:D14"/>
    <mergeCell ref="E10:E12"/>
    <mergeCell ref="F10:F12"/>
    <mergeCell ref="E13:E14"/>
    <mergeCell ref="F13:F14"/>
    <mergeCell ref="F5:F7"/>
    <mergeCell ref="B10:B14"/>
    <mergeCell ref="A5:A14"/>
    <mergeCell ref="B5:B8"/>
    <mergeCell ref="C5:C8"/>
    <mergeCell ref="D5:D8"/>
    <mergeCell ref="E5:E7"/>
    <mergeCell ref="B1:B4"/>
    <mergeCell ref="C1:C4"/>
    <mergeCell ref="AP1:AP4"/>
    <mergeCell ref="L2:AM2"/>
    <mergeCell ref="L3:T3"/>
    <mergeCell ref="U3:AB3"/>
    <mergeCell ref="AC3:AD3"/>
    <mergeCell ref="AE3:AG3"/>
    <mergeCell ref="AH3:AL3"/>
    <mergeCell ref="AM3:AM4"/>
    <mergeCell ref="D1:D4"/>
    <mergeCell ref="E1:E4"/>
    <mergeCell ref="F1:F4"/>
    <mergeCell ref="J1:J4"/>
    <mergeCell ref="L1:AM1"/>
    <mergeCell ref="G1:G4"/>
    <mergeCell ref="H1:H4"/>
    <mergeCell ref="I1:I4"/>
  </mergeCells>
  <conditionalFormatting sqref="L53">
    <cfRule type="cellIs" dxfId="845" priority="55" operator="notEqual">
      <formula>$L$54-$L$57</formula>
    </cfRule>
    <cfRule type="cellIs" dxfId="844" priority="56" operator="equal">
      <formula>$L$54-$L$57</formula>
    </cfRule>
  </conditionalFormatting>
  <conditionalFormatting sqref="M53">
    <cfRule type="cellIs" dxfId="843" priority="53" operator="notEqual">
      <formula>$M$54-$M$57</formula>
    </cfRule>
    <cfRule type="cellIs" dxfId="842" priority="54" operator="equal">
      <formula>$M$54-$M$57</formula>
    </cfRule>
  </conditionalFormatting>
  <conditionalFormatting sqref="N53">
    <cfRule type="cellIs" dxfId="841" priority="51" operator="notEqual">
      <formula>$N$54-$N$57</formula>
    </cfRule>
    <cfRule type="cellIs" dxfId="840" priority="52" operator="equal">
      <formula>$N$54-$N$57</formula>
    </cfRule>
  </conditionalFormatting>
  <conditionalFormatting sqref="O53">
    <cfRule type="cellIs" dxfId="839" priority="49" operator="notEqual">
      <formula>$O$54-$O$57</formula>
    </cfRule>
    <cfRule type="cellIs" dxfId="838" priority="50" operator="equal">
      <formula>$O$54-$O$57</formula>
    </cfRule>
  </conditionalFormatting>
  <conditionalFormatting sqref="P53">
    <cfRule type="cellIs" dxfId="837" priority="47" operator="notEqual">
      <formula>$P$54-$P$57</formula>
    </cfRule>
    <cfRule type="cellIs" dxfId="836" priority="48" operator="equal">
      <formula>$P$54-$P$57</formula>
    </cfRule>
  </conditionalFormatting>
  <conditionalFormatting sqref="Q53">
    <cfRule type="cellIs" dxfId="835" priority="45" operator="notEqual">
      <formula>$Q$54-$Q$57</formula>
    </cfRule>
    <cfRule type="cellIs" dxfId="834" priority="46" operator="equal">
      <formula>$Q$54-$Q$57</formula>
    </cfRule>
  </conditionalFormatting>
  <conditionalFormatting sqref="R53">
    <cfRule type="cellIs" dxfId="833" priority="43" operator="notEqual">
      <formula>$R$54-$R$57</formula>
    </cfRule>
    <cfRule type="cellIs" dxfId="832" priority="44" operator="equal">
      <formula>$R$54-$R$57</formula>
    </cfRule>
  </conditionalFormatting>
  <conditionalFormatting sqref="S53">
    <cfRule type="cellIs" dxfId="831" priority="41" operator="notEqual">
      <formula>$S$54-$S$57</formula>
    </cfRule>
    <cfRule type="cellIs" dxfId="830" priority="42" operator="equal">
      <formula>$S$54-$S$57</formula>
    </cfRule>
  </conditionalFormatting>
  <conditionalFormatting sqref="T53">
    <cfRule type="cellIs" dxfId="829" priority="39" operator="notEqual">
      <formula>$T$54-$T$57</formula>
    </cfRule>
    <cfRule type="cellIs" dxfId="828" priority="40" operator="equal">
      <formula>$T$54-$T$57</formula>
    </cfRule>
  </conditionalFormatting>
  <conditionalFormatting sqref="U53">
    <cfRule type="cellIs" dxfId="827" priority="37" operator="notEqual">
      <formula>$U$54-$U$57</formula>
    </cfRule>
    <cfRule type="cellIs" dxfId="826" priority="38" operator="equal">
      <formula>$U$54-$U$57</formula>
    </cfRule>
  </conditionalFormatting>
  <conditionalFormatting sqref="V53">
    <cfRule type="cellIs" dxfId="825" priority="35" operator="notEqual">
      <formula>$V$54-$V$57</formula>
    </cfRule>
    <cfRule type="cellIs" dxfId="824" priority="36" operator="equal">
      <formula>$V$54-$V$57</formula>
    </cfRule>
  </conditionalFormatting>
  <conditionalFormatting sqref="W53">
    <cfRule type="cellIs" dxfId="823" priority="33" operator="notEqual">
      <formula>$W$54-$W$57</formula>
    </cfRule>
    <cfRule type="cellIs" dxfId="822" priority="34" operator="equal">
      <formula>$W$54-$W$57</formula>
    </cfRule>
  </conditionalFormatting>
  <conditionalFormatting sqref="X53">
    <cfRule type="cellIs" dxfId="821" priority="31" operator="notEqual">
      <formula>$X$54-$X$57</formula>
    </cfRule>
    <cfRule type="cellIs" dxfId="820" priority="32" operator="equal">
      <formula>$X$54-$X$57</formula>
    </cfRule>
  </conditionalFormatting>
  <conditionalFormatting sqref="Y53">
    <cfRule type="cellIs" dxfId="819" priority="29" operator="notEqual">
      <formula>$Y$54-$Y$57</formula>
    </cfRule>
    <cfRule type="cellIs" dxfId="818" priority="30" operator="equal">
      <formula>$Y$54-$Y$57</formula>
    </cfRule>
  </conditionalFormatting>
  <conditionalFormatting sqref="Z53">
    <cfRule type="cellIs" dxfId="817" priority="27" operator="notEqual">
      <formula>$Z$54-$Z$57</formula>
    </cfRule>
    <cfRule type="cellIs" dxfId="816" priority="28" operator="equal">
      <formula>$Z$54-$Z$57</formula>
    </cfRule>
  </conditionalFormatting>
  <conditionalFormatting sqref="AA53">
    <cfRule type="cellIs" dxfId="815" priority="25" operator="notEqual">
      <formula>$AA$54-$AA$57</formula>
    </cfRule>
    <cfRule type="cellIs" dxfId="814" priority="26" operator="equal">
      <formula>$AA$54-$AA$57</formula>
    </cfRule>
  </conditionalFormatting>
  <conditionalFormatting sqref="AB53">
    <cfRule type="cellIs" dxfId="813" priority="23" operator="notEqual">
      <formula>$AB$54-$AB$57</formula>
    </cfRule>
    <cfRule type="cellIs" dxfId="812" priority="24" operator="equal">
      <formula>$AB$54-$AB$57</formula>
    </cfRule>
  </conditionalFormatting>
  <conditionalFormatting sqref="AC53">
    <cfRule type="cellIs" dxfId="811" priority="21" operator="notEqual">
      <formula>$AC$54-$AC$57</formula>
    </cfRule>
    <cfRule type="cellIs" dxfId="810" priority="22" operator="equal">
      <formula>$AC$54-$AC$57</formula>
    </cfRule>
  </conditionalFormatting>
  <conditionalFormatting sqref="AD53">
    <cfRule type="cellIs" dxfId="809" priority="19" operator="notEqual">
      <formula>$AD$54-$AD$57</formula>
    </cfRule>
    <cfRule type="cellIs" dxfId="808" priority="20" operator="equal">
      <formula>$AD$54-$AD$57</formula>
    </cfRule>
  </conditionalFormatting>
  <conditionalFormatting sqref="AE53">
    <cfRule type="cellIs" dxfId="807" priority="17" operator="notEqual">
      <formula>$AE$54-$AE$57</formula>
    </cfRule>
    <cfRule type="cellIs" dxfId="806" priority="18" operator="equal">
      <formula>$AE$54-$AE$57</formula>
    </cfRule>
  </conditionalFormatting>
  <conditionalFormatting sqref="AF53">
    <cfRule type="cellIs" dxfId="805" priority="16" operator="equal">
      <formula>$AF$54-$AF$57</formula>
    </cfRule>
  </conditionalFormatting>
  <conditionalFormatting sqref="AF53">
    <cfRule type="cellIs" dxfId="804" priority="15" operator="notEqual">
      <formula>$AF$54-$AF$57</formula>
    </cfRule>
  </conditionalFormatting>
  <conditionalFormatting sqref="AG53">
    <cfRule type="cellIs" dxfId="803" priority="14" operator="equal">
      <formula>$AG$54-$AG$57</formula>
    </cfRule>
  </conditionalFormatting>
  <conditionalFormatting sqref="AG53">
    <cfRule type="cellIs" dxfId="802" priority="13" operator="notEqual">
      <formula>$AG$54-$AG$57</formula>
    </cfRule>
  </conditionalFormatting>
  <conditionalFormatting sqref="AH53">
    <cfRule type="cellIs" dxfId="801" priority="12" operator="equal">
      <formula>$AH$54-$AH$57</formula>
    </cfRule>
  </conditionalFormatting>
  <conditionalFormatting sqref="AH53">
    <cfRule type="cellIs" dxfId="800" priority="11" operator="notEqual">
      <formula>$AH$54-$AH$57</formula>
    </cfRule>
  </conditionalFormatting>
  <conditionalFormatting sqref="AI53">
    <cfRule type="cellIs" dxfId="799" priority="10" operator="equal">
      <formula>$AI$54-$AI$57</formula>
    </cfRule>
  </conditionalFormatting>
  <conditionalFormatting sqref="AI53">
    <cfRule type="cellIs" dxfId="798" priority="9" operator="notEqual">
      <formula>$AI$54-$AI$57</formula>
    </cfRule>
  </conditionalFormatting>
  <conditionalFormatting sqref="AJ53">
    <cfRule type="cellIs" dxfId="797" priority="8" operator="equal">
      <formula>$AJ$54-$AJ$57</formula>
    </cfRule>
  </conditionalFormatting>
  <conditionalFormatting sqref="AJ53">
    <cfRule type="cellIs" dxfId="796" priority="7" operator="notEqual">
      <formula>$AJ$54-$AJ$57</formula>
    </cfRule>
  </conditionalFormatting>
  <conditionalFormatting sqref="AK53">
    <cfRule type="cellIs" dxfId="795" priority="6" operator="equal">
      <formula>$AK$54-$AK$57</formula>
    </cfRule>
  </conditionalFormatting>
  <conditionalFormatting sqref="AK53">
    <cfRule type="cellIs" dxfId="794" priority="5" operator="notEqual">
      <formula>$AK$54-$AK$57</formula>
    </cfRule>
  </conditionalFormatting>
  <conditionalFormatting sqref="AL53">
    <cfRule type="cellIs" dxfId="793" priority="4" operator="equal">
      <formula>$AL$54-$AL$57</formula>
    </cfRule>
  </conditionalFormatting>
  <conditionalFormatting sqref="AL53">
    <cfRule type="cellIs" dxfId="792" priority="3" operator="notEqual">
      <formula>$AL$54-$AL$57</formula>
    </cfRule>
  </conditionalFormatting>
  <conditionalFormatting sqref="AM53">
    <cfRule type="cellIs" dxfId="791" priority="2" operator="equal">
      <formula>$AM$54-$AM$57</formula>
    </cfRule>
  </conditionalFormatting>
  <conditionalFormatting sqref="AM53">
    <cfRule type="cellIs" dxfId="790" priority="1" operator="notEqual">
      <formula>$AM$54-$AM$57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30</vt:i4>
      </vt:variant>
    </vt:vector>
  </HeadingPairs>
  <TitlesOfParts>
    <vt:vector size="30" baseType="lpstr">
      <vt:lpstr>Mercado_Receita</vt:lpstr>
      <vt:lpstr>EVENTOS</vt:lpstr>
      <vt:lpstr>TAR FIN</vt:lpstr>
      <vt:lpstr>MERCADO TUSD</vt:lpstr>
      <vt:lpstr>MERCADO TE</vt:lpstr>
      <vt:lpstr>CUSTOS</vt:lpstr>
      <vt:lpstr>TRANSICAO</vt:lpstr>
      <vt:lpstr>TR TUSD</vt:lpstr>
      <vt:lpstr>TUSD BE</vt:lpstr>
      <vt:lpstr>TUSD BF</vt:lpstr>
      <vt:lpstr>TUSD CVA</vt:lpstr>
      <vt:lpstr>TR TE</vt:lpstr>
      <vt:lpstr>TE BE</vt:lpstr>
      <vt:lpstr>TE BF</vt:lpstr>
      <vt:lpstr>TE CVA</vt:lpstr>
      <vt:lpstr>EFEITO</vt:lpstr>
      <vt:lpstr>SUBSIDIO</vt:lpstr>
      <vt:lpstr>TabDinEfeito</vt:lpstr>
      <vt:lpstr>TabDinSubsidio</vt:lpstr>
      <vt:lpstr>TABELAS REH</vt:lpstr>
      <vt:lpstr>CONSISTENCIA</vt:lpstr>
      <vt:lpstr>TUSD</vt:lpstr>
      <vt:lpstr>TE</vt:lpstr>
      <vt:lpstr>RESUMO TUSD</vt:lpstr>
      <vt:lpstr>RESUMO TE</vt:lpstr>
      <vt:lpstr>Descontos</vt:lpstr>
      <vt:lpstr>ERD</vt:lpstr>
      <vt:lpstr>TA - Aplicação</vt:lpstr>
      <vt:lpstr>TA - BE</vt:lpstr>
      <vt:lpstr>TA - CVA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Administrador</cp:lastModifiedBy>
  <dcterms:created xsi:type="dcterms:W3CDTF">2022-04-14T15:37:05Z</dcterms:created>
  <dcterms:modified xsi:type="dcterms:W3CDTF">2022-04-20T00:52:54Z</dcterms:modified>
</cp:coreProperties>
</file>